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 xml:space="preserve">US Holdings 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  <c r="BE1" t="inlineStr">
        <is>
          <t>Faculty</t>
        </is>
      </c>
    </row>
    <row r="2">
      <c r="A2" t="inlineStr">
        <is>
          <t>No</t>
        </is>
      </c>
      <c r="B2" t="inlineStr">
        <is>
          <t>BR1380 .M4 1965</t>
        </is>
      </c>
      <c r="C2" t="inlineStr">
        <is>
          <t>0                      BR 1380000M  4           1965</t>
        </is>
      </c>
      <c r="D2" t="inlineStr">
        <is>
          <t>Christian Egypt, ancient and modern / by Otto F.A. Meinardus. With pref. by Henry Habib Ayrout.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Meinardus, Otto F. A., 1925-2005.</t>
        </is>
      </c>
      <c r="L2" t="inlineStr">
        <is>
          <t>Cairo : Cahiers d'histoire égyptienne, 1965.</t>
        </is>
      </c>
      <c r="M2" t="inlineStr">
        <is>
          <t>1965</t>
        </is>
      </c>
      <c r="O2" t="inlineStr">
        <is>
          <t>eng</t>
        </is>
      </c>
      <c r="P2" t="inlineStr">
        <is>
          <t xml:space="preserve">ua </t>
        </is>
      </c>
      <c r="R2" t="inlineStr">
        <is>
          <t xml:space="preserve">BR </t>
        </is>
      </c>
      <c r="S2" t="n">
        <v>9</v>
      </c>
      <c r="T2" t="n">
        <v>9</v>
      </c>
      <c r="U2" t="inlineStr">
        <is>
          <t>2004-01-15</t>
        </is>
      </c>
      <c r="V2" t="inlineStr">
        <is>
          <t>2004-01-15</t>
        </is>
      </c>
      <c r="W2" t="inlineStr">
        <is>
          <t>1991-02-27</t>
        </is>
      </c>
      <c r="X2" t="inlineStr">
        <is>
          <t>1991-02-27</t>
        </is>
      </c>
      <c r="Y2" t="n">
        <v>296</v>
      </c>
      <c r="Z2" t="n">
        <v>281</v>
      </c>
      <c r="AA2" t="n">
        <v>320</v>
      </c>
      <c r="AB2" t="n">
        <v>3</v>
      </c>
      <c r="AC2" t="n">
        <v>3</v>
      </c>
      <c r="AD2" t="n">
        <v>16</v>
      </c>
      <c r="AE2" t="n">
        <v>16</v>
      </c>
      <c r="AF2" t="n">
        <v>3</v>
      </c>
      <c r="AG2" t="n">
        <v>3</v>
      </c>
      <c r="AH2" t="n">
        <v>4</v>
      </c>
      <c r="AI2" t="n">
        <v>4</v>
      </c>
      <c r="AJ2" t="n">
        <v>10</v>
      </c>
      <c r="AK2" t="n">
        <v>10</v>
      </c>
      <c r="AL2" t="n">
        <v>2</v>
      </c>
      <c r="AM2" t="n">
        <v>2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HYPERLINK("https://creighton-primo.hosted.exlibrisgroup.com/primo-explore/search?tab=default_tab&amp;search_scope=EVERYTHING&amp;vid=01CRU&amp;lang=en_US&amp;offset=0&amp;query=any,contains,991003770249702656","Catalog Record")</f>
        <v/>
      </c>
      <c r="AT2">
        <f>HYPERLINK("http://www.worldcat.org/oclc/1469397","WorldCat Record")</f>
        <v/>
      </c>
      <c r="AU2" t="inlineStr">
        <is>
          <t>2344473:eng</t>
        </is>
      </c>
      <c r="AV2" t="inlineStr">
        <is>
          <t>1469397</t>
        </is>
      </c>
      <c r="AW2" t="inlineStr">
        <is>
          <t>991003770249702656</t>
        </is>
      </c>
      <c r="AX2" t="inlineStr">
        <is>
          <t>991003770249702656</t>
        </is>
      </c>
      <c r="AY2" t="inlineStr">
        <is>
          <t>2260220180002656</t>
        </is>
      </c>
      <c r="AZ2" t="inlineStr">
        <is>
          <t>BOOK</t>
        </is>
      </c>
      <c r="BC2" t="inlineStr">
        <is>
          <t>32285000517515</t>
        </is>
      </c>
      <c r="BD2" t="inlineStr">
        <is>
          <t>893806191</t>
        </is>
      </c>
      <c r="BE2" t="inlineStr">
        <is>
          <t>ZB Smith</t>
        </is>
      </c>
    </row>
    <row r="3">
      <c r="A3" t="inlineStr">
        <is>
          <t>No</t>
        </is>
      </c>
      <c r="B3" t="inlineStr">
        <is>
          <t>BR145.2 .H57 1985</t>
        </is>
      </c>
      <c r="C3" t="inlineStr">
        <is>
          <t>0                      BR 0145200H  57          1985</t>
        </is>
      </c>
      <c r="D3" t="inlineStr">
        <is>
          <t>History, society, and the churches : essays in honour of Owen Chadwick / edited by Derek Beales and Geoffrey Best.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Cambridge [Cambridgeshire] ; New York : Cambridge University Press, 1985.</t>
        </is>
      </c>
      <c r="M3" t="inlineStr">
        <is>
          <t>1985</t>
        </is>
      </c>
      <c r="O3" t="inlineStr">
        <is>
          <t>eng</t>
        </is>
      </c>
      <c r="P3" t="inlineStr">
        <is>
          <t>enk</t>
        </is>
      </c>
      <c r="R3" t="inlineStr">
        <is>
          <t xml:space="preserve">BR </t>
        </is>
      </c>
      <c r="S3" t="n">
        <v>3</v>
      </c>
      <c r="T3" t="n">
        <v>3</v>
      </c>
      <c r="U3" t="inlineStr">
        <is>
          <t>1993-03-01</t>
        </is>
      </c>
      <c r="V3" t="inlineStr">
        <is>
          <t>1993-03-01</t>
        </is>
      </c>
      <c r="W3" t="inlineStr">
        <is>
          <t>1991-02-05</t>
        </is>
      </c>
      <c r="X3" t="inlineStr">
        <is>
          <t>1991-02-05</t>
        </is>
      </c>
      <c r="Y3" t="n">
        <v>575</v>
      </c>
      <c r="Z3" t="n">
        <v>425</v>
      </c>
      <c r="AA3" t="n">
        <v>425</v>
      </c>
      <c r="AB3" t="n">
        <v>4</v>
      </c>
      <c r="AC3" t="n">
        <v>4</v>
      </c>
      <c r="AD3" t="n">
        <v>22</v>
      </c>
      <c r="AE3" t="n">
        <v>22</v>
      </c>
      <c r="AF3" t="n">
        <v>6</v>
      </c>
      <c r="AG3" t="n">
        <v>6</v>
      </c>
      <c r="AH3" t="n">
        <v>7</v>
      </c>
      <c r="AI3" t="n">
        <v>7</v>
      </c>
      <c r="AJ3" t="n">
        <v>12</v>
      </c>
      <c r="AK3" t="n">
        <v>12</v>
      </c>
      <c r="AL3" t="n">
        <v>3</v>
      </c>
      <c r="AM3" t="n">
        <v>3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HYPERLINK("https://creighton-primo.hosted.exlibrisgroup.com/primo-explore/search?tab=default_tab&amp;search_scope=EVERYTHING&amp;vid=01CRU&amp;lang=en_US&amp;offset=0&amp;query=any,contains,991000509949702656","Catalog Record")</f>
        <v/>
      </c>
      <c r="AT3">
        <f>HYPERLINK("http://www.worldcat.org/oclc/11234889","WorldCat Record")</f>
        <v/>
      </c>
      <c r="AU3" t="inlineStr">
        <is>
          <t>836680414:eng</t>
        </is>
      </c>
      <c r="AV3" t="inlineStr">
        <is>
          <t>11234889</t>
        </is>
      </c>
      <c r="AW3" t="inlineStr">
        <is>
          <t>991000509949702656</t>
        </is>
      </c>
      <c r="AX3" t="inlineStr">
        <is>
          <t>991000509949702656</t>
        </is>
      </c>
      <c r="AY3" t="inlineStr">
        <is>
          <t>2257412030002656</t>
        </is>
      </c>
      <c r="AZ3" t="inlineStr">
        <is>
          <t>BOOK</t>
        </is>
      </c>
      <c r="BB3" t="inlineStr">
        <is>
          <t>9780521254861</t>
        </is>
      </c>
      <c r="BC3" t="inlineStr">
        <is>
          <t>32285000471770</t>
        </is>
      </c>
      <c r="BD3" t="inlineStr">
        <is>
          <t>893425790</t>
        </is>
      </c>
      <c r="BE3" t="inlineStr">
        <is>
          <t>ZB Smith</t>
        </is>
      </c>
    </row>
    <row r="4">
      <c r="A4" t="inlineStr">
        <is>
          <t>No</t>
        </is>
      </c>
      <c r="B4" t="inlineStr">
        <is>
          <t>BR162.2 .F73</t>
        </is>
      </c>
      <c r="C4" t="inlineStr">
        <is>
          <t>0                      BR 0162200F  73</t>
        </is>
      </c>
      <c r="D4" t="inlineStr">
        <is>
          <t>Religion, popular and unpopular in the early Christian centuries / W. H. C. Frend.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Frend, W. H. C.</t>
        </is>
      </c>
      <c r="L4" t="inlineStr">
        <is>
          <t>London : Variorum Reprints, 1976.</t>
        </is>
      </c>
      <c r="M4" t="inlineStr">
        <is>
          <t>1976</t>
        </is>
      </c>
      <c r="O4" t="inlineStr">
        <is>
          <t>eng</t>
        </is>
      </c>
      <c r="P4" t="inlineStr">
        <is>
          <t>enk</t>
        </is>
      </c>
      <c r="Q4" t="inlineStr">
        <is>
          <t>Variorum reprint ; CS45</t>
        </is>
      </c>
      <c r="R4" t="inlineStr">
        <is>
          <t xml:space="preserve">BR </t>
        </is>
      </c>
      <c r="S4" t="n">
        <v>4</v>
      </c>
      <c r="T4" t="n">
        <v>4</v>
      </c>
      <c r="U4" t="inlineStr">
        <is>
          <t>2007-09-19</t>
        </is>
      </c>
      <c r="V4" t="inlineStr">
        <is>
          <t>2007-09-19</t>
        </is>
      </c>
      <c r="W4" t="inlineStr">
        <is>
          <t>1991-02-06</t>
        </is>
      </c>
      <c r="X4" t="inlineStr">
        <is>
          <t>1991-02-06</t>
        </is>
      </c>
      <c r="Y4" t="n">
        <v>312</v>
      </c>
      <c r="Z4" t="n">
        <v>231</v>
      </c>
      <c r="AA4" t="n">
        <v>239</v>
      </c>
      <c r="AB4" t="n">
        <v>3</v>
      </c>
      <c r="AC4" t="n">
        <v>3</v>
      </c>
      <c r="AD4" t="n">
        <v>16</v>
      </c>
      <c r="AE4" t="n">
        <v>16</v>
      </c>
      <c r="AF4" t="n">
        <v>3</v>
      </c>
      <c r="AG4" t="n">
        <v>3</v>
      </c>
      <c r="AH4" t="n">
        <v>4</v>
      </c>
      <c r="AI4" t="n">
        <v>4</v>
      </c>
      <c r="AJ4" t="n">
        <v>11</v>
      </c>
      <c r="AK4" t="n">
        <v>11</v>
      </c>
      <c r="AL4" t="n">
        <v>2</v>
      </c>
      <c r="AM4" t="n">
        <v>2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HYPERLINK("http://catalog.hathitrust.org/Record/000735525","HathiTrust Record")</f>
        <v/>
      </c>
      <c r="AS4">
        <f>HYPERLINK("https://creighton-primo.hosted.exlibrisgroup.com/primo-explore/search?tab=default_tab&amp;search_scope=EVERYTHING&amp;vid=01CRU&amp;lang=en_US&amp;offset=0&amp;query=any,contains,991004277639702656","Catalog Record")</f>
        <v/>
      </c>
      <c r="AT4">
        <f>HYPERLINK("http://www.worldcat.org/oclc/2896437","WorldCat Record")</f>
        <v/>
      </c>
      <c r="AU4" t="inlineStr">
        <is>
          <t>6697680:eng</t>
        </is>
      </c>
      <c r="AV4" t="inlineStr">
        <is>
          <t>2896437</t>
        </is>
      </c>
      <c r="AW4" t="inlineStr">
        <is>
          <t>991004277639702656</t>
        </is>
      </c>
      <c r="AX4" t="inlineStr">
        <is>
          <t>991004277639702656</t>
        </is>
      </c>
      <c r="AY4" t="inlineStr">
        <is>
          <t>2256332120002656</t>
        </is>
      </c>
      <c r="AZ4" t="inlineStr">
        <is>
          <t>BOOK</t>
        </is>
      </c>
      <c r="BB4" t="inlineStr">
        <is>
          <t>9780902089891</t>
        </is>
      </c>
      <c r="BC4" t="inlineStr">
        <is>
          <t>32285000472265</t>
        </is>
      </c>
      <c r="BD4" t="inlineStr">
        <is>
          <t>893788508</t>
        </is>
      </c>
      <c r="BE4" t="inlineStr">
        <is>
          <t>ZB Smith</t>
        </is>
      </c>
    </row>
    <row r="5">
      <c r="A5" t="inlineStr">
        <is>
          <t>No</t>
        </is>
      </c>
      <c r="B5" t="inlineStr">
        <is>
          <t>BR1720.P3 L53 1977</t>
        </is>
      </c>
      <c r="C5" t="inlineStr">
        <is>
          <t>0                      BR 1720000P  3                  L  53          1977</t>
        </is>
      </c>
      <c r="D5" t="inlineStr">
        <is>
          <t>Paulinus of Nola and early western monasticism : with a study of the chronology of his works and an annotated bibliography, 1879-1976 / by Joseph T. Lienhard.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Lienhard, Joseph T.</t>
        </is>
      </c>
      <c r="L5" t="inlineStr">
        <is>
          <t>Köln : P. Hanstein, 1977.</t>
        </is>
      </c>
      <c r="M5" t="inlineStr">
        <is>
          <t>1977</t>
        </is>
      </c>
      <c r="O5" t="inlineStr">
        <is>
          <t>eng</t>
        </is>
      </c>
      <c r="P5" t="inlineStr">
        <is>
          <t xml:space="preserve">gw </t>
        </is>
      </c>
      <c r="Q5" t="inlineStr">
        <is>
          <t>Theophaneia, Beiträge zur Religions- und Kirchengeschichte des Altertums ; 28</t>
        </is>
      </c>
      <c r="R5" t="inlineStr">
        <is>
          <t xml:space="preserve">BR </t>
        </is>
      </c>
      <c r="S5" t="n">
        <v>3</v>
      </c>
      <c r="T5" t="n">
        <v>3</v>
      </c>
      <c r="U5" t="inlineStr">
        <is>
          <t>2006-01-31</t>
        </is>
      </c>
      <c r="V5" t="inlineStr">
        <is>
          <t>2006-01-31</t>
        </is>
      </c>
      <c r="W5" t="inlineStr">
        <is>
          <t>1991-03-05</t>
        </is>
      </c>
      <c r="X5" t="inlineStr">
        <is>
          <t>1991-03-05</t>
        </is>
      </c>
      <c r="Y5" t="n">
        <v>143</v>
      </c>
      <c r="Z5" t="n">
        <v>86</v>
      </c>
      <c r="AA5" t="n">
        <v>86</v>
      </c>
      <c r="AB5" t="n">
        <v>1</v>
      </c>
      <c r="AC5" t="n">
        <v>1</v>
      </c>
      <c r="AD5" t="n">
        <v>9</v>
      </c>
      <c r="AE5" t="n">
        <v>9</v>
      </c>
      <c r="AF5" t="n">
        <v>1</v>
      </c>
      <c r="AG5" t="n">
        <v>1</v>
      </c>
      <c r="AH5" t="n">
        <v>3</v>
      </c>
      <c r="AI5" t="n">
        <v>3</v>
      </c>
      <c r="AJ5" t="n">
        <v>7</v>
      </c>
      <c r="AK5" t="n">
        <v>7</v>
      </c>
      <c r="AL5" t="n">
        <v>0</v>
      </c>
      <c r="AM5" t="n">
        <v>0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HYPERLINK("https://creighton-primo.hosted.exlibrisgroup.com/primo-explore/search?tab=default_tab&amp;search_scope=EVERYTHING&amp;vid=01CRU&amp;lang=en_US&amp;offset=0&amp;query=any,contains,991004580539702656","Catalog Record")</f>
        <v/>
      </c>
      <c r="AT5">
        <f>HYPERLINK("http://www.worldcat.org/oclc/4056940","WorldCat Record")</f>
        <v/>
      </c>
      <c r="AU5" t="inlineStr">
        <is>
          <t>255603228:eng</t>
        </is>
      </c>
      <c r="AV5" t="inlineStr">
        <is>
          <t>4056940</t>
        </is>
      </c>
      <c r="AW5" t="inlineStr">
        <is>
          <t>991004580539702656</t>
        </is>
      </c>
      <c r="AX5" t="inlineStr">
        <is>
          <t>991004580539702656</t>
        </is>
      </c>
      <c r="AY5" t="inlineStr">
        <is>
          <t>2272105050002656</t>
        </is>
      </c>
      <c r="AZ5" t="inlineStr">
        <is>
          <t>BOOK</t>
        </is>
      </c>
      <c r="BB5" t="inlineStr">
        <is>
          <t>9783775612289</t>
        </is>
      </c>
      <c r="BC5" t="inlineStr">
        <is>
          <t>32285000519248</t>
        </is>
      </c>
      <c r="BD5" t="inlineStr">
        <is>
          <t>893442770</t>
        </is>
      </c>
      <c r="BE5" t="inlineStr">
        <is>
          <t>ZB Smith</t>
        </is>
      </c>
    </row>
    <row r="6">
      <c r="A6" t="inlineStr">
        <is>
          <t>No</t>
        </is>
      </c>
      <c r="B6" t="inlineStr">
        <is>
          <t>BR195.W3 H44 1985</t>
        </is>
      </c>
      <c r="C6" t="inlineStr">
        <is>
          <t>0                      BR 0195000W  3                  H  44          1985</t>
        </is>
      </c>
      <c r="D6" t="inlineStr">
        <is>
          <t>Christians and the military : the early experience / John Helgeland, Robert J. Daly, J. Patout Burns ; ed. by Robert J. Daly.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Helgeland, John.</t>
        </is>
      </c>
      <c r="L6" t="inlineStr">
        <is>
          <t>Philadelphia : Fortress Press, c1985.</t>
        </is>
      </c>
      <c r="M6" t="inlineStr">
        <is>
          <t>1985</t>
        </is>
      </c>
      <c r="O6" t="inlineStr">
        <is>
          <t>eng</t>
        </is>
      </c>
      <c r="P6" t="inlineStr">
        <is>
          <t>pau</t>
        </is>
      </c>
      <c r="R6" t="inlineStr">
        <is>
          <t xml:space="preserve">BR </t>
        </is>
      </c>
      <c r="S6" t="n">
        <v>4</v>
      </c>
      <c r="T6" t="n">
        <v>4</v>
      </c>
      <c r="U6" t="inlineStr">
        <is>
          <t>1994-04-01</t>
        </is>
      </c>
      <c r="V6" t="inlineStr">
        <is>
          <t>1994-04-01</t>
        </is>
      </c>
      <c r="W6" t="inlineStr">
        <is>
          <t>1991-04-04</t>
        </is>
      </c>
      <c r="X6" t="inlineStr">
        <is>
          <t>1991-04-04</t>
        </is>
      </c>
      <c r="Y6" t="n">
        <v>512</v>
      </c>
      <c r="Z6" t="n">
        <v>438</v>
      </c>
      <c r="AA6" t="n">
        <v>444</v>
      </c>
      <c r="AB6" t="n">
        <v>1</v>
      </c>
      <c r="AC6" t="n">
        <v>1</v>
      </c>
      <c r="AD6" t="n">
        <v>34</v>
      </c>
      <c r="AE6" t="n">
        <v>35</v>
      </c>
      <c r="AF6" t="n">
        <v>17</v>
      </c>
      <c r="AG6" t="n">
        <v>17</v>
      </c>
      <c r="AH6" t="n">
        <v>7</v>
      </c>
      <c r="AI6" t="n">
        <v>7</v>
      </c>
      <c r="AJ6" t="n">
        <v>22</v>
      </c>
      <c r="AK6" t="n">
        <v>23</v>
      </c>
      <c r="AL6" t="n">
        <v>0</v>
      </c>
      <c r="AM6" t="n">
        <v>0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HYPERLINK("http://catalog.hathitrust.org/Record/000612340","HathiTrust Record")</f>
        <v/>
      </c>
      <c r="AS6">
        <f>HYPERLINK("https://creighton-primo.hosted.exlibrisgroup.com/primo-explore/search?tab=default_tab&amp;search_scope=EVERYTHING&amp;vid=01CRU&amp;lang=en_US&amp;offset=0&amp;query=any,contains,991000611149702656","Catalog Record")</f>
        <v/>
      </c>
      <c r="AT6">
        <f>HYPERLINK("http://www.worldcat.org/oclc/11915764","WorldCat Record")</f>
        <v/>
      </c>
      <c r="AU6" t="inlineStr">
        <is>
          <t>796552385:eng</t>
        </is>
      </c>
      <c r="AV6" t="inlineStr">
        <is>
          <t>11915764</t>
        </is>
      </c>
      <c r="AW6" t="inlineStr">
        <is>
          <t>991000611149702656</t>
        </is>
      </c>
      <c r="AX6" t="inlineStr">
        <is>
          <t>991000611149702656</t>
        </is>
      </c>
      <c r="AY6" t="inlineStr">
        <is>
          <t>2268983730002656</t>
        </is>
      </c>
      <c r="AZ6" t="inlineStr">
        <is>
          <t>BOOK</t>
        </is>
      </c>
      <c r="BB6" t="inlineStr">
        <is>
          <t>9780800618360</t>
        </is>
      </c>
      <c r="BC6" t="inlineStr">
        <is>
          <t>32285000540962</t>
        </is>
      </c>
      <c r="BD6" t="inlineStr">
        <is>
          <t>893897045</t>
        </is>
      </c>
      <c r="BE6" t="inlineStr">
        <is>
          <t>ZB Smith</t>
        </is>
      </c>
    </row>
    <row r="7">
      <c r="A7" t="inlineStr">
        <is>
          <t>No</t>
        </is>
      </c>
      <c r="B7" t="inlineStr">
        <is>
          <t>BR65.C66 C54</t>
        </is>
      </c>
      <c r="C7" t="inlineStr">
        <is>
          <t>0                      BR 0065000C  66                 C  54</t>
        </is>
      </c>
      <c r="D7" t="inlineStr">
        <is>
          <t>Clement's use of Aristotle : the Aristotelian contribution to Clement of Alexandria's refutation of gnosticism / by Elizabeth A. Clark.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Clark, Elizabeth A. (Elizabeth Ann), 1938-</t>
        </is>
      </c>
      <c r="L7" t="inlineStr">
        <is>
          <t>New York : Edwin Mellen Press, 1977.</t>
        </is>
      </c>
      <c r="M7" t="inlineStr">
        <is>
          <t>1977</t>
        </is>
      </c>
      <c r="O7" t="inlineStr">
        <is>
          <t>eng</t>
        </is>
      </c>
      <c r="P7" t="inlineStr">
        <is>
          <t>nyu</t>
        </is>
      </c>
      <c r="Q7" t="inlineStr">
        <is>
          <t>Texts and studies in religion</t>
        </is>
      </c>
      <c r="R7" t="inlineStr">
        <is>
          <t xml:space="preserve">BR </t>
        </is>
      </c>
      <c r="S7" t="n">
        <v>4</v>
      </c>
      <c r="T7" t="n">
        <v>4</v>
      </c>
      <c r="U7" t="inlineStr">
        <is>
          <t>2008-05-23</t>
        </is>
      </c>
      <c r="V7" t="inlineStr">
        <is>
          <t>2008-05-23</t>
        </is>
      </c>
      <c r="W7" t="inlineStr">
        <is>
          <t>1990-12-11</t>
        </is>
      </c>
      <c r="X7" t="inlineStr">
        <is>
          <t>1990-12-11</t>
        </is>
      </c>
      <c r="Y7" t="n">
        <v>282</v>
      </c>
      <c r="Z7" t="n">
        <v>232</v>
      </c>
      <c r="AA7" t="n">
        <v>247</v>
      </c>
      <c r="AB7" t="n">
        <v>2</v>
      </c>
      <c r="AC7" t="n">
        <v>2</v>
      </c>
      <c r="AD7" t="n">
        <v>13</v>
      </c>
      <c r="AE7" t="n">
        <v>13</v>
      </c>
      <c r="AF7" t="n">
        <v>3</v>
      </c>
      <c r="AG7" t="n">
        <v>3</v>
      </c>
      <c r="AH7" t="n">
        <v>4</v>
      </c>
      <c r="AI7" t="n">
        <v>4</v>
      </c>
      <c r="AJ7" t="n">
        <v>10</v>
      </c>
      <c r="AK7" t="n">
        <v>10</v>
      </c>
      <c r="AL7" t="n">
        <v>0</v>
      </c>
      <c r="AM7" t="n">
        <v>0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HYPERLINK("https://creighton-primo.hosted.exlibrisgroup.com/primo-explore/search?tab=default_tab&amp;search_scope=EVERYTHING&amp;vid=01CRU&amp;lang=en_US&amp;offset=0&amp;query=any,contains,991004537679702656","Catalog Record")</f>
        <v/>
      </c>
      <c r="AT7">
        <f>HYPERLINK("http://www.worldcat.org/oclc/3875609","WorldCat Record")</f>
        <v/>
      </c>
      <c r="AU7" t="inlineStr">
        <is>
          <t>4382587:eng</t>
        </is>
      </c>
      <c r="AV7" t="inlineStr">
        <is>
          <t>3875609</t>
        </is>
      </c>
      <c r="AW7" t="inlineStr">
        <is>
          <t>991004537679702656</t>
        </is>
      </c>
      <c r="AX7" t="inlineStr">
        <is>
          <t>991004537679702656</t>
        </is>
      </c>
      <c r="AY7" t="inlineStr">
        <is>
          <t>2269415020002656</t>
        </is>
      </c>
      <c r="AZ7" t="inlineStr">
        <is>
          <t>BOOK</t>
        </is>
      </c>
      <c r="BB7" t="inlineStr">
        <is>
          <t>9780889469853</t>
        </is>
      </c>
      <c r="BC7" t="inlineStr">
        <is>
          <t>32285000412394</t>
        </is>
      </c>
      <c r="BD7" t="inlineStr">
        <is>
          <t>893536044</t>
        </is>
      </c>
      <c r="BE7" t="inlineStr">
        <is>
          <t>ZB Smith</t>
        </is>
      </c>
    </row>
    <row r="8">
      <c r="A8" t="inlineStr">
        <is>
          <t>No</t>
        </is>
      </c>
      <c r="B8" t="inlineStr">
        <is>
          <t>BS 1199</t>
        </is>
      </c>
      <c r="C8" t="inlineStr">
        <is>
          <t>0                      BS 1199000</t>
        </is>
      </c>
      <c r="D8" t="inlineStr">
        <is>
          <t>Law and the administration of justice in the Old Testament and ancient East / Hans Jochen Boecker ; translated by Jeremy Moiser.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Boecker, Hans Jochen, 1928-</t>
        </is>
      </c>
      <c r="L8" t="inlineStr">
        <is>
          <t>Minneapolis : Augsburg, 1980.</t>
        </is>
      </c>
      <c r="M8" t="inlineStr">
        <is>
          <t>1980</t>
        </is>
      </c>
      <c r="O8" t="inlineStr">
        <is>
          <t>eng</t>
        </is>
      </c>
      <c r="P8" t="inlineStr">
        <is>
          <t>xxu</t>
        </is>
      </c>
      <c r="R8" t="inlineStr">
        <is>
          <t xml:space="preserve">BS </t>
        </is>
      </c>
      <c r="S8" t="n">
        <v>6</v>
      </c>
      <c r="T8" t="n">
        <v>6</v>
      </c>
      <c r="U8" t="inlineStr">
        <is>
          <t>2006-09-26</t>
        </is>
      </c>
      <c r="V8" t="inlineStr">
        <is>
          <t>2006-09-26</t>
        </is>
      </c>
      <c r="W8" t="inlineStr">
        <is>
          <t>1990-11-14</t>
        </is>
      </c>
      <c r="X8" t="inlineStr">
        <is>
          <t>1990-11-14</t>
        </is>
      </c>
      <c r="Y8" t="n">
        <v>408</v>
      </c>
      <c r="Z8" t="n">
        <v>340</v>
      </c>
      <c r="AA8" t="n">
        <v>349</v>
      </c>
      <c r="AB8" t="n">
        <v>3</v>
      </c>
      <c r="AC8" t="n">
        <v>3</v>
      </c>
      <c r="AD8" t="n">
        <v>22</v>
      </c>
      <c r="AE8" t="n">
        <v>22</v>
      </c>
      <c r="AF8" t="n">
        <v>10</v>
      </c>
      <c r="AG8" t="n">
        <v>10</v>
      </c>
      <c r="AH8" t="n">
        <v>5</v>
      </c>
      <c r="AI8" t="n">
        <v>5</v>
      </c>
      <c r="AJ8" t="n">
        <v>12</v>
      </c>
      <c r="AK8" t="n">
        <v>12</v>
      </c>
      <c r="AL8" t="n">
        <v>2</v>
      </c>
      <c r="AM8" t="n">
        <v>2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HYPERLINK("https://creighton-primo.hosted.exlibrisgroup.com/primo-explore/search?tab=default_tab&amp;search_scope=EVERYTHING&amp;vid=01CRU&amp;lang=en_US&amp;offset=0&amp;query=any,contains,991005073459702656","Catalog Record")</f>
        <v/>
      </c>
      <c r="AT8">
        <f>HYPERLINK("http://www.worldcat.org/oclc/7069065","WorldCat Record")</f>
        <v/>
      </c>
      <c r="AU8" t="inlineStr">
        <is>
          <t>3768552272:eng</t>
        </is>
      </c>
      <c r="AV8" t="inlineStr">
        <is>
          <t>7069065</t>
        </is>
      </c>
      <c r="AW8" t="inlineStr">
        <is>
          <t>991005073459702656</t>
        </is>
      </c>
      <c r="AX8" t="inlineStr">
        <is>
          <t>991005073459702656</t>
        </is>
      </c>
      <c r="AY8" t="inlineStr">
        <is>
          <t>2264903530002656</t>
        </is>
      </c>
      <c r="AZ8" t="inlineStr">
        <is>
          <t>BOOK</t>
        </is>
      </c>
      <c r="BB8" t="inlineStr">
        <is>
          <t>9780806618012</t>
        </is>
      </c>
      <c r="BC8" t="inlineStr">
        <is>
          <t>32285000386978</t>
        </is>
      </c>
      <c r="BD8" t="inlineStr">
        <is>
          <t>893606778</t>
        </is>
      </c>
      <c r="BE8" t="inlineStr">
        <is>
          <t>Simkins</t>
        </is>
      </c>
    </row>
    <row r="9">
      <c r="A9" t="inlineStr">
        <is>
          <t>No</t>
        </is>
      </c>
      <c r="B9" t="inlineStr">
        <is>
          <t>BS1161.R3 C73</t>
        </is>
      </c>
      <c r="C9" t="inlineStr">
        <is>
          <t>0                      BS 1161000R  3                  C  73</t>
        </is>
      </c>
      <c r="D9" t="inlineStr">
        <is>
          <t>Gerhard von Rad / by James L. Crenshaw.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Crenshaw, James L.</t>
        </is>
      </c>
      <c r="L9" t="inlineStr">
        <is>
          <t>Waco, Tex. : Word Books, c1978.</t>
        </is>
      </c>
      <c r="M9" t="inlineStr">
        <is>
          <t>1978</t>
        </is>
      </c>
      <c r="O9" t="inlineStr">
        <is>
          <t>eng</t>
        </is>
      </c>
      <c r="P9" t="inlineStr">
        <is>
          <t>txu</t>
        </is>
      </c>
      <c r="Q9" t="inlineStr">
        <is>
          <t>Makers of the modern theological mind</t>
        </is>
      </c>
      <c r="R9" t="inlineStr">
        <is>
          <t xml:space="preserve">BS </t>
        </is>
      </c>
      <c r="S9" t="n">
        <v>2</v>
      </c>
      <c r="T9" t="n">
        <v>2</v>
      </c>
      <c r="U9" t="inlineStr">
        <is>
          <t>2005-09-14</t>
        </is>
      </c>
      <c r="V9" t="inlineStr">
        <is>
          <t>2005-09-14</t>
        </is>
      </c>
      <c r="W9" t="inlineStr">
        <is>
          <t>1990-11-05</t>
        </is>
      </c>
      <c r="X9" t="inlineStr">
        <is>
          <t>1990-11-05</t>
        </is>
      </c>
      <c r="Y9" t="n">
        <v>508</v>
      </c>
      <c r="Z9" t="n">
        <v>435</v>
      </c>
      <c r="AA9" t="n">
        <v>454</v>
      </c>
      <c r="AB9" t="n">
        <v>4</v>
      </c>
      <c r="AC9" t="n">
        <v>4</v>
      </c>
      <c r="AD9" t="n">
        <v>28</v>
      </c>
      <c r="AE9" t="n">
        <v>29</v>
      </c>
      <c r="AF9" t="n">
        <v>9</v>
      </c>
      <c r="AG9" t="n">
        <v>9</v>
      </c>
      <c r="AH9" t="n">
        <v>5</v>
      </c>
      <c r="AI9" t="n">
        <v>5</v>
      </c>
      <c r="AJ9" t="n">
        <v>16</v>
      </c>
      <c r="AK9" t="n">
        <v>17</v>
      </c>
      <c r="AL9" t="n">
        <v>3</v>
      </c>
      <c r="AM9" t="n">
        <v>3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HYPERLINK("http://catalog.hathitrust.org/Record/009754840","HathiTrust Record")</f>
        <v/>
      </c>
      <c r="AS9">
        <f>HYPERLINK("https://creighton-primo.hosted.exlibrisgroup.com/primo-explore/search?tab=default_tab&amp;search_scope=EVERYTHING&amp;vid=01CRU&amp;lang=en_US&amp;offset=0&amp;query=any,contains,991004629609702656","Catalog Record")</f>
        <v/>
      </c>
      <c r="AT9">
        <f>HYPERLINK("http://www.worldcat.org/oclc/4362610","WorldCat Record")</f>
        <v/>
      </c>
      <c r="AU9" t="inlineStr">
        <is>
          <t>1909330659:eng</t>
        </is>
      </c>
      <c r="AV9" t="inlineStr">
        <is>
          <t>4362610</t>
        </is>
      </c>
      <c r="AW9" t="inlineStr">
        <is>
          <t>991004629609702656</t>
        </is>
      </c>
      <c r="AX9" t="inlineStr">
        <is>
          <t>991004629609702656</t>
        </is>
      </c>
      <c r="AY9" t="inlineStr">
        <is>
          <t>2265792720002656</t>
        </is>
      </c>
      <c r="AZ9" t="inlineStr">
        <is>
          <t>BOOK</t>
        </is>
      </c>
      <c r="BB9" t="inlineStr">
        <is>
          <t>9780849901126</t>
        </is>
      </c>
      <c r="BC9" t="inlineStr">
        <is>
          <t>32285000380823</t>
        </is>
      </c>
      <c r="BD9" t="inlineStr">
        <is>
          <t>893810606</t>
        </is>
      </c>
      <c r="BE9" t="inlineStr">
        <is>
          <t>Simkins</t>
        </is>
      </c>
    </row>
    <row r="10">
      <c r="A10" t="inlineStr">
        <is>
          <t>No</t>
        </is>
      </c>
      <c r="B10" t="inlineStr">
        <is>
          <t>BS1192.6 .M66 1997</t>
        </is>
      </c>
      <c r="C10" t="inlineStr">
        <is>
          <t>0                      BS 1192600M  66          1997</t>
        </is>
      </c>
      <c r="D10" t="inlineStr">
        <is>
          <t>The rise of Yahwism : the roots of Israelite monotheism / by Johannes C. De Moor.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Yes</t>
        </is>
      </c>
      <c r="J10" t="inlineStr">
        <is>
          <t>0</t>
        </is>
      </c>
      <c r="K10" t="inlineStr">
        <is>
          <t>Moor, Johannes C. de (Johannes Cornelis), 1935-</t>
        </is>
      </c>
      <c r="L10" t="inlineStr">
        <is>
          <t>Leuven : University Press : Uitgeverij Peeters, 1997.</t>
        </is>
      </c>
      <c r="M10" t="inlineStr">
        <is>
          <t>1997</t>
        </is>
      </c>
      <c r="N10" t="inlineStr">
        <is>
          <t>Rev. and enlarged ed.</t>
        </is>
      </c>
      <c r="O10" t="inlineStr">
        <is>
          <t>eng</t>
        </is>
      </c>
      <c r="P10" t="inlineStr">
        <is>
          <t xml:space="preserve">be </t>
        </is>
      </c>
      <c r="Q10" t="inlineStr">
        <is>
          <t>Bibliotheca Ephemeridum theologicarum Lovaniensium ; 91</t>
        </is>
      </c>
      <c r="R10" t="inlineStr">
        <is>
          <t xml:space="preserve">BS </t>
        </is>
      </c>
      <c r="S10" t="n">
        <v>4</v>
      </c>
      <c r="T10" t="n">
        <v>4</v>
      </c>
      <c r="U10" t="inlineStr">
        <is>
          <t>2009-03-30</t>
        </is>
      </c>
      <c r="V10" t="inlineStr">
        <is>
          <t>2009-03-30</t>
        </is>
      </c>
      <c r="W10" t="inlineStr">
        <is>
          <t>1999-03-23</t>
        </is>
      </c>
      <c r="X10" t="inlineStr">
        <is>
          <t>1999-03-23</t>
        </is>
      </c>
      <c r="Y10" t="n">
        <v>171</v>
      </c>
      <c r="Z10" t="n">
        <v>117</v>
      </c>
      <c r="AA10" t="n">
        <v>173</v>
      </c>
      <c r="AB10" t="n">
        <v>1</v>
      </c>
      <c r="AC10" t="n">
        <v>1</v>
      </c>
      <c r="AD10" t="n">
        <v>11</v>
      </c>
      <c r="AE10" t="n">
        <v>14</v>
      </c>
      <c r="AF10" t="n">
        <v>6</v>
      </c>
      <c r="AG10" t="n">
        <v>7</v>
      </c>
      <c r="AH10" t="n">
        <v>2</v>
      </c>
      <c r="AI10" t="n">
        <v>4</v>
      </c>
      <c r="AJ10" t="n">
        <v>5</v>
      </c>
      <c r="AK10" t="n">
        <v>7</v>
      </c>
      <c r="AL10" t="n">
        <v>0</v>
      </c>
      <c r="AM10" t="n">
        <v>0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HYPERLINK("http://catalog.hathitrust.org/Record/004906207","HathiTrust Record")</f>
        <v/>
      </c>
      <c r="AS10">
        <f>HYPERLINK("https://creighton-primo.hosted.exlibrisgroup.com/primo-explore/search?tab=default_tab&amp;search_scope=EVERYTHING&amp;vid=01CRU&amp;lang=en_US&amp;offset=0&amp;query=any,contains,991002906049702656","Catalog Record")</f>
        <v/>
      </c>
      <c r="AT10">
        <f>HYPERLINK("http://www.worldcat.org/oclc/38371111","WorldCat Record")</f>
        <v/>
      </c>
      <c r="AU10" t="inlineStr">
        <is>
          <t>891381200:eng</t>
        </is>
      </c>
      <c r="AV10" t="inlineStr">
        <is>
          <t>38371111</t>
        </is>
      </c>
      <c r="AW10" t="inlineStr">
        <is>
          <t>991002906049702656</t>
        </is>
      </c>
      <c r="AX10" t="inlineStr">
        <is>
          <t>991002906049702656</t>
        </is>
      </c>
      <c r="AY10" t="inlineStr">
        <is>
          <t>2261383470002656</t>
        </is>
      </c>
      <c r="AZ10" t="inlineStr">
        <is>
          <t>BOOK</t>
        </is>
      </c>
      <c r="BB10" t="inlineStr">
        <is>
          <t>9789061868392</t>
        </is>
      </c>
      <c r="BC10" t="inlineStr">
        <is>
          <t>32285003545315</t>
        </is>
      </c>
      <c r="BD10" t="inlineStr">
        <is>
          <t>893227420</t>
        </is>
      </c>
      <c r="BE10" t="inlineStr">
        <is>
          <t>Simkins</t>
        </is>
      </c>
    </row>
    <row r="11">
      <c r="A11" t="inlineStr">
        <is>
          <t>No</t>
        </is>
      </c>
      <c r="B11" t="inlineStr">
        <is>
          <t>BS1199.D73 D38 1985</t>
        </is>
      </c>
      <c r="C11" t="inlineStr">
        <is>
          <t>0                      BS 1199000D  73                 D  38          1985</t>
        </is>
      </c>
      <c r="D11" t="inlineStr">
        <is>
          <t>God's conflict with the dragon and the sea : echoes of a Canaanite myth in the Old Testament / John Day.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Day, John, 1948-</t>
        </is>
      </c>
      <c r="L11" t="inlineStr">
        <is>
          <t>Cambridge [Cambridgeshire] ; New York : Cambridge University Press, 1985.</t>
        </is>
      </c>
      <c r="M11" t="inlineStr">
        <is>
          <t>1985</t>
        </is>
      </c>
      <c r="O11" t="inlineStr">
        <is>
          <t>eng</t>
        </is>
      </c>
      <c r="P11" t="inlineStr">
        <is>
          <t>mau</t>
        </is>
      </c>
      <c r="Q11" t="inlineStr">
        <is>
          <t>University of Cambridge oriental publications ; no. 35</t>
        </is>
      </c>
      <c r="R11" t="inlineStr">
        <is>
          <t xml:space="preserve">BS </t>
        </is>
      </c>
      <c r="S11" t="n">
        <v>8</v>
      </c>
      <c r="T11" t="n">
        <v>8</v>
      </c>
      <c r="U11" t="inlineStr">
        <is>
          <t>2003-02-21</t>
        </is>
      </c>
      <c r="V11" t="inlineStr">
        <is>
          <t>2003-02-21</t>
        </is>
      </c>
      <c r="W11" t="inlineStr">
        <is>
          <t>1990-11-14</t>
        </is>
      </c>
      <c r="X11" t="inlineStr">
        <is>
          <t>1990-11-14</t>
        </is>
      </c>
      <c r="Y11" t="n">
        <v>420</v>
      </c>
      <c r="Z11" t="n">
        <v>304</v>
      </c>
      <c r="AA11" t="n">
        <v>309</v>
      </c>
      <c r="AB11" t="n">
        <v>3</v>
      </c>
      <c r="AC11" t="n">
        <v>3</v>
      </c>
      <c r="AD11" t="n">
        <v>13</v>
      </c>
      <c r="AE11" t="n">
        <v>13</v>
      </c>
      <c r="AF11" t="n">
        <v>3</v>
      </c>
      <c r="AG11" t="n">
        <v>3</v>
      </c>
      <c r="AH11" t="n">
        <v>4</v>
      </c>
      <c r="AI11" t="n">
        <v>4</v>
      </c>
      <c r="AJ11" t="n">
        <v>7</v>
      </c>
      <c r="AK11" t="n">
        <v>7</v>
      </c>
      <c r="AL11" t="n">
        <v>1</v>
      </c>
      <c r="AM11" t="n">
        <v>1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HYPERLINK("https://creighton-primo.hosted.exlibrisgroup.com/primo-explore/search?tab=default_tab&amp;search_scope=EVERYTHING&amp;vid=01CRU&amp;lang=en_US&amp;offset=0&amp;query=any,contains,991000306719702656","Catalog Record")</f>
        <v/>
      </c>
      <c r="AT11">
        <f>HYPERLINK("http://www.worldcat.org/oclc/10071909","WorldCat Record")</f>
        <v/>
      </c>
      <c r="AU11" t="inlineStr">
        <is>
          <t>3110359:eng</t>
        </is>
      </c>
      <c r="AV11" t="inlineStr">
        <is>
          <t>10071909</t>
        </is>
      </c>
      <c r="AW11" t="inlineStr">
        <is>
          <t>991000306719702656</t>
        </is>
      </c>
      <c r="AX11" t="inlineStr">
        <is>
          <t>991000306719702656</t>
        </is>
      </c>
      <c r="AY11" t="inlineStr">
        <is>
          <t>2265075980002656</t>
        </is>
      </c>
      <c r="AZ11" t="inlineStr">
        <is>
          <t>BOOK</t>
        </is>
      </c>
      <c r="BB11" t="inlineStr">
        <is>
          <t>9780521256001</t>
        </is>
      </c>
      <c r="BC11" t="inlineStr">
        <is>
          <t>32285000386853</t>
        </is>
      </c>
      <c r="BD11" t="inlineStr">
        <is>
          <t>893515173</t>
        </is>
      </c>
      <c r="BE11" t="inlineStr">
        <is>
          <t>Simkins</t>
        </is>
      </c>
    </row>
    <row r="12">
      <c r="A12" t="inlineStr">
        <is>
          <t>No</t>
        </is>
      </c>
      <c r="B12" t="inlineStr">
        <is>
          <t>BS1224.A77 G46 1986</t>
        </is>
      </c>
      <c r="C12" t="inlineStr">
        <is>
          <t>0                      BS 1224000A  77                 G  46          1986</t>
        </is>
      </c>
      <c r="D12" t="inlineStr">
        <is>
          <t>Genizah manuscripts of Palestinian Targum to the Pentateuch / [edited and translated by] Michael L. Klein.</t>
        </is>
      </c>
      <c r="E12" t="inlineStr">
        <is>
          <t>V.1</t>
        </is>
      </c>
      <c r="F12" t="inlineStr">
        <is>
          <t>Yes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L12" t="inlineStr">
        <is>
          <t>Cincinnati : Hebrew Union College Press ; Hoboken, N.J. (900 Jefferson St., Hoboken 07030-7205) : Distributed by Ktav, 1986.</t>
        </is>
      </c>
      <c r="M12" t="inlineStr">
        <is>
          <t>1987</t>
        </is>
      </c>
      <c r="O12" t="inlineStr">
        <is>
          <t>eng</t>
        </is>
      </c>
      <c r="P12" t="inlineStr">
        <is>
          <t>ohu</t>
        </is>
      </c>
      <c r="R12" t="inlineStr">
        <is>
          <t xml:space="preserve">BS </t>
        </is>
      </c>
      <c r="S12" t="n">
        <v>2</v>
      </c>
      <c r="T12" t="n">
        <v>2</v>
      </c>
      <c r="U12" t="inlineStr">
        <is>
          <t>1996-06-20</t>
        </is>
      </c>
      <c r="V12" t="inlineStr">
        <is>
          <t>1996-06-20</t>
        </is>
      </c>
      <c r="W12" t="inlineStr">
        <is>
          <t>1991-07-09</t>
        </is>
      </c>
      <c r="X12" t="inlineStr">
        <is>
          <t>1991-07-09</t>
        </is>
      </c>
      <c r="Y12" t="n">
        <v>187</v>
      </c>
      <c r="Z12" t="n">
        <v>140</v>
      </c>
      <c r="AA12" t="n">
        <v>145</v>
      </c>
      <c r="AB12" t="n">
        <v>1</v>
      </c>
      <c r="AC12" t="n">
        <v>1</v>
      </c>
      <c r="AD12" t="n">
        <v>9</v>
      </c>
      <c r="AE12" t="n">
        <v>9</v>
      </c>
      <c r="AF12" t="n">
        <v>3</v>
      </c>
      <c r="AG12" t="n">
        <v>3</v>
      </c>
      <c r="AH12" t="n">
        <v>3</v>
      </c>
      <c r="AI12" t="n">
        <v>3</v>
      </c>
      <c r="AJ12" t="n">
        <v>7</v>
      </c>
      <c r="AK12" t="n">
        <v>7</v>
      </c>
      <c r="AL12" t="n">
        <v>0</v>
      </c>
      <c r="AM12" t="n">
        <v>0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HYPERLINK("http://catalog.hathitrust.org/Record/000832950","HathiTrust Record")</f>
        <v/>
      </c>
      <c r="AS12">
        <f>HYPERLINK("https://creighton-primo.hosted.exlibrisgroup.com/primo-explore/search?tab=default_tab&amp;search_scope=EVERYTHING&amp;vid=01CRU&amp;lang=en_US&amp;offset=0&amp;query=any,contains,991000858679702656","Catalog Record")</f>
        <v/>
      </c>
      <c r="AT12">
        <f>HYPERLINK("http://www.worldcat.org/oclc/13668200","WorldCat Record")</f>
        <v/>
      </c>
      <c r="AU12" t="inlineStr">
        <is>
          <t>7146456:eng</t>
        </is>
      </c>
      <c r="AV12" t="inlineStr">
        <is>
          <t>13668200</t>
        </is>
      </c>
      <c r="AW12" t="inlineStr">
        <is>
          <t>991000858679702656</t>
        </is>
      </c>
      <c r="AX12" t="inlineStr">
        <is>
          <t>991000858679702656</t>
        </is>
      </c>
      <c r="AY12" t="inlineStr">
        <is>
          <t>2264293050002656</t>
        </is>
      </c>
      <c r="AZ12" t="inlineStr">
        <is>
          <t>BOOK</t>
        </is>
      </c>
      <c r="BB12" t="inlineStr">
        <is>
          <t>9780878202065</t>
        </is>
      </c>
      <c r="BC12" t="inlineStr">
        <is>
          <t>32285000690882</t>
        </is>
      </c>
      <c r="BD12" t="inlineStr">
        <is>
          <t>893225379</t>
        </is>
      </c>
      <c r="BE12" t="inlineStr">
        <is>
          <t>ZB Smith</t>
        </is>
      </c>
    </row>
    <row r="13">
      <c r="A13" t="inlineStr">
        <is>
          <t>No</t>
        </is>
      </c>
      <c r="B13" t="inlineStr">
        <is>
          <t>BS1224.A77 G46 1986</t>
        </is>
      </c>
      <c r="C13" t="inlineStr">
        <is>
          <t>0                      BS 1224000A  77                 G  46          1986</t>
        </is>
      </c>
      <c r="D13" t="inlineStr">
        <is>
          <t>Genizah manuscripts of Palestinian Targum to the Pentateuch / [edited and translated by] Michael L. Klein.</t>
        </is>
      </c>
      <c r="E13" t="inlineStr">
        <is>
          <t>V.2</t>
        </is>
      </c>
      <c r="F13" t="inlineStr">
        <is>
          <t>Yes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L13" t="inlineStr">
        <is>
          <t>Cincinnati : Hebrew Union College Press ; Hoboken, N.J. (900 Jefferson St., Hoboken 07030-7205) : Distributed by Ktav, 1986.</t>
        </is>
      </c>
      <c r="M13" t="inlineStr">
        <is>
          <t>1987</t>
        </is>
      </c>
      <c r="O13" t="inlineStr">
        <is>
          <t>eng</t>
        </is>
      </c>
      <c r="P13" t="inlineStr">
        <is>
          <t>ohu</t>
        </is>
      </c>
      <c r="R13" t="inlineStr">
        <is>
          <t xml:space="preserve">BS </t>
        </is>
      </c>
      <c r="S13" t="n">
        <v>0</v>
      </c>
      <c r="T13" t="n">
        <v>2</v>
      </c>
      <c r="V13" t="inlineStr">
        <is>
          <t>1996-06-20</t>
        </is>
      </c>
      <c r="W13" t="inlineStr">
        <is>
          <t>1990-11-20</t>
        </is>
      </c>
      <c r="X13" t="inlineStr">
        <is>
          <t>1991-07-09</t>
        </is>
      </c>
      <c r="Y13" t="n">
        <v>187</v>
      </c>
      <c r="Z13" t="n">
        <v>140</v>
      </c>
      <c r="AA13" t="n">
        <v>145</v>
      </c>
      <c r="AB13" t="n">
        <v>1</v>
      </c>
      <c r="AC13" t="n">
        <v>1</v>
      </c>
      <c r="AD13" t="n">
        <v>9</v>
      </c>
      <c r="AE13" t="n">
        <v>9</v>
      </c>
      <c r="AF13" t="n">
        <v>3</v>
      </c>
      <c r="AG13" t="n">
        <v>3</v>
      </c>
      <c r="AH13" t="n">
        <v>3</v>
      </c>
      <c r="AI13" t="n">
        <v>3</v>
      </c>
      <c r="AJ13" t="n">
        <v>7</v>
      </c>
      <c r="AK13" t="n">
        <v>7</v>
      </c>
      <c r="AL13" t="n">
        <v>0</v>
      </c>
      <c r="AM13" t="n">
        <v>0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HYPERLINK("http://catalog.hathitrust.org/Record/000832950","HathiTrust Record")</f>
        <v/>
      </c>
      <c r="AS13">
        <f>HYPERLINK("https://creighton-primo.hosted.exlibrisgroup.com/primo-explore/search?tab=default_tab&amp;search_scope=EVERYTHING&amp;vid=01CRU&amp;lang=en_US&amp;offset=0&amp;query=any,contains,991000858679702656","Catalog Record")</f>
        <v/>
      </c>
      <c r="AT13">
        <f>HYPERLINK("http://www.worldcat.org/oclc/13668200","WorldCat Record")</f>
        <v/>
      </c>
      <c r="AU13" t="inlineStr">
        <is>
          <t>7146456:eng</t>
        </is>
      </c>
      <c r="AV13" t="inlineStr">
        <is>
          <t>13668200</t>
        </is>
      </c>
      <c r="AW13" t="inlineStr">
        <is>
          <t>991000858679702656</t>
        </is>
      </c>
      <c r="AX13" t="inlineStr">
        <is>
          <t>991000858679702656</t>
        </is>
      </c>
      <c r="AY13" t="inlineStr">
        <is>
          <t>2264293050002656</t>
        </is>
      </c>
      <c r="AZ13" t="inlineStr">
        <is>
          <t>BOOK</t>
        </is>
      </c>
      <c r="BB13" t="inlineStr">
        <is>
          <t>9780878202065</t>
        </is>
      </c>
      <c r="BC13" t="inlineStr">
        <is>
          <t>32285000389212</t>
        </is>
      </c>
      <c r="BD13" t="inlineStr">
        <is>
          <t>893225380</t>
        </is>
      </c>
      <c r="BE13" t="inlineStr">
        <is>
          <t>ZB Smith</t>
        </is>
      </c>
    </row>
    <row r="14">
      <c r="A14" t="inlineStr">
        <is>
          <t>No</t>
        </is>
      </c>
      <c r="B14" t="inlineStr">
        <is>
          <t>BS1225.2 .V36 1999</t>
        </is>
      </c>
      <c r="C14" t="inlineStr">
        <is>
          <t>0                      BS 1225200V  36          1999</t>
        </is>
      </c>
      <c r="D14" t="inlineStr">
        <is>
          <t>The Pentateuch : a social-science commentary / John Van Seters.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Yes</t>
        </is>
      </c>
      <c r="J14" t="inlineStr">
        <is>
          <t>0</t>
        </is>
      </c>
      <c r="K14" t="inlineStr">
        <is>
          <t>Van Seters, John.</t>
        </is>
      </c>
      <c r="L14" t="inlineStr">
        <is>
          <t>Sheffield : Sheffield Academic Press, 1999.</t>
        </is>
      </c>
      <c r="M14" t="inlineStr">
        <is>
          <t>1999</t>
        </is>
      </c>
      <c r="O14" t="inlineStr">
        <is>
          <t>eng</t>
        </is>
      </c>
      <c r="P14" t="inlineStr">
        <is>
          <t>enk</t>
        </is>
      </c>
      <c r="Q14" t="inlineStr">
        <is>
          <t>Trajectories ; 1</t>
        </is>
      </c>
      <c r="R14" t="inlineStr">
        <is>
          <t xml:space="preserve">BS </t>
        </is>
      </c>
      <c r="S14" t="n">
        <v>7</v>
      </c>
      <c r="T14" t="n">
        <v>7</v>
      </c>
      <c r="U14" t="inlineStr">
        <is>
          <t>2005-10-24</t>
        </is>
      </c>
      <c r="V14" t="inlineStr">
        <is>
          <t>2005-10-24</t>
        </is>
      </c>
      <c r="W14" t="inlineStr">
        <is>
          <t>2001-04-03</t>
        </is>
      </c>
      <c r="X14" t="inlineStr">
        <is>
          <t>2001-04-03</t>
        </is>
      </c>
      <c r="Y14" t="n">
        <v>256</v>
      </c>
      <c r="Z14" t="n">
        <v>157</v>
      </c>
      <c r="AA14" t="n">
        <v>562</v>
      </c>
      <c r="AB14" t="n">
        <v>1</v>
      </c>
      <c r="AC14" t="n">
        <v>4</v>
      </c>
      <c r="AD14" t="n">
        <v>14</v>
      </c>
      <c r="AE14" t="n">
        <v>30</v>
      </c>
      <c r="AF14" t="n">
        <v>5</v>
      </c>
      <c r="AG14" t="n">
        <v>15</v>
      </c>
      <c r="AH14" t="n">
        <v>3</v>
      </c>
      <c r="AI14" t="n">
        <v>6</v>
      </c>
      <c r="AJ14" t="n">
        <v>8</v>
      </c>
      <c r="AK14" t="n">
        <v>14</v>
      </c>
      <c r="AL14" t="n">
        <v>0</v>
      </c>
      <c r="AM14" t="n">
        <v>3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HYPERLINK("https://creighton-primo.hosted.exlibrisgroup.com/primo-explore/search?tab=default_tab&amp;search_scope=EVERYTHING&amp;vid=01CRU&amp;lang=en_US&amp;offset=0&amp;query=any,contains,991003363409702656","Catalog Record")</f>
        <v/>
      </c>
      <c r="AT14">
        <f>HYPERLINK("http://www.worldcat.org/oclc/42877068","WorldCat Record")</f>
        <v/>
      </c>
      <c r="AU14" t="inlineStr">
        <is>
          <t>837012511:eng</t>
        </is>
      </c>
      <c r="AV14" t="inlineStr">
        <is>
          <t>42877068</t>
        </is>
      </c>
      <c r="AW14" t="inlineStr">
        <is>
          <t>991003363409702656</t>
        </is>
      </c>
      <c r="AX14" t="inlineStr">
        <is>
          <t>991003363409702656</t>
        </is>
      </c>
      <c r="AY14" t="inlineStr">
        <is>
          <t>2263392360002656</t>
        </is>
      </c>
      <c r="AZ14" t="inlineStr">
        <is>
          <t>BOOK</t>
        </is>
      </c>
      <c r="BB14" t="inlineStr">
        <is>
          <t>9781841270272</t>
        </is>
      </c>
      <c r="BC14" t="inlineStr">
        <is>
          <t>32285004309422</t>
        </is>
      </c>
      <c r="BD14" t="inlineStr">
        <is>
          <t>893692663</t>
        </is>
      </c>
      <c r="BE14" t="inlineStr">
        <is>
          <t>Simkins</t>
        </is>
      </c>
    </row>
    <row r="15">
      <c r="A15" t="inlineStr">
        <is>
          <t>No</t>
        </is>
      </c>
      <c r="B15" t="inlineStr">
        <is>
          <t>BS1235 .O74 1976</t>
        </is>
      </c>
      <c r="C15" t="inlineStr">
        <is>
          <t>0                      BS 1235000O  74          1976</t>
        </is>
      </c>
      <c r="D15" t="inlineStr">
        <is>
          <t>Homélies sur la Genèse / Origène ; introduction de Henri de Lubac, S.J., et Louis Doutreleau, S.J. ; texte latin, traduction et notes de Louis Doutreleau.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Origen.</t>
        </is>
      </c>
      <c r="L15" t="inlineStr">
        <is>
          <t>Paris : Éditions du Cerf, 1976.</t>
        </is>
      </c>
      <c r="M15" t="inlineStr">
        <is>
          <t>1976</t>
        </is>
      </c>
      <c r="O15" t="inlineStr">
        <is>
          <t>fre</t>
        </is>
      </c>
      <c r="P15" t="inlineStr">
        <is>
          <t xml:space="preserve">fr </t>
        </is>
      </c>
      <c r="Q15" t="inlineStr">
        <is>
          <t>Sources chrétiennes ; no. 7 bis</t>
        </is>
      </c>
      <c r="R15" t="inlineStr">
        <is>
          <t xml:space="preserve">BS </t>
        </is>
      </c>
      <c r="S15" t="n">
        <v>6</v>
      </c>
      <c r="T15" t="n">
        <v>6</v>
      </c>
      <c r="U15" t="inlineStr">
        <is>
          <t>2005-04-07</t>
        </is>
      </c>
      <c r="V15" t="inlineStr">
        <is>
          <t>2005-04-07</t>
        </is>
      </c>
      <c r="W15" t="inlineStr">
        <is>
          <t>1990-11-21</t>
        </is>
      </c>
      <c r="X15" t="inlineStr">
        <is>
          <t>1990-11-21</t>
        </is>
      </c>
      <c r="Y15" t="n">
        <v>149</v>
      </c>
      <c r="Z15" t="n">
        <v>97</v>
      </c>
      <c r="AA15" t="n">
        <v>133</v>
      </c>
      <c r="AB15" t="n">
        <v>1</v>
      </c>
      <c r="AC15" t="n">
        <v>2</v>
      </c>
      <c r="AD15" t="n">
        <v>10</v>
      </c>
      <c r="AE15" t="n">
        <v>12</v>
      </c>
      <c r="AF15" t="n">
        <v>2</v>
      </c>
      <c r="AG15" t="n">
        <v>2</v>
      </c>
      <c r="AH15" t="n">
        <v>3</v>
      </c>
      <c r="AI15" t="n">
        <v>3</v>
      </c>
      <c r="AJ15" t="n">
        <v>7</v>
      </c>
      <c r="AK15" t="n">
        <v>9</v>
      </c>
      <c r="AL15" t="n">
        <v>0</v>
      </c>
      <c r="AM15" t="n">
        <v>0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HYPERLINK("http://catalog.hathitrust.org/Record/000254365","HathiTrust Record")</f>
        <v/>
      </c>
      <c r="AS15">
        <f>HYPERLINK("https://creighton-primo.hosted.exlibrisgroup.com/primo-explore/search?tab=default_tab&amp;search_scope=EVERYTHING&amp;vid=01CRU&amp;lang=en_US&amp;offset=0&amp;query=any,contains,991004343279702656","Catalog Record")</f>
        <v/>
      </c>
      <c r="AT15">
        <f>HYPERLINK("http://www.worldcat.org/oclc/3091520","WorldCat Record")</f>
        <v/>
      </c>
      <c r="AU15" t="inlineStr">
        <is>
          <t>4927879762:fre</t>
        </is>
      </c>
      <c r="AV15" t="inlineStr">
        <is>
          <t>3091520</t>
        </is>
      </c>
      <c r="AW15" t="inlineStr">
        <is>
          <t>991004343279702656</t>
        </is>
      </c>
      <c r="AX15" t="inlineStr">
        <is>
          <t>991004343279702656</t>
        </is>
      </c>
      <c r="AY15" t="inlineStr">
        <is>
          <t>2261024460002656</t>
        </is>
      </c>
      <c r="AZ15" t="inlineStr">
        <is>
          <t>BOOK</t>
        </is>
      </c>
      <c r="BB15" t="inlineStr">
        <is>
          <t>9782204010856</t>
        </is>
      </c>
      <c r="BC15" t="inlineStr">
        <is>
          <t>32285000383223</t>
        </is>
      </c>
      <c r="BD15" t="inlineStr">
        <is>
          <t>893241302</t>
        </is>
      </c>
      <c r="BE15" t="inlineStr">
        <is>
          <t>ZB Smith</t>
        </is>
      </c>
    </row>
    <row r="16">
      <c r="A16" t="inlineStr">
        <is>
          <t>No</t>
        </is>
      </c>
      <c r="B16" t="inlineStr">
        <is>
          <t>BS1235 .R7714 1968</t>
        </is>
      </c>
      <c r="C16" t="inlineStr">
        <is>
          <t>0                      BS 1235000R  7714        1968</t>
        </is>
      </c>
      <c r="D16" t="inlineStr">
        <is>
          <t>Les Bénédictions des Patriarches / [par] Rufin d'Aquilée. Introduction, texte latin, notes et commentaire par Manlio Simonetti. Traduction de H. Rochais, revue par P. Antin.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Rufinus, of Aquileia, 345-410.</t>
        </is>
      </c>
      <c r="L16" t="inlineStr">
        <is>
          <t>Paris : Éditions du Cerf, 1968.</t>
        </is>
      </c>
      <c r="M16" t="inlineStr">
        <is>
          <t>1968</t>
        </is>
      </c>
      <c r="O16" t="inlineStr">
        <is>
          <t>lat</t>
        </is>
      </c>
      <c r="P16" t="inlineStr">
        <is>
          <t>___</t>
        </is>
      </c>
      <c r="Q16" t="inlineStr">
        <is>
          <t>Sources chrétiennes ; no 140</t>
        </is>
      </c>
      <c r="R16" t="inlineStr">
        <is>
          <t xml:space="preserve">BS </t>
        </is>
      </c>
      <c r="S16" t="n">
        <v>9</v>
      </c>
      <c r="T16" t="n">
        <v>9</v>
      </c>
      <c r="U16" t="inlineStr">
        <is>
          <t>2009-10-06</t>
        </is>
      </c>
      <c r="V16" t="inlineStr">
        <is>
          <t>2009-10-06</t>
        </is>
      </c>
      <c r="W16" t="inlineStr">
        <is>
          <t>1990-11-21</t>
        </is>
      </c>
      <c r="X16" t="inlineStr">
        <is>
          <t>1990-11-21</t>
        </is>
      </c>
      <c r="Y16" t="n">
        <v>232</v>
      </c>
      <c r="Z16" t="n">
        <v>148</v>
      </c>
      <c r="AA16" t="n">
        <v>150</v>
      </c>
      <c r="AB16" t="n">
        <v>2</v>
      </c>
      <c r="AC16" t="n">
        <v>2</v>
      </c>
      <c r="AD16" t="n">
        <v>17</v>
      </c>
      <c r="AE16" t="n">
        <v>17</v>
      </c>
      <c r="AF16" t="n">
        <v>4</v>
      </c>
      <c r="AG16" t="n">
        <v>4</v>
      </c>
      <c r="AH16" t="n">
        <v>3</v>
      </c>
      <c r="AI16" t="n">
        <v>3</v>
      </c>
      <c r="AJ16" t="n">
        <v>13</v>
      </c>
      <c r="AK16" t="n">
        <v>13</v>
      </c>
      <c r="AL16" t="n">
        <v>1</v>
      </c>
      <c r="AM16" t="n">
        <v>1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HYPERLINK("http://catalog.hathitrust.org/Record/001410124","HathiTrust Record")</f>
        <v/>
      </c>
      <c r="AS16">
        <f>HYPERLINK("https://creighton-primo.hosted.exlibrisgroup.com/primo-explore/search?tab=default_tab&amp;search_scope=EVERYTHING&amp;vid=01CRU&amp;lang=en_US&amp;offset=0&amp;query=any,contains,991003518299702656","Catalog Record")</f>
        <v/>
      </c>
      <c r="AT16">
        <f>HYPERLINK("http://www.worldcat.org/oclc/1076934","WorldCat Record")</f>
        <v/>
      </c>
      <c r="AU16" t="inlineStr">
        <is>
          <t>2038076:lat</t>
        </is>
      </c>
      <c r="AV16" t="inlineStr">
        <is>
          <t>1076934</t>
        </is>
      </c>
      <c r="AW16" t="inlineStr">
        <is>
          <t>991003518299702656</t>
        </is>
      </c>
      <c r="AX16" t="inlineStr">
        <is>
          <t>991003518299702656</t>
        </is>
      </c>
      <c r="AY16" t="inlineStr">
        <is>
          <t>2257268140002656</t>
        </is>
      </c>
      <c r="AZ16" t="inlineStr">
        <is>
          <t>BOOK</t>
        </is>
      </c>
      <c r="BC16" t="inlineStr">
        <is>
          <t>32285000383249</t>
        </is>
      </c>
      <c r="BD16" t="inlineStr">
        <is>
          <t>893441373</t>
        </is>
      </c>
      <c r="BE16" t="inlineStr">
        <is>
          <t>ZB Smith</t>
        </is>
      </c>
    </row>
    <row r="17">
      <c r="A17" t="inlineStr">
        <is>
          <t>No</t>
        </is>
      </c>
      <c r="B17" t="inlineStr">
        <is>
          <t>BS1235.2 .M46</t>
        </is>
      </c>
      <c r="C17" t="inlineStr">
        <is>
          <t>0                      BS 1235200M  46</t>
        </is>
      </c>
      <c r="D17" t="inlineStr">
        <is>
          <t>Genesis 1-11 : studies in structure &amp; theme / by Patrick D. Miller, Jr.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Miller, Patrick D.</t>
        </is>
      </c>
      <c r="L17" t="inlineStr">
        <is>
          <t>Sheffield : Journal for the study of the Old Testament, 1978.</t>
        </is>
      </c>
      <c r="M17" t="inlineStr">
        <is>
          <t>1978</t>
        </is>
      </c>
      <c r="O17" t="inlineStr">
        <is>
          <t>eng</t>
        </is>
      </c>
      <c r="P17" t="inlineStr">
        <is>
          <t>enk</t>
        </is>
      </c>
      <c r="Q17" t="inlineStr">
        <is>
          <t>Journal for the study of the Old Testament. Supplement series ; 8</t>
        </is>
      </c>
      <c r="R17" t="inlineStr">
        <is>
          <t xml:space="preserve">BS </t>
        </is>
      </c>
      <c r="S17" t="n">
        <v>9</v>
      </c>
      <c r="T17" t="n">
        <v>9</v>
      </c>
      <c r="U17" t="inlineStr">
        <is>
          <t>2009-02-20</t>
        </is>
      </c>
      <c r="V17" t="inlineStr">
        <is>
          <t>2009-02-20</t>
        </is>
      </c>
      <c r="W17" t="inlineStr">
        <is>
          <t>1990-11-21</t>
        </is>
      </c>
      <c r="X17" t="inlineStr">
        <is>
          <t>1990-11-21</t>
        </is>
      </c>
      <c r="Y17" t="n">
        <v>159</v>
      </c>
      <c r="Z17" t="n">
        <v>119</v>
      </c>
      <c r="AA17" t="n">
        <v>169</v>
      </c>
      <c r="AB17" t="n">
        <v>1</v>
      </c>
      <c r="AC17" t="n">
        <v>1</v>
      </c>
      <c r="AD17" t="n">
        <v>7</v>
      </c>
      <c r="AE17" t="n">
        <v>8</v>
      </c>
      <c r="AF17" t="n">
        <v>2</v>
      </c>
      <c r="AG17" t="n">
        <v>2</v>
      </c>
      <c r="AH17" t="n">
        <v>1</v>
      </c>
      <c r="AI17" t="n">
        <v>2</v>
      </c>
      <c r="AJ17" t="n">
        <v>6</v>
      </c>
      <c r="AK17" t="n">
        <v>6</v>
      </c>
      <c r="AL17" t="n">
        <v>0</v>
      </c>
      <c r="AM17" t="n">
        <v>0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HYPERLINK("http://catalog.hathitrust.org/Record/101934910","HathiTrust Record")</f>
        <v/>
      </c>
      <c r="AS17">
        <f>HYPERLINK("https://creighton-primo.hosted.exlibrisgroup.com/primo-explore/search?tab=default_tab&amp;search_scope=EVERYTHING&amp;vid=01CRU&amp;lang=en_US&amp;offset=0&amp;query=any,contains,991004941499702656","Catalog Record")</f>
        <v/>
      </c>
      <c r="AT17">
        <f>HYPERLINK("http://www.worldcat.org/oclc/6194447","WorldCat Record")</f>
        <v/>
      </c>
      <c r="AU17" t="inlineStr">
        <is>
          <t>196107105:eng</t>
        </is>
      </c>
      <c r="AV17" t="inlineStr">
        <is>
          <t>6194447</t>
        </is>
      </c>
      <c r="AW17" t="inlineStr">
        <is>
          <t>991004941499702656</t>
        </is>
      </c>
      <c r="AX17" t="inlineStr">
        <is>
          <t>991004941499702656</t>
        </is>
      </c>
      <c r="AY17" t="inlineStr">
        <is>
          <t>2262728560002656</t>
        </is>
      </c>
      <c r="AZ17" t="inlineStr">
        <is>
          <t>BOOK</t>
        </is>
      </c>
      <c r="BB17" t="inlineStr">
        <is>
          <t>9780905774077</t>
        </is>
      </c>
      <c r="BC17" t="inlineStr">
        <is>
          <t>32285000383348</t>
        </is>
      </c>
      <c r="BD17" t="inlineStr">
        <is>
          <t>893719577</t>
        </is>
      </c>
      <c r="BE17" t="inlineStr">
        <is>
          <t>Simkins</t>
        </is>
      </c>
    </row>
    <row r="18">
      <c r="A18" t="inlineStr">
        <is>
          <t>No</t>
        </is>
      </c>
      <c r="B18" t="inlineStr">
        <is>
          <t>BS1245 .S39 1999</t>
        </is>
      </c>
      <c r="C18" t="inlineStr">
        <is>
          <t>0                      BS 1245000S  39          1999</t>
        </is>
      </c>
      <c r="D18" t="inlineStr">
        <is>
          <t>La chaîne sur l'Exode. I, Fragments de Sévère d'Antioche / texte grec établi et traduit par Françoise Petit ; glossaire syriaque par Lucas Van Rompay.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Severus, of Antioch, approximately 465-538.</t>
        </is>
      </c>
      <c r="L18" t="inlineStr">
        <is>
          <t>Lovanii : In Aedibus Peeters, 1999.</t>
        </is>
      </c>
      <c r="M18" t="inlineStr">
        <is>
          <t>1999</t>
        </is>
      </c>
      <c r="O18" t="inlineStr">
        <is>
          <t>fre</t>
        </is>
      </c>
      <c r="P18" t="inlineStr">
        <is>
          <t xml:space="preserve">be </t>
        </is>
      </c>
      <c r="Q18" t="inlineStr">
        <is>
          <t>Traditio exegetica Graeca ; 9</t>
        </is>
      </c>
      <c r="R18" t="inlineStr">
        <is>
          <t xml:space="preserve">BS </t>
        </is>
      </c>
      <c r="S18" t="n">
        <v>2</v>
      </c>
      <c r="T18" t="n">
        <v>2</v>
      </c>
      <c r="U18" t="inlineStr">
        <is>
          <t>2002-08-20</t>
        </is>
      </c>
      <c r="V18" t="inlineStr">
        <is>
          <t>2002-08-20</t>
        </is>
      </c>
      <c r="W18" t="inlineStr">
        <is>
          <t>2002-08-20</t>
        </is>
      </c>
      <c r="X18" t="inlineStr">
        <is>
          <t>2002-08-20</t>
        </is>
      </c>
      <c r="Y18" t="n">
        <v>46</v>
      </c>
      <c r="Z18" t="n">
        <v>42</v>
      </c>
      <c r="AA18" t="n">
        <v>48</v>
      </c>
      <c r="AB18" t="n">
        <v>1</v>
      </c>
      <c r="AC18" t="n">
        <v>1</v>
      </c>
      <c r="AD18" t="n">
        <v>4</v>
      </c>
      <c r="AE18" t="n">
        <v>4</v>
      </c>
      <c r="AF18" t="n">
        <v>0</v>
      </c>
      <c r="AG18" t="n">
        <v>0</v>
      </c>
      <c r="AH18" t="n">
        <v>1</v>
      </c>
      <c r="AI18" t="n">
        <v>1</v>
      </c>
      <c r="AJ18" t="n">
        <v>3</v>
      </c>
      <c r="AK18" t="n">
        <v>3</v>
      </c>
      <c r="AL18" t="n">
        <v>0</v>
      </c>
      <c r="AM18" t="n">
        <v>0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HYPERLINK("http://catalog.hathitrust.org/Record/102008044","HathiTrust Record")</f>
        <v/>
      </c>
      <c r="AS18">
        <f>HYPERLINK("https://creighton-primo.hosted.exlibrisgroup.com/primo-explore/search?tab=default_tab&amp;search_scope=EVERYTHING&amp;vid=01CRU&amp;lang=en_US&amp;offset=0&amp;query=any,contains,991003837969702656","Catalog Record")</f>
        <v/>
      </c>
      <c r="AT18">
        <f>HYPERLINK("http://www.worldcat.org/oclc/42276155","WorldCat Record")</f>
        <v/>
      </c>
      <c r="AU18" t="inlineStr">
        <is>
          <t>2797014762:fre</t>
        </is>
      </c>
      <c r="AV18" t="inlineStr">
        <is>
          <t>42276155</t>
        </is>
      </c>
      <c r="AW18" t="inlineStr">
        <is>
          <t>991003837969702656</t>
        </is>
      </c>
      <c r="AX18" t="inlineStr">
        <is>
          <t>991003837969702656</t>
        </is>
      </c>
      <c r="AY18" t="inlineStr">
        <is>
          <t>2272322000002656</t>
        </is>
      </c>
      <c r="AZ18" t="inlineStr">
        <is>
          <t>BOOK</t>
        </is>
      </c>
      <c r="BB18" t="inlineStr">
        <is>
          <t>9782877234306</t>
        </is>
      </c>
      <c r="BC18" t="inlineStr">
        <is>
          <t>32285004644141</t>
        </is>
      </c>
      <c r="BD18" t="inlineStr">
        <is>
          <t>893617849</t>
        </is>
      </c>
      <c r="BE18" t="inlineStr">
        <is>
          <t>ZB Smith</t>
        </is>
      </c>
    </row>
    <row r="19">
      <c r="A19" t="inlineStr">
        <is>
          <t>No</t>
        </is>
      </c>
      <c r="B19" t="inlineStr">
        <is>
          <t>BS1245.2 .C44 2001</t>
        </is>
      </c>
      <c r="C19" t="inlineStr">
        <is>
          <t>0                      BS 1245200C  44          2001</t>
        </is>
      </c>
      <c r="D19" t="inlineStr">
        <is>
          <t>La chaîne sur l'Exode : édition intégrale. IV, Fonds catʹenique ancien (Exode 15,22-40,32) / texte grec établi par Françoise Petit.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L19" t="inlineStr">
        <is>
          <t>Louvain : Peeters, 2001.</t>
        </is>
      </c>
      <c r="M19" t="inlineStr">
        <is>
          <t>2001</t>
        </is>
      </c>
      <c r="O19" t="inlineStr">
        <is>
          <t>fre</t>
        </is>
      </c>
      <c r="P19" t="inlineStr">
        <is>
          <t xml:space="preserve">be </t>
        </is>
      </c>
      <c r="Q19" t="inlineStr">
        <is>
          <t>Traditio exegetica Graeca ; 11</t>
        </is>
      </c>
      <c r="R19" t="inlineStr">
        <is>
          <t xml:space="preserve">BS </t>
        </is>
      </c>
      <c r="S19" t="n">
        <v>1</v>
      </c>
      <c r="T19" t="n">
        <v>1</v>
      </c>
      <c r="U19" t="inlineStr">
        <is>
          <t>2004-02-16</t>
        </is>
      </c>
      <c r="V19" t="inlineStr">
        <is>
          <t>2004-02-16</t>
        </is>
      </c>
      <c r="W19" t="inlineStr">
        <is>
          <t>2004-02-16</t>
        </is>
      </c>
      <c r="X19" t="inlineStr">
        <is>
          <t>2004-02-16</t>
        </is>
      </c>
      <c r="Y19" t="n">
        <v>22</v>
      </c>
      <c r="Z19" t="n">
        <v>21</v>
      </c>
      <c r="AA19" t="n">
        <v>21</v>
      </c>
      <c r="AB19" t="n">
        <v>1</v>
      </c>
      <c r="AC19" t="n">
        <v>1</v>
      </c>
      <c r="AD19" t="n">
        <v>2</v>
      </c>
      <c r="AE19" t="n">
        <v>2</v>
      </c>
      <c r="AF19" t="n">
        <v>0</v>
      </c>
      <c r="AG19" t="n">
        <v>0</v>
      </c>
      <c r="AH19" t="n">
        <v>0</v>
      </c>
      <c r="AI19" t="n">
        <v>0</v>
      </c>
      <c r="AJ19" t="n">
        <v>2</v>
      </c>
      <c r="AK19" t="n">
        <v>2</v>
      </c>
      <c r="AL19" t="n">
        <v>0</v>
      </c>
      <c r="AM19" t="n">
        <v>0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HYPERLINK("https://creighton-primo.hosted.exlibrisgroup.com/primo-explore/search?tab=default_tab&amp;search_scope=EVERYTHING&amp;vid=01CRU&amp;lang=en_US&amp;offset=0&amp;query=any,contains,991004219489702656","Catalog Record")</f>
        <v/>
      </c>
      <c r="AT19">
        <f>HYPERLINK("http://www.worldcat.org/oclc/45829488","WorldCat Record")</f>
        <v/>
      </c>
      <c r="AU19" t="inlineStr">
        <is>
          <t>145083254:fre</t>
        </is>
      </c>
      <c r="AV19" t="inlineStr">
        <is>
          <t>45829488</t>
        </is>
      </c>
      <c r="AW19" t="inlineStr">
        <is>
          <t>991004219489702656</t>
        </is>
      </c>
      <c r="AX19" t="inlineStr">
        <is>
          <t>991004219489702656</t>
        </is>
      </c>
      <c r="AY19" t="inlineStr">
        <is>
          <t>2255009510002656</t>
        </is>
      </c>
      <c r="AZ19" t="inlineStr">
        <is>
          <t>BOOK</t>
        </is>
      </c>
      <c r="BB19" t="inlineStr">
        <is>
          <t>9782877235617</t>
        </is>
      </c>
      <c r="BC19" t="inlineStr">
        <is>
          <t>32285004638911</t>
        </is>
      </c>
      <c r="BD19" t="inlineStr">
        <is>
          <t>893235215</t>
        </is>
      </c>
      <c r="BE19" t="inlineStr">
        <is>
          <t>ZB Smith</t>
        </is>
      </c>
    </row>
    <row r="20">
      <c r="A20" t="inlineStr">
        <is>
          <t>No</t>
        </is>
      </c>
      <c r="B20" t="inlineStr">
        <is>
          <t>BS1295.3 .O73</t>
        </is>
      </c>
      <c r="C20" t="inlineStr">
        <is>
          <t>0                      BS 1295300O  73</t>
        </is>
      </c>
      <c r="D20" t="inlineStr">
        <is>
          <t>Homélies sur Josué / Texte latin, introd., traduction et notes de Annie Jaubert.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Origen.</t>
        </is>
      </c>
      <c r="L20" t="inlineStr">
        <is>
          <t>Paris : Éditions du Cerf, 1960.</t>
        </is>
      </c>
      <c r="M20" t="inlineStr">
        <is>
          <t>1960</t>
        </is>
      </c>
      <c r="O20" t="inlineStr">
        <is>
          <t>mul</t>
        </is>
      </c>
      <c r="P20" t="inlineStr">
        <is>
          <t>|||</t>
        </is>
      </c>
      <c r="Q20" t="inlineStr">
        <is>
          <t>Sources chrétiennes ; no 71</t>
        </is>
      </c>
      <c r="R20" t="inlineStr">
        <is>
          <t xml:space="preserve">BS </t>
        </is>
      </c>
      <c r="S20" t="n">
        <v>5</v>
      </c>
      <c r="T20" t="n">
        <v>5</v>
      </c>
      <c r="U20" t="inlineStr">
        <is>
          <t>2003-09-05</t>
        </is>
      </c>
      <c r="V20" t="inlineStr">
        <is>
          <t>2003-09-05</t>
        </is>
      </c>
      <c r="W20" t="inlineStr">
        <is>
          <t>1990-11-27</t>
        </is>
      </c>
      <c r="X20" t="inlineStr">
        <is>
          <t>1990-11-27</t>
        </is>
      </c>
      <c r="Y20" t="n">
        <v>212</v>
      </c>
      <c r="Z20" t="n">
        <v>150</v>
      </c>
      <c r="AA20" t="n">
        <v>168</v>
      </c>
      <c r="AB20" t="n">
        <v>2</v>
      </c>
      <c r="AC20" t="n">
        <v>2</v>
      </c>
      <c r="AD20" t="n">
        <v>18</v>
      </c>
      <c r="AE20" t="n">
        <v>19</v>
      </c>
      <c r="AF20" t="n">
        <v>4</v>
      </c>
      <c r="AG20" t="n">
        <v>5</v>
      </c>
      <c r="AH20" t="n">
        <v>4</v>
      </c>
      <c r="AI20" t="n">
        <v>4</v>
      </c>
      <c r="AJ20" t="n">
        <v>13</v>
      </c>
      <c r="AK20" t="n">
        <v>14</v>
      </c>
      <c r="AL20" t="n">
        <v>1</v>
      </c>
      <c r="AM20" t="n">
        <v>1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HYPERLINK("http://catalog.hathitrust.org/Record/001933726","HathiTrust Record")</f>
        <v/>
      </c>
      <c r="AS20">
        <f>HYPERLINK("https://creighton-primo.hosted.exlibrisgroup.com/primo-explore/search?tab=default_tab&amp;search_scope=EVERYTHING&amp;vid=01CRU&amp;lang=en_US&amp;offset=0&amp;query=any,contains,991003348339702656","Catalog Record")</f>
        <v/>
      </c>
      <c r="AT20">
        <f>HYPERLINK("http://www.worldcat.org/oclc/880472","WorldCat Record")</f>
        <v/>
      </c>
      <c r="AU20" t="inlineStr">
        <is>
          <t>4916562572:fre</t>
        </is>
      </c>
      <c r="AV20" t="inlineStr">
        <is>
          <t>880472</t>
        </is>
      </c>
      <c r="AW20" t="inlineStr">
        <is>
          <t>991003348339702656</t>
        </is>
      </c>
      <c r="AX20" t="inlineStr">
        <is>
          <t>991003348339702656</t>
        </is>
      </c>
      <c r="AY20" t="inlineStr">
        <is>
          <t>2261830240002656</t>
        </is>
      </c>
      <c r="AZ20" t="inlineStr">
        <is>
          <t>BOOK</t>
        </is>
      </c>
      <c r="BC20" t="inlineStr">
        <is>
          <t>32285000384270</t>
        </is>
      </c>
      <c r="BD20" t="inlineStr">
        <is>
          <t>893511874</t>
        </is>
      </c>
      <c r="BE20" t="inlineStr">
        <is>
          <t>ZB Smith</t>
        </is>
      </c>
    </row>
    <row r="21">
      <c r="A21" t="inlineStr">
        <is>
          <t>No</t>
        </is>
      </c>
      <c r="B21" t="inlineStr">
        <is>
          <t>BS1325 .O7512 1986</t>
        </is>
      </c>
      <c r="C21" t="inlineStr">
        <is>
          <t>0                      BS 1325000O  7512        1986</t>
        </is>
      </c>
      <c r="D21" t="inlineStr">
        <is>
          <t>Homélies sur Samuel / Origène ; édition critique, introduction, traduction et notes par Pierre et Marie-Thérèse Nautin.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Origen.</t>
        </is>
      </c>
      <c r="L21" t="inlineStr">
        <is>
          <t>Paris : Editions du Cerf, 1986.</t>
        </is>
      </c>
      <c r="M21" t="inlineStr">
        <is>
          <t>1986</t>
        </is>
      </c>
      <c r="O21" t="inlineStr">
        <is>
          <t>fre</t>
        </is>
      </c>
      <c r="P21" t="inlineStr">
        <is>
          <t xml:space="preserve">fr </t>
        </is>
      </c>
      <c r="Q21" t="inlineStr">
        <is>
          <t>Sources chrétiennes, 0750-1978 ; no 328</t>
        </is>
      </c>
      <c r="R21" t="inlineStr">
        <is>
          <t xml:space="preserve">BS </t>
        </is>
      </c>
      <c r="S21" t="n">
        <v>8</v>
      </c>
      <c r="T21" t="n">
        <v>8</v>
      </c>
      <c r="U21" t="inlineStr">
        <is>
          <t>2008-03-26</t>
        </is>
      </c>
      <c r="V21" t="inlineStr">
        <is>
          <t>2008-03-26</t>
        </is>
      </c>
      <c r="W21" t="inlineStr">
        <is>
          <t>1998-11-04</t>
        </is>
      </c>
      <c r="X21" t="inlineStr">
        <is>
          <t>1998-11-04</t>
        </is>
      </c>
      <c r="Y21" t="n">
        <v>220</v>
      </c>
      <c r="Z21" t="n">
        <v>134</v>
      </c>
      <c r="AA21" t="n">
        <v>137</v>
      </c>
      <c r="AB21" t="n">
        <v>3</v>
      </c>
      <c r="AC21" t="n">
        <v>3</v>
      </c>
      <c r="AD21" t="n">
        <v>14</v>
      </c>
      <c r="AE21" t="n">
        <v>14</v>
      </c>
      <c r="AF21" t="n">
        <v>3</v>
      </c>
      <c r="AG21" t="n">
        <v>3</v>
      </c>
      <c r="AH21" t="n">
        <v>2</v>
      </c>
      <c r="AI21" t="n">
        <v>2</v>
      </c>
      <c r="AJ21" t="n">
        <v>12</v>
      </c>
      <c r="AK21" t="n">
        <v>12</v>
      </c>
      <c r="AL21" t="n">
        <v>1</v>
      </c>
      <c r="AM21" t="n">
        <v>1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HYPERLINK("http://catalog.hathitrust.org/Record/000398914","HathiTrust Record")</f>
        <v/>
      </c>
      <c r="AS21">
        <f>HYPERLINK("https://creighton-primo.hosted.exlibrisgroup.com/primo-explore/search?tab=default_tab&amp;search_scope=EVERYTHING&amp;vid=01CRU&amp;lang=en_US&amp;offset=0&amp;query=any,contains,991001246269702656","Catalog Record")</f>
        <v/>
      </c>
      <c r="AT21">
        <f>HYPERLINK("http://www.worldcat.org/oclc/17650028","WorldCat Record")</f>
        <v/>
      </c>
      <c r="AU21" t="inlineStr">
        <is>
          <t>138566056:fre</t>
        </is>
      </c>
      <c r="AV21" t="inlineStr">
        <is>
          <t>17650028</t>
        </is>
      </c>
      <c r="AW21" t="inlineStr">
        <is>
          <t>991001246269702656</t>
        </is>
      </c>
      <c r="AX21" t="inlineStr">
        <is>
          <t>991001246269702656</t>
        </is>
      </c>
      <c r="AY21" t="inlineStr">
        <is>
          <t>2268292500002656</t>
        </is>
      </c>
      <c r="AZ21" t="inlineStr">
        <is>
          <t>BOOK</t>
        </is>
      </c>
      <c r="BB21" t="inlineStr">
        <is>
          <t>9782204025874</t>
        </is>
      </c>
      <c r="BC21" t="inlineStr">
        <is>
          <t>32285003485827</t>
        </is>
      </c>
      <c r="BD21" t="inlineStr">
        <is>
          <t>893803482</t>
        </is>
      </c>
      <c r="BE21" t="inlineStr">
        <is>
          <t>ZB Smith</t>
        </is>
      </c>
    </row>
    <row r="22">
      <c r="A22" t="inlineStr">
        <is>
          <t>No</t>
        </is>
      </c>
      <c r="B22" t="inlineStr">
        <is>
          <t>BS1335.2 .K66 1993</t>
        </is>
      </c>
      <c r="C22" t="inlineStr">
        <is>
          <t>0                      BS 1335200K  66          1993</t>
        </is>
      </c>
      <c r="D22" t="inlineStr">
        <is>
          <t>Two nations under God : the Deuteronomistic history of Solomon and the dual monarchies / Gary N. Knoppers.</t>
        </is>
      </c>
      <c r="E22" t="inlineStr">
        <is>
          <t>V.1</t>
        </is>
      </c>
      <c r="F22" t="inlineStr">
        <is>
          <t>Yes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Knoppers, Gary N., 1956-</t>
        </is>
      </c>
      <c r="L22" t="inlineStr">
        <is>
          <t>Atlanta, Ga. : Scholars Press, c1993-c1994.</t>
        </is>
      </c>
      <c r="M22" t="inlineStr">
        <is>
          <t>1993</t>
        </is>
      </c>
      <c r="O22" t="inlineStr">
        <is>
          <t>eng</t>
        </is>
      </c>
      <c r="P22" t="inlineStr">
        <is>
          <t>gau</t>
        </is>
      </c>
      <c r="Q22" t="inlineStr">
        <is>
          <t>Harvard Semitic monographs ; no. 52-53</t>
        </is>
      </c>
      <c r="R22" t="inlineStr">
        <is>
          <t xml:space="preserve">BS </t>
        </is>
      </c>
      <c r="S22" t="n">
        <v>8</v>
      </c>
      <c r="T22" t="n">
        <v>14</v>
      </c>
      <c r="U22" t="inlineStr">
        <is>
          <t>2010-09-29</t>
        </is>
      </c>
      <c r="V22" t="inlineStr">
        <is>
          <t>2010-09-29</t>
        </is>
      </c>
      <c r="W22" t="inlineStr">
        <is>
          <t>1995-05-01</t>
        </is>
      </c>
      <c r="X22" t="inlineStr">
        <is>
          <t>1996-10-02</t>
        </is>
      </c>
      <c r="Y22" t="n">
        <v>277</v>
      </c>
      <c r="Z22" t="n">
        <v>212</v>
      </c>
      <c r="AA22" t="n">
        <v>235</v>
      </c>
      <c r="AB22" t="n">
        <v>3</v>
      </c>
      <c r="AC22" t="n">
        <v>3</v>
      </c>
      <c r="AD22" t="n">
        <v>16</v>
      </c>
      <c r="AE22" t="n">
        <v>18</v>
      </c>
      <c r="AF22" t="n">
        <v>7</v>
      </c>
      <c r="AG22" t="n">
        <v>9</v>
      </c>
      <c r="AH22" t="n">
        <v>5</v>
      </c>
      <c r="AI22" t="n">
        <v>6</v>
      </c>
      <c r="AJ22" t="n">
        <v>8</v>
      </c>
      <c r="AK22" t="n">
        <v>9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HYPERLINK("http://catalog.hathitrust.org/Record/002784499","HathiTrust Record")</f>
        <v/>
      </c>
      <c r="AS22">
        <f>HYPERLINK("https://creighton-primo.hosted.exlibrisgroup.com/primo-explore/search?tab=default_tab&amp;search_scope=EVERYTHING&amp;vid=01CRU&amp;lang=en_US&amp;offset=0&amp;query=any,contains,991002249929702656","Catalog Record")</f>
        <v/>
      </c>
      <c r="AT22">
        <f>HYPERLINK("http://www.worldcat.org/oclc/29031406","WorldCat Record")</f>
        <v/>
      </c>
      <c r="AU22" t="inlineStr">
        <is>
          <t>31365119:eng</t>
        </is>
      </c>
      <c r="AV22" t="inlineStr">
        <is>
          <t>29031406</t>
        </is>
      </c>
      <c r="AW22" t="inlineStr">
        <is>
          <t>991002249929702656</t>
        </is>
      </c>
      <c r="AX22" t="inlineStr">
        <is>
          <t>991002249929702656</t>
        </is>
      </c>
      <c r="AY22" t="inlineStr">
        <is>
          <t>2263686000002656</t>
        </is>
      </c>
      <c r="AZ22" t="inlineStr">
        <is>
          <t>BOOK</t>
        </is>
      </c>
      <c r="BB22" t="inlineStr">
        <is>
          <t>9781555409135</t>
        </is>
      </c>
      <c r="BC22" t="inlineStr">
        <is>
          <t>32285002036977</t>
        </is>
      </c>
      <c r="BD22" t="inlineStr">
        <is>
          <t>893408866</t>
        </is>
      </c>
      <c r="BE22" t="inlineStr">
        <is>
          <t>Simkins</t>
        </is>
      </c>
    </row>
    <row r="23">
      <c r="A23" t="inlineStr">
        <is>
          <t>No</t>
        </is>
      </c>
      <c r="B23" t="inlineStr">
        <is>
          <t>BS1335.2 .K66 1993</t>
        </is>
      </c>
      <c r="C23" t="inlineStr">
        <is>
          <t>0                      BS 1335200K  66          1993</t>
        </is>
      </c>
      <c r="D23" t="inlineStr">
        <is>
          <t>Two nations under God : the Deuteronomistic history of Solomon and the dual monarchies / Gary N. Knoppers.</t>
        </is>
      </c>
      <c r="E23" t="inlineStr">
        <is>
          <t>V.2</t>
        </is>
      </c>
      <c r="F23" t="inlineStr">
        <is>
          <t>Yes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Knoppers, Gary N., 1956-</t>
        </is>
      </c>
      <c r="L23" t="inlineStr">
        <is>
          <t>Atlanta, Ga. : Scholars Press, c1993-c1994.</t>
        </is>
      </c>
      <c r="M23" t="inlineStr">
        <is>
          <t>1993</t>
        </is>
      </c>
      <c r="O23" t="inlineStr">
        <is>
          <t>eng</t>
        </is>
      </c>
      <c r="P23" t="inlineStr">
        <is>
          <t>gau</t>
        </is>
      </c>
      <c r="Q23" t="inlineStr">
        <is>
          <t>Harvard Semitic monographs ; no. 52-53</t>
        </is>
      </c>
      <c r="R23" t="inlineStr">
        <is>
          <t xml:space="preserve">BS </t>
        </is>
      </c>
      <c r="S23" t="n">
        <v>6</v>
      </c>
      <c r="T23" t="n">
        <v>14</v>
      </c>
      <c r="U23" t="inlineStr">
        <is>
          <t>2009-06-24</t>
        </is>
      </c>
      <c r="V23" t="inlineStr">
        <is>
          <t>2010-09-29</t>
        </is>
      </c>
      <c r="W23" t="inlineStr">
        <is>
          <t>1996-10-02</t>
        </is>
      </c>
      <c r="X23" t="inlineStr">
        <is>
          <t>1996-10-02</t>
        </is>
      </c>
      <c r="Y23" t="n">
        <v>277</v>
      </c>
      <c r="Z23" t="n">
        <v>212</v>
      </c>
      <c r="AA23" t="n">
        <v>235</v>
      </c>
      <c r="AB23" t="n">
        <v>3</v>
      </c>
      <c r="AC23" t="n">
        <v>3</v>
      </c>
      <c r="AD23" t="n">
        <v>16</v>
      </c>
      <c r="AE23" t="n">
        <v>18</v>
      </c>
      <c r="AF23" t="n">
        <v>7</v>
      </c>
      <c r="AG23" t="n">
        <v>9</v>
      </c>
      <c r="AH23" t="n">
        <v>5</v>
      </c>
      <c r="AI23" t="n">
        <v>6</v>
      </c>
      <c r="AJ23" t="n">
        <v>8</v>
      </c>
      <c r="AK23" t="n">
        <v>9</v>
      </c>
      <c r="AL23" t="n">
        <v>2</v>
      </c>
      <c r="AM23" t="n">
        <v>2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HYPERLINK("http://catalog.hathitrust.org/Record/002784499","HathiTrust Record")</f>
        <v/>
      </c>
      <c r="AS23">
        <f>HYPERLINK("https://creighton-primo.hosted.exlibrisgroup.com/primo-explore/search?tab=default_tab&amp;search_scope=EVERYTHING&amp;vid=01CRU&amp;lang=en_US&amp;offset=0&amp;query=any,contains,991002249929702656","Catalog Record")</f>
        <v/>
      </c>
      <c r="AT23">
        <f>HYPERLINK("http://www.worldcat.org/oclc/29031406","WorldCat Record")</f>
        <v/>
      </c>
      <c r="AU23" t="inlineStr">
        <is>
          <t>31365119:eng</t>
        </is>
      </c>
      <c r="AV23" t="inlineStr">
        <is>
          <t>29031406</t>
        </is>
      </c>
      <c r="AW23" t="inlineStr">
        <is>
          <t>991002249929702656</t>
        </is>
      </c>
      <c r="AX23" t="inlineStr">
        <is>
          <t>991002249929702656</t>
        </is>
      </c>
      <c r="AY23" t="inlineStr">
        <is>
          <t>2263686000002656</t>
        </is>
      </c>
      <c r="AZ23" t="inlineStr">
        <is>
          <t>BOOK</t>
        </is>
      </c>
      <c r="BB23" t="inlineStr">
        <is>
          <t>9781555409135</t>
        </is>
      </c>
      <c r="BC23" t="inlineStr">
        <is>
          <t>32285002322229</t>
        </is>
      </c>
      <c r="BD23" t="inlineStr">
        <is>
          <t>893408865</t>
        </is>
      </c>
      <c r="BE23" t="inlineStr">
        <is>
          <t>Simkins</t>
        </is>
      </c>
    </row>
    <row r="24">
      <c r="A24" t="inlineStr">
        <is>
          <t>No</t>
        </is>
      </c>
      <c r="B24" t="inlineStr">
        <is>
          <t>BS1429 .G7413 1995</t>
        </is>
      </c>
      <c r="C24" t="inlineStr">
        <is>
          <t>0                      BS 1429000G  7413        1995</t>
        </is>
      </c>
      <c r="D24" t="inlineStr">
        <is>
          <t>Gregory of Nyssa's Treatise on the inscriptions of the Psalms / introduction, translation, and notes [by] Ronald E. Heine.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Gregory, of Nyssa, Saint, approximately 335-approximately 394.</t>
        </is>
      </c>
      <c r="L24" t="inlineStr">
        <is>
          <t>Oxford : Clarendon Press ; New York : Oxford University Press, 1995.</t>
        </is>
      </c>
      <c r="M24" t="inlineStr">
        <is>
          <t>1995</t>
        </is>
      </c>
      <c r="O24" t="inlineStr">
        <is>
          <t>eng</t>
        </is>
      </c>
      <c r="P24" t="inlineStr">
        <is>
          <t>nyu</t>
        </is>
      </c>
      <c r="Q24" t="inlineStr">
        <is>
          <t>Oxford early Christian studies</t>
        </is>
      </c>
      <c r="R24" t="inlineStr">
        <is>
          <t xml:space="preserve">BS </t>
        </is>
      </c>
      <c r="S24" t="n">
        <v>6</v>
      </c>
      <c r="T24" t="n">
        <v>6</v>
      </c>
      <c r="U24" t="inlineStr">
        <is>
          <t>2003-11-06</t>
        </is>
      </c>
      <c r="V24" t="inlineStr">
        <is>
          <t>2003-11-06</t>
        </is>
      </c>
      <c r="W24" t="inlineStr">
        <is>
          <t>1996-03-29</t>
        </is>
      </c>
      <c r="X24" t="inlineStr">
        <is>
          <t>1996-03-29</t>
        </is>
      </c>
      <c r="Y24" t="n">
        <v>289</v>
      </c>
      <c r="Z24" t="n">
        <v>228</v>
      </c>
      <c r="AA24" t="n">
        <v>232</v>
      </c>
      <c r="AB24" t="n">
        <v>3</v>
      </c>
      <c r="AC24" t="n">
        <v>3</v>
      </c>
      <c r="AD24" t="n">
        <v>22</v>
      </c>
      <c r="AE24" t="n">
        <v>22</v>
      </c>
      <c r="AF24" t="n">
        <v>8</v>
      </c>
      <c r="AG24" t="n">
        <v>8</v>
      </c>
      <c r="AH24" t="n">
        <v>6</v>
      </c>
      <c r="AI24" t="n">
        <v>6</v>
      </c>
      <c r="AJ24" t="n">
        <v>13</v>
      </c>
      <c r="AK24" t="n">
        <v>13</v>
      </c>
      <c r="AL24" t="n">
        <v>2</v>
      </c>
      <c r="AM24" t="n">
        <v>2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HYPERLINK("https://creighton-primo.hosted.exlibrisgroup.com/primo-explore/search?tab=default_tab&amp;search_scope=EVERYTHING&amp;vid=01CRU&amp;lang=en_US&amp;offset=0&amp;query=any,contains,991002476409702656","Catalog Record")</f>
        <v/>
      </c>
      <c r="AT24">
        <f>HYPERLINK("http://www.worldcat.org/oclc/32241824","WorldCat Record")</f>
        <v/>
      </c>
      <c r="AU24" t="inlineStr">
        <is>
          <t>2863978828:eng</t>
        </is>
      </c>
      <c r="AV24" t="inlineStr">
        <is>
          <t>32241824</t>
        </is>
      </c>
      <c r="AW24" t="inlineStr">
        <is>
          <t>991002476409702656</t>
        </is>
      </c>
      <c r="AX24" t="inlineStr">
        <is>
          <t>991002476409702656</t>
        </is>
      </c>
      <c r="AY24" t="inlineStr">
        <is>
          <t>2256140480002656</t>
        </is>
      </c>
      <c r="AZ24" t="inlineStr">
        <is>
          <t>BOOK</t>
        </is>
      </c>
      <c r="BB24" t="inlineStr">
        <is>
          <t>9780198267638</t>
        </is>
      </c>
      <c r="BC24" t="inlineStr">
        <is>
          <t>32285002148350</t>
        </is>
      </c>
      <c r="BD24" t="inlineStr">
        <is>
          <t>893433931</t>
        </is>
      </c>
      <c r="BE24" t="inlineStr">
        <is>
          <t>ZB Smith</t>
        </is>
      </c>
    </row>
    <row r="25">
      <c r="A25" t="inlineStr">
        <is>
          <t>No</t>
        </is>
      </c>
      <c r="B25" t="inlineStr">
        <is>
          <t>BS1475 .E95 1993</t>
        </is>
      </c>
      <c r="C25" t="inlineStr">
        <is>
          <t>0                      BS 1475000E  95          1993</t>
        </is>
      </c>
      <c r="D25" t="inlineStr">
        <is>
          <t>Scholies à l'Ecclésiaste / Evagre le Pontique ; édition princeps du texte grec, introduction, traduction, notes et index par Paul Géhin.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Evagrius, Ponticus, 345?-399.</t>
        </is>
      </c>
      <c r="L25" t="inlineStr">
        <is>
          <t>Paris : Editions du Cerf, 1993.</t>
        </is>
      </c>
      <c r="M25" t="inlineStr">
        <is>
          <t>1993</t>
        </is>
      </c>
      <c r="O25" t="inlineStr">
        <is>
          <t>fre</t>
        </is>
      </c>
      <c r="P25" t="inlineStr">
        <is>
          <t xml:space="preserve">fr </t>
        </is>
      </c>
      <c r="Q25" t="inlineStr">
        <is>
          <t>Sources chrétiennes, 0750-1978 ; no 397</t>
        </is>
      </c>
      <c r="R25" t="inlineStr">
        <is>
          <t xml:space="preserve">BS </t>
        </is>
      </c>
      <c r="S25" t="n">
        <v>3</v>
      </c>
      <c r="T25" t="n">
        <v>3</v>
      </c>
      <c r="U25" t="inlineStr">
        <is>
          <t>2006-09-06</t>
        </is>
      </c>
      <c r="V25" t="inlineStr">
        <is>
          <t>2006-09-06</t>
        </is>
      </c>
      <c r="W25" t="inlineStr">
        <is>
          <t>1998-11-04</t>
        </is>
      </c>
      <c r="X25" t="inlineStr">
        <is>
          <t>1998-11-04</t>
        </is>
      </c>
      <c r="Y25" t="n">
        <v>204</v>
      </c>
      <c r="Z25" t="n">
        <v>123</v>
      </c>
      <c r="AA25" t="n">
        <v>127</v>
      </c>
      <c r="AB25" t="n">
        <v>1</v>
      </c>
      <c r="AC25" t="n">
        <v>1</v>
      </c>
      <c r="AD25" t="n">
        <v>12</v>
      </c>
      <c r="AE25" t="n">
        <v>12</v>
      </c>
      <c r="AF25" t="n">
        <v>2</v>
      </c>
      <c r="AG25" t="n">
        <v>2</v>
      </c>
      <c r="AH25" t="n">
        <v>3</v>
      </c>
      <c r="AI25" t="n">
        <v>3</v>
      </c>
      <c r="AJ25" t="n">
        <v>10</v>
      </c>
      <c r="AK25" t="n">
        <v>10</v>
      </c>
      <c r="AL25" t="n">
        <v>0</v>
      </c>
      <c r="AM25" t="n">
        <v>0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HYPERLINK("http://catalog.hathitrust.org/Record/002862101","HathiTrust Record")</f>
        <v/>
      </c>
      <c r="AS25">
        <f>HYPERLINK("https://creighton-primo.hosted.exlibrisgroup.com/primo-explore/search?tab=default_tab&amp;search_scope=EVERYTHING&amp;vid=01CRU&amp;lang=en_US&amp;offset=0&amp;query=any,contains,991002476089702656","Catalog Record")</f>
        <v/>
      </c>
      <c r="AT25">
        <f>HYPERLINK("http://www.worldcat.org/oclc/32238401","WorldCat Record")</f>
        <v/>
      </c>
      <c r="AU25" t="inlineStr">
        <is>
          <t>34511933:fre</t>
        </is>
      </c>
      <c r="AV25" t="inlineStr">
        <is>
          <t>32238401</t>
        </is>
      </c>
      <c r="AW25" t="inlineStr">
        <is>
          <t>991002476089702656</t>
        </is>
      </c>
      <c r="AX25" t="inlineStr">
        <is>
          <t>991002476089702656</t>
        </is>
      </c>
      <c r="AY25" t="inlineStr">
        <is>
          <t>2265213830002656</t>
        </is>
      </c>
      <c r="AZ25" t="inlineStr">
        <is>
          <t>BOOK</t>
        </is>
      </c>
      <c r="BB25" t="inlineStr">
        <is>
          <t>9782204048736</t>
        </is>
      </c>
      <c r="BC25" t="inlineStr">
        <is>
          <t>32285003485686</t>
        </is>
      </c>
      <c r="BD25" t="inlineStr">
        <is>
          <t>893226882</t>
        </is>
      </c>
      <c r="BE25" t="inlineStr">
        <is>
          <t>ZB Smith</t>
        </is>
      </c>
    </row>
    <row r="26">
      <c r="A26" t="inlineStr">
        <is>
          <t>No</t>
        </is>
      </c>
      <c r="B26" t="inlineStr">
        <is>
          <t>BS1485 .G6814 1984</t>
        </is>
      </c>
      <c r="C26" t="inlineStr">
        <is>
          <t>0                      BS 1485000G  6814        1984</t>
        </is>
      </c>
      <c r="D26" t="inlineStr">
        <is>
          <t>Commentaire sur le Cantique des cantiques / Grégoire le Grand ; introduction, traduction, notes et index par Rodrigue Bélanger.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Gregory I, Pope, approximately 540-604.</t>
        </is>
      </c>
      <c r="L26" t="inlineStr">
        <is>
          <t>Paris : Editions du Cerf, 1984.</t>
        </is>
      </c>
      <c r="M26" t="inlineStr">
        <is>
          <t>1984</t>
        </is>
      </c>
      <c r="O26" t="inlineStr">
        <is>
          <t>fre</t>
        </is>
      </c>
      <c r="P26" t="inlineStr">
        <is>
          <t xml:space="preserve">fr </t>
        </is>
      </c>
      <c r="Q26" t="inlineStr">
        <is>
          <t>Sources chrétiennes, 0750-1978 ; no 314</t>
        </is>
      </c>
      <c r="R26" t="inlineStr">
        <is>
          <t xml:space="preserve">BS </t>
        </is>
      </c>
      <c r="S26" t="n">
        <v>2</v>
      </c>
      <c r="T26" t="n">
        <v>2</v>
      </c>
      <c r="U26" t="inlineStr">
        <is>
          <t>2008-09-08</t>
        </is>
      </c>
      <c r="V26" t="inlineStr">
        <is>
          <t>2008-09-08</t>
        </is>
      </c>
      <c r="W26" t="inlineStr">
        <is>
          <t>1998-11-04</t>
        </is>
      </c>
      <c r="X26" t="inlineStr">
        <is>
          <t>1998-11-04</t>
        </is>
      </c>
      <c r="Y26" t="n">
        <v>201</v>
      </c>
      <c r="Z26" t="n">
        <v>132</v>
      </c>
      <c r="AA26" t="n">
        <v>135</v>
      </c>
      <c r="AB26" t="n">
        <v>3</v>
      </c>
      <c r="AC26" t="n">
        <v>3</v>
      </c>
      <c r="AD26" t="n">
        <v>15</v>
      </c>
      <c r="AE26" t="n">
        <v>15</v>
      </c>
      <c r="AF26" t="n">
        <v>3</v>
      </c>
      <c r="AG26" t="n">
        <v>3</v>
      </c>
      <c r="AH26" t="n">
        <v>3</v>
      </c>
      <c r="AI26" t="n">
        <v>3</v>
      </c>
      <c r="AJ26" t="n">
        <v>12</v>
      </c>
      <c r="AK26" t="n">
        <v>12</v>
      </c>
      <c r="AL26" t="n">
        <v>1</v>
      </c>
      <c r="AM26" t="n">
        <v>1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HYPERLINK("http://catalog.hathitrust.org/Record/000411238","HathiTrust Record")</f>
        <v/>
      </c>
      <c r="AS26">
        <f>HYPERLINK("https://creighton-primo.hosted.exlibrisgroup.com/primo-explore/search?tab=default_tab&amp;search_scope=EVERYTHING&amp;vid=01CRU&amp;lang=en_US&amp;offset=0&amp;query=any,contains,991000483049702656","Catalog Record")</f>
        <v/>
      </c>
      <c r="AT26">
        <f>HYPERLINK("http://www.worldcat.org/oclc/11065733","WorldCat Record")</f>
        <v/>
      </c>
      <c r="AU26" t="inlineStr">
        <is>
          <t>3768452871:fre</t>
        </is>
      </c>
      <c r="AV26" t="inlineStr">
        <is>
          <t>11065733</t>
        </is>
      </c>
      <c r="AW26" t="inlineStr">
        <is>
          <t>991000483049702656</t>
        </is>
      </c>
      <c r="AX26" t="inlineStr">
        <is>
          <t>991000483049702656</t>
        </is>
      </c>
      <c r="AY26" t="inlineStr">
        <is>
          <t>2262064520002656</t>
        </is>
      </c>
      <c r="AZ26" t="inlineStr">
        <is>
          <t>BOOK</t>
        </is>
      </c>
      <c r="BB26" t="inlineStr">
        <is>
          <t>9782204022279</t>
        </is>
      </c>
      <c r="BC26" t="inlineStr">
        <is>
          <t>32285003485702</t>
        </is>
      </c>
      <c r="BD26" t="inlineStr">
        <is>
          <t>893896909</t>
        </is>
      </c>
      <c r="BE26" t="inlineStr">
        <is>
          <t>ZB Smith</t>
        </is>
      </c>
    </row>
    <row r="27">
      <c r="A27" t="inlineStr">
        <is>
          <t>No</t>
        </is>
      </c>
      <c r="B27" t="inlineStr">
        <is>
          <t>BS1515 .J5414 1983</t>
        </is>
      </c>
      <c r="C27" t="inlineStr">
        <is>
          <t>0                      BS 1515000J  5414        1983</t>
        </is>
      </c>
      <c r="D27" t="inlineStr">
        <is>
          <t>Commentaire sur Isaïe / Jean Chrysostome ; introduction, texte critique et notes par Jean Dumortier ; traduction par Arthur Liefooghe.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John Chrysostom, Saint, -407.</t>
        </is>
      </c>
      <c r="L27" t="inlineStr">
        <is>
          <t>Paris : Editions du Cerf, 1983.</t>
        </is>
      </c>
      <c r="M27" t="inlineStr">
        <is>
          <t>1983</t>
        </is>
      </c>
      <c r="O27" t="inlineStr">
        <is>
          <t>fre</t>
        </is>
      </c>
      <c r="P27" t="inlineStr">
        <is>
          <t xml:space="preserve">fr </t>
        </is>
      </c>
      <c r="Q27" t="inlineStr">
        <is>
          <t>Sources chrétiennes, 0750-1978 ; no 304</t>
        </is>
      </c>
      <c r="R27" t="inlineStr">
        <is>
          <t xml:space="preserve">BS </t>
        </is>
      </c>
      <c r="S27" t="n">
        <v>4</v>
      </c>
      <c r="T27" t="n">
        <v>4</v>
      </c>
      <c r="U27" t="inlineStr">
        <is>
          <t>2008-11-11</t>
        </is>
      </c>
      <c r="V27" t="inlineStr">
        <is>
          <t>2008-11-11</t>
        </is>
      </c>
      <c r="W27" t="inlineStr">
        <is>
          <t>1998-11-04</t>
        </is>
      </c>
      <c r="X27" t="inlineStr">
        <is>
          <t>1998-11-04</t>
        </is>
      </c>
      <c r="Y27" t="n">
        <v>200</v>
      </c>
      <c r="Z27" t="n">
        <v>138</v>
      </c>
      <c r="AA27" t="n">
        <v>141</v>
      </c>
      <c r="AB27" t="n">
        <v>2</v>
      </c>
      <c r="AC27" t="n">
        <v>2</v>
      </c>
      <c r="AD27" t="n">
        <v>15</v>
      </c>
      <c r="AE27" t="n">
        <v>15</v>
      </c>
      <c r="AF27" t="n">
        <v>3</v>
      </c>
      <c r="AG27" t="n">
        <v>3</v>
      </c>
      <c r="AH27" t="n">
        <v>3</v>
      </c>
      <c r="AI27" t="n">
        <v>3</v>
      </c>
      <c r="AJ27" t="n">
        <v>12</v>
      </c>
      <c r="AK27" t="n">
        <v>12</v>
      </c>
      <c r="AL27" t="n">
        <v>1</v>
      </c>
      <c r="AM27" t="n">
        <v>1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HYPERLINK("http://catalog.hathitrust.org/Record/000773684","HathiTrust Record")</f>
        <v/>
      </c>
      <c r="AS27">
        <f>HYPERLINK("https://creighton-primo.hosted.exlibrisgroup.com/primo-explore/search?tab=default_tab&amp;search_scope=EVERYTHING&amp;vid=01CRU&amp;lang=en_US&amp;offset=0&amp;query=any,contains,991000497669702656","Catalog Record")</f>
        <v/>
      </c>
      <c r="AT27">
        <f>HYPERLINK("http://www.worldcat.org/oclc/11158360","WorldCat Record")</f>
        <v/>
      </c>
      <c r="AU27" t="inlineStr">
        <is>
          <t>3943277727:fre</t>
        </is>
      </c>
      <c r="AV27" t="inlineStr">
        <is>
          <t>11158360</t>
        </is>
      </c>
      <c r="AW27" t="inlineStr">
        <is>
          <t>991000497669702656</t>
        </is>
      </c>
      <c r="AX27" t="inlineStr">
        <is>
          <t>991000497669702656</t>
        </is>
      </c>
      <c r="AY27" t="inlineStr">
        <is>
          <t>2254701550002656</t>
        </is>
      </c>
      <c r="AZ27" t="inlineStr">
        <is>
          <t>BOOK</t>
        </is>
      </c>
      <c r="BB27" t="inlineStr">
        <is>
          <t>9782204020701</t>
        </is>
      </c>
      <c r="BC27" t="inlineStr">
        <is>
          <t>32285003485777</t>
        </is>
      </c>
      <c r="BD27" t="inlineStr">
        <is>
          <t>893521719</t>
        </is>
      </c>
      <c r="BE27" t="inlineStr">
        <is>
          <t>ZB Smith</t>
        </is>
      </c>
    </row>
    <row r="28">
      <c r="A28" t="inlineStr">
        <is>
          <t>No</t>
        </is>
      </c>
      <c r="B28" t="inlineStr">
        <is>
          <t>BS1515.3 .C65 1986</t>
        </is>
      </c>
      <c r="C28" t="inlineStr">
        <is>
          <t>0                      BS 1515300C  65          1986</t>
        </is>
      </c>
      <c r="D28" t="inlineStr">
        <is>
          <t>Isaiah / John J. Collins.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Collins, John J. (John Joseph), 1946-</t>
        </is>
      </c>
      <c r="L28" t="inlineStr">
        <is>
          <t>Collegeville, Minn. : Liturgical Press, c1986.</t>
        </is>
      </c>
      <c r="M28" t="inlineStr">
        <is>
          <t>1986</t>
        </is>
      </c>
      <c r="O28" t="inlineStr">
        <is>
          <t>eng</t>
        </is>
      </c>
      <c r="P28" t="inlineStr">
        <is>
          <t>mnu</t>
        </is>
      </c>
      <c r="Q28" t="inlineStr">
        <is>
          <t>Collegeville Bible commentary. Old Testament ; 13</t>
        </is>
      </c>
      <c r="R28" t="inlineStr">
        <is>
          <t xml:space="preserve">BS </t>
        </is>
      </c>
      <c r="S28" t="n">
        <v>6</v>
      </c>
      <c r="T28" t="n">
        <v>6</v>
      </c>
      <c r="U28" t="inlineStr">
        <is>
          <t>1998-12-06</t>
        </is>
      </c>
      <c r="V28" t="inlineStr">
        <is>
          <t>1998-12-06</t>
        </is>
      </c>
      <c r="W28" t="inlineStr">
        <is>
          <t>1990-12-10</t>
        </is>
      </c>
      <c r="X28" t="inlineStr">
        <is>
          <t>1990-12-10</t>
        </is>
      </c>
      <c r="Y28" t="n">
        <v>152</v>
      </c>
      <c r="Z28" t="n">
        <v>135</v>
      </c>
      <c r="AA28" t="n">
        <v>136</v>
      </c>
      <c r="AB28" t="n">
        <v>2</v>
      </c>
      <c r="AC28" t="n">
        <v>2</v>
      </c>
      <c r="AD28" t="n">
        <v>11</v>
      </c>
      <c r="AE28" t="n">
        <v>11</v>
      </c>
      <c r="AF28" t="n">
        <v>1</v>
      </c>
      <c r="AG28" t="n">
        <v>1</v>
      </c>
      <c r="AH28" t="n">
        <v>3</v>
      </c>
      <c r="AI28" t="n">
        <v>3</v>
      </c>
      <c r="AJ28" t="n">
        <v>9</v>
      </c>
      <c r="AK28" t="n">
        <v>9</v>
      </c>
      <c r="AL28" t="n">
        <v>0</v>
      </c>
      <c r="AM28" t="n">
        <v>0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HYPERLINK("https://creighton-primo.hosted.exlibrisgroup.com/primo-explore/search?tab=default_tab&amp;search_scope=EVERYTHING&amp;vid=01CRU&amp;lang=en_US&amp;offset=0&amp;query=any,contains,991000827619702656","Catalog Record")</f>
        <v/>
      </c>
      <c r="AT28">
        <f>HYPERLINK("http://www.worldcat.org/oclc/13424616","WorldCat Record")</f>
        <v/>
      </c>
      <c r="AU28" t="inlineStr">
        <is>
          <t>7277449:eng</t>
        </is>
      </c>
      <c r="AV28" t="inlineStr">
        <is>
          <t>13424616</t>
        </is>
      </c>
      <c r="AW28" t="inlineStr">
        <is>
          <t>991000827619702656</t>
        </is>
      </c>
      <c r="AX28" t="inlineStr">
        <is>
          <t>991000827619702656</t>
        </is>
      </c>
      <c r="AY28" t="inlineStr">
        <is>
          <t>2263008120002656</t>
        </is>
      </c>
      <c r="AZ28" t="inlineStr">
        <is>
          <t>BOOK</t>
        </is>
      </c>
      <c r="BB28" t="inlineStr">
        <is>
          <t>9780814614204</t>
        </is>
      </c>
      <c r="BC28" t="inlineStr">
        <is>
          <t>32285000444496</t>
        </is>
      </c>
      <c r="BD28" t="inlineStr">
        <is>
          <t>893903180</t>
        </is>
      </c>
      <c r="BE28" t="inlineStr">
        <is>
          <t>S Brown</t>
        </is>
      </c>
    </row>
    <row r="29">
      <c r="A29" t="inlineStr">
        <is>
          <t>No</t>
        </is>
      </c>
      <c r="B29" t="inlineStr">
        <is>
          <t>BS1520.Z73 C5 1984</t>
        </is>
      </c>
      <c r="C29" t="inlineStr">
        <is>
          <t>0                      BS 1520000Z  73                 C  5           1984</t>
        </is>
      </c>
      <c r="D29" t="inlineStr">
        <is>
          <t>Fair spoken and persuading : an interpretation of second Isaiah / Richard J. Clifford.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Clifford, Richard J.</t>
        </is>
      </c>
      <c r="L29" t="inlineStr">
        <is>
          <t>New York : Paulist, 1984.</t>
        </is>
      </c>
      <c r="M29" t="inlineStr">
        <is>
          <t>1984</t>
        </is>
      </c>
      <c r="O29" t="inlineStr">
        <is>
          <t>eng</t>
        </is>
      </c>
      <c r="P29" t="inlineStr">
        <is>
          <t>nyu</t>
        </is>
      </c>
      <c r="R29" t="inlineStr">
        <is>
          <t xml:space="preserve">BS </t>
        </is>
      </c>
      <c r="S29" t="n">
        <v>9</v>
      </c>
      <c r="T29" t="n">
        <v>9</v>
      </c>
      <c r="U29" t="inlineStr">
        <is>
          <t>2006-01-03</t>
        </is>
      </c>
      <c r="V29" t="inlineStr">
        <is>
          <t>2006-01-03</t>
        </is>
      </c>
      <c r="W29" t="inlineStr">
        <is>
          <t>1990-12-12</t>
        </is>
      </c>
      <c r="X29" t="inlineStr">
        <is>
          <t>1990-12-12</t>
        </is>
      </c>
      <c r="Y29" t="n">
        <v>330</v>
      </c>
      <c r="Z29" t="n">
        <v>252</v>
      </c>
      <c r="AA29" t="n">
        <v>261</v>
      </c>
      <c r="AB29" t="n">
        <v>1</v>
      </c>
      <c r="AC29" t="n">
        <v>1</v>
      </c>
      <c r="AD29" t="n">
        <v>26</v>
      </c>
      <c r="AE29" t="n">
        <v>27</v>
      </c>
      <c r="AF29" t="n">
        <v>6</v>
      </c>
      <c r="AG29" t="n">
        <v>7</v>
      </c>
      <c r="AH29" t="n">
        <v>9</v>
      </c>
      <c r="AI29" t="n">
        <v>9</v>
      </c>
      <c r="AJ29" t="n">
        <v>20</v>
      </c>
      <c r="AK29" t="n">
        <v>20</v>
      </c>
      <c r="AL29" t="n">
        <v>0</v>
      </c>
      <c r="AM29" t="n">
        <v>0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HYPERLINK("http://catalog.hathitrust.org/Record/011806902","HathiTrust Record")</f>
        <v/>
      </c>
      <c r="AS29">
        <f>HYPERLINK("https://creighton-primo.hosted.exlibrisgroup.com/primo-explore/search?tab=default_tab&amp;search_scope=EVERYTHING&amp;vid=01CRU&amp;lang=en_US&amp;offset=0&amp;query=any,contains,991000403429702656","Catalog Record")</f>
        <v/>
      </c>
      <c r="AT29">
        <f>HYPERLINK("http://www.worldcat.org/oclc/10646847","WorldCat Record")</f>
        <v/>
      </c>
      <c r="AU29" t="inlineStr">
        <is>
          <t>889633118:eng</t>
        </is>
      </c>
      <c r="AV29" t="inlineStr">
        <is>
          <t>10646847</t>
        </is>
      </c>
      <c r="AW29" t="inlineStr">
        <is>
          <t>991000403429702656</t>
        </is>
      </c>
      <c r="AX29" t="inlineStr">
        <is>
          <t>991000403429702656</t>
        </is>
      </c>
      <c r="AY29" t="inlineStr">
        <is>
          <t>2261894110002656</t>
        </is>
      </c>
      <c r="AZ29" t="inlineStr">
        <is>
          <t>BOOK</t>
        </is>
      </c>
      <c r="BB29" t="inlineStr">
        <is>
          <t>9780809125838</t>
        </is>
      </c>
      <c r="BC29" t="inlineStr">
        <is>
          <t>32285000444652</t>
        </is>
      </c>
      <c r="BD29" t="inlineStr">
        <is>
          <t>893425663</t>
        </is>
      </c>
      <c r="BE29" t="inlineStr">
        <is>
          <t>S Brown</t>
        </is>
      </c>
    </row>
    <row r="30">
      <c r="A30" t="inlineStr">
        <is>
          <t>No</t>
        </is>
      </c>
      <c r="B30" t="inlineStr">
        <is>
          <t>BS1545.3 .B56 1990</t>
        </is>
      </c>
      <c r="C30" t="inlineStr">
        <is>
          <t>0                      BS 1545300B  56          1990</t>
        </is>
      </c>
      <c r="D30" t="inlineStr">
        <is>
          <t>Ezekiel / Joseph Blenkinsopp.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Blenkinsopp, Joseph, 1927-</t>
        </is>
      </c>
      <c r="L30" t="inlineStr">
        <is>
          <t>Louisville, Ky. : J. Knox Press, c1990.</t>
        </is>
      </c>
      <c r="M30" t="inlineStr">
        <is>
          <t>1990</t>
        </is>
      </c>
      <c r="O30" t="inlineStr">
        <is>
          <t>eng</t>
        </is>
      </c>
      <c r="P30" t="inlineStr">
        <is>
          <t>kyu</t>
        </is>
      </c>
      <c r="Q30" t="inlineStr">
        <is>
          <t>Interpretation, a Bible commentary for teaching and preaching</t>
        </is>
      </c>
      <c r="R30" t="inlineStr">
        <is>
          <t xml:space="preserve">BS </t>
        </is>
      </c>
      <c r="S30" t="n">
        <v>8</v>
      </c>
      <c r="T30" t="n">
        <v>8</v>
      </c>
      <c r="U30" t="inlineStr">
        <is>
          <t>2002-04-18</t>
        </is>
      </c>
      <c r="V30" t="inlineStr">
        <is>
          <t>2002-04-18</t>
        </is>
      </c>
      <c r="W30" t="inlineStr">
        <is>
          <t>1991-09-06</t>
        </is>
      </c>
      <c r="X30" t="inlineStr">
        <is>
          <t>1991-09-06</t>
        </is>
      </c>
      <c r="Y30" t="n">
        <v>637</v>
      </c>
      <c r="Z30" t="n">
        <v>519</v>
      </c>
      <c r="AA30" t="n">
        <v>829</v>
      </c>
      <c r="AB30" t="n">
        <v>7</v>
      </c>
      <c r="AC30" t="n">
        <v>8</v>
      </c>
      <c r="AD30" t="n">
        <v>33</v>
      </c>
      <c r="AE30" t="n">
        <v>37</v>
      </c>
      <c r="AF30" t="n">
        <v>14</v>
      </c>
      <c r="AG30" t="n">
        <v>16</v>
      </c>
      <c r="AH30" t="n">
        <v>6</v>
      </c>
      <c r="AI30" t="n">
        <v>7</v>
      </c>
      <c r="AJ30" t="n">
        <v>14</v>
      </c>
      <c r="AK30" t="n">
        <v>15</v>
      </c>
      <c r="AL30" t="n">
        <v>5</v>
      </c>
      <c r="AM30" t="n">
        <v>6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HYPERLINK("https://creighton-primo.hosted.exlibrisgroup.com/primo-explore/search?tab=default_tab&amp;search_scope=EVERYTHING&amp;vid=01CRU&amp;lang=en_US&amp;offset=0&amp;query=any,contains,991001703229702656","Catalog Record")</f>
        <v/>
      </c>
      <c r="AT30">
        <f>HYPERLINK("http://www.worldcat.org/oclc/21525873","WorldCat Record")</f>
        <v/>
      </c>
      <c r="AU30" t="inlineStr">
        <is>
          <t>1058124:eng</t>
        </is>
      </c>
      <c r="AV30" t="inlineStr">
        <is>
          <t>21525873</t>
        </is>
      </c>
      <c r="AW30" t="inlineStr">
        <is>
          <t>991001703229702656</t>
        </is>
      </c>
      <c r="AX30" t="inlineStr">
        <is>
          <t>991001703229702656</t>
        </is>
      </c>
      <c r="AY30" t="inlineStr">
        <is>
          <t>2255792470002656</t>
        </is>
      </c>
      <c r="AZ30" t="inlineStr">
        <is>
          <t>BOOK</t>
        </is>
      </c>
      <c r="BB30" t="inlineStr">
        <is>
          <t>9780804231183</t>
        </is>
      </c>
      <c r="BC30" t="inlineStr">
        <is>
          <t>32285000702810</t>
        </is>
      </c>
      <c r="BD30" t="inlineStr">
        <is>
          <t>893315975</t>
        </is>
      </c>
      <c r="BE30" t="inlineStr">
        <is>
          <t>Simkins</t>
        </is>
      </c>
    </row>
    <row r="31">
      <c r="A31" t="inlineStr">
        <is>
          <t>No</t>
        </is>
      </c>
      <c r="B31" t="inlineStr">
        <is>
          <t>BS1555.3 .C64 1984</t>
        </is>
      </c>
      <c r="C31" t="inlineStr">
        <is>
          <t>0                      BS 1555300C  64          1984</t>
        </is>
      </c>
      <c r="D31" t="inlineStr">
        <is>
          <t>Daniel : with an introduction to apocalyptic literature / John J. Collins.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Collins, John J. (John Joseph), 1946-</t>
        </is>
      </c>
      <c r="L31" t="inlineStr">
        <is>
          <t>Grand Rapids, Mich. : W.B. Eerdmans, c1984.</t>
        </is>
      </c>
      <c r="M31" t="inlineStr">
        <is>
          <t>1984</t>
        </is>
      </c>
      <c r="O31" t="inlineStr">
        <is>
          <t>eng</t>
        </is>
      </c>
      <c r="P31" t="inlineStr">
        <is>
          <t>miu</t>
        </is>
      </c>
      <c r="Q31" t="inlineStr">
        <is>
          <t>The Forms of the Old Testament literature ; v. 20</t>
        </is>
      </c>
      <c r="R31" t="inlineStr">
        <is>
          <t xml:space="preserve">BS </t>
        </is>
      </c>
      <c r="S31" t="n">
        <v>9</v>
      </c>
      <c r="T31" t="n">
        <v>9</v>
      </c>
      <c r="U31" t="inlineStr">
        <is>
          <t>2001-05-26</t>
        </is>
      </c>
      <c r="V31" t="inlineStr">
        <is>
          <t>2001-05-26</t>
        </is>
      </c>
      <c r="W31" t="inlineStr">
        <is>
          <t>1995-05-10</t>
        </is>
      </c>
      <c r="X31" t="inlineStr">
        <is>
          <t>1995-05-10</t>
        </is>
      </c>
      <c r="Y31" t="n">
        <v>626</v>
      </c>
      <c r="Z31" t="n">
        <v>468</v>
      </c>
      <c r="AA31" t="n">
        <v>472</v>
      </c>
      <c r="AB31" t="n">
        <v>3</v>
      </c>
      <c r="AC31" t="n">
        <v>3</v>
      </c>
      <c r="AD31" t="n">
        <v>34</v>
      </c>
      <c r="AE31" t="n">
        <v>34</v>
      </c>
      <c r="AF31" t="n">
        <v>17</v>
      </c>
      <c r="AG31" t="n">
        <v>17</v>
      </c>
      <c r="AH31" t="n">
        <v>8</v>
      </c>
      <c r="AI31" t="n">
        <v>8</v>
      </c>
      <c r="AJ31" t="n">
        <v>18</v>
      </c>
      <c r="AK31" t="n">
        <v>18</v>
      </c>
      <c r="AL31" t="n">
        <v>2</v>
      </c>
      <c r="AM31" t="n">
        <v>2</v>
      </c>
      <c r="AN31" t="n">
        <v>0</v>
      </c>
      <c r="AO31" t="n">
        <v>0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HYPERLINK("https://creighton-primo.hosted.exlibrisgroup.com/primo-explore/search?tab=default_tab&amp;search_scope=EVERYTHING&amp;vid=01CRU&amp;lang=en_US&amp;offset=0&amp;query=any,contains,991000478149702656","Catalog Record")</f>
        <v/>
      </c>
      <c r="AT31">
        <f>HYPERLINK("http://www.worldcat.org/oclc/11043368","WorldCat Record")</f>
        <v/>
      </c>
      <c r="AU31" t="inlineStr">
        <is>
          <t>365261416:eng</t>
        </is>
      </c>
      <c r="AV31" t="inlineStr">
        <is>
          <t>11043368</t>
        </is>
      </c>
      <c r="AW31" t="inlineStr">
        <is>
          <t>991000478149702656</t>
        </is>
      </c>
      <c r="AX31" t="inlineStr">
        <is>
          <t>991000478149702656</t>
        </is>
      </c>
      <c r="AY31" t="inlineStr">
        <is>
          <t>2261734590002656</t>
        </is>
      </c>
      <c r="AZ31" t="inlineStr">
        <is>
          <t>BOOK</t>
        </is>
      </c>
      <c r="BB31" t="inlineStr">
        <is>
          <t>9780802800206</t>
        </is>
      </c>
      <c r="BC31" t="inlineStr">
        <is>
          <t>32285002033750</t>
        </is>
      </c>
      <c r="BD31" t="inlineStr">
        <is>
          <t>893802800</t>
        </is>
      </c>
      <c r="BE31" t="inlineStr">
        <is>
          <t>S Brown</t>
        </is>
      </c>
    </row>
    <row r="32">
      <c r="A32" t="inlineStr">
        <is>
          <t>No</t>
        </is>
      </c>
      <c r="B32" t="inlineStr">
        <is>
          <t>BS1830.E46 F73 1993</t>
        </is>
      </c>
      <c r="C32" t="inlineStr">
        <is>
          <t>0                      BS 1830000E  46                 F  73          1993</t>
        </is>
      </c>
      <c r="D32" t="inlineStr">
        <is>
          <t>Elijah in Upper Egypt : the apocalypse of Elijah and early Egyptian Christianity / David Frankfurter.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Frankfurter, David, 1961-</t>
        </is>
      </c>
      <c r="L32" t="inlineStr">
        <is>
          <t>Minneapolis : Fortress Press, c1993.</t>
        </is>
      </c>
      <c r="M32" t="inlineStr">
        <is>
          <t>1993</t>
        </is>
      </c>
      <c r="O32" t="inlineStr">
        <is>
          <t>eng</t>
        </is>
      </c>
      <c r="P32" t="inlineStr">
        <is>
          <t>mnu</t>
        </is>
      </c>
      <c r="Q32" t="inlineStr">
        <is>
          <t>Studies in antiquity and Christianity</t>
        </is>
      </c>
      <c r="R32" t="inlineStr">
        <is>
          <t xml:space="preserve">BS </t>
        </is>
      </c>
      <c r="S32" t="n">
        <v>5</v>
      </c>
      <c r="T32" t="n">
        <v>5</v>
      </c>
      <c r="U32" t="inlineStr">
        <is>
          <t>2004-01-13</t>
        </is>
      </c>
      <c r="V32" t="inlineStr">
        <is>
          <t>2004-01-13</t>
        </is>
      </c>
      <c r="W32" t="inlineStr">
        <is>
          <t>1994-05-26</t>
        </is>
      </c>
      <c r="X32" t="inlineStr">
        <is>
          <t>1994-05-26</t>
        </is>
      </c>
      <c r="Y32" t="n">
        <v>279</v>
      </c>
      <c r="Z32" t="n">
        <v>228</v>
      </c>
      <c r="AA32" t="n">
        <v>230</v>
      </c>
      <c r="AB32" t="n">
        <v>1</v>
      </c>
      <c r="AC32" t="n">
        <v>1</v>
      </c>
      <c r="AD32" t="n">
        <v>13</v>
      </c>
      <c r="AE32" t="n">
        <v>13</v>
      </c>
      <c r="AF32" t="n">
        <v>4</v>
      </c>
      <c r="AG32" t="n">
        <v>4</v>
      </c>
      <c r="AH32" t="n">
        <v>3</v>
      </c>
      <c r="AI32" t="n">
        <v>3</v>
      </c>
      <c r="AJ32" t="n">
        <v>7</v>
      </c>
      <c r="AK32" t="n">
        <v>7</v>
      </c>
      <c r="AL32" t="n">
        <v>0</v>
      </c>
      <c r="AM32" t="n">
        <v>0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HYPERLINK("http://catalog.hathitrust.org/Record/002721846","HathiTrust Record")</f>
        <v/>
      </c>
      <c r="AS32">
        <f>HYPERLINK("https://creighton-primo.hosted.exlibrisgroup.com/primo-explore/search?tab=default_tab&amp;search_scope=EVERYTHING&amp;vid=01CRU&amp;lang=en_US&amp;offset=0&amp;query=any,contains,991002032799702656","Catalog Record")</f>
        <v/>
      </c>
      <c r="AT32">
        <f>HYPERLINK("http://www.worldcat.org/oclc/25874173","WorldCat Record")</f>
        <v/>
      </c>
      <c r="AU32" t="inlineStr">
        <is>
          <t>284794499:eng</t>
        </is>
      </c>
      <c r="AV32" t="inlineStr">
        <is>
          <t>25874173</t>
        </is>
      </c>
      <c r="AW32" t="inlineStr">
        <is>
          <t>991002032799702656</t>
        </is>
      </c>
      <c r="AX32" t="inlineStr">
        <is>
          <t>991002032799702656</t>
        </is>
      </c>
      <c r="AY32" t="inlineStr">
        <is>
          <t>2269193660002656</t>
        </is>
      </c>
      <c r="AZ32" t="inlineStr">
        <is>
          <t>BOOK</t>
        </is>
      </c>
      <c r="BB32" t="inlineStr">
        <is>
          <t>9780800631062</t>
        </is>
      </c>
      <c r="BC32" t="inlineStr">
        <is>
          <t>32285001899771</t>
        </is>
      </c>
      <c r="BD32" t="inlineStr">
        <is>
          <t>893791966</t>
        </is>
      </c>
      <c r="BE32" t="inlineStr">
        <is>
          <t>ZB Smith</t>
        </is>
      </c>
    </row>
    <row r="33">
      <c r="A33" t="inlineStr">
        <is>
          <t>No</t>
        </is>
      </c>
      <c r="B33" t="inlineStr">
        <is>
          <t>BS195 .A5 v. 32B</t>
        </is>
      </c>
      <c r="C33" t="inlineStr">
        <is>
          <t>0                      BS 0195000A  5                                                       v. 32B</t>
        </is>
      </c>
      <c r="D33" t="inlineStr">
        <is>
          <t>The letters to the Thessalonians / a new translation with introduction and commentary Abraham J. Malherbe.</t>
        </is>
      </c>
      <c r="E33" t="inlineStr">
        <is>
          <t>V. 32B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Bible. Thessalonians. English. Malherbe. 2000.</t>
        </is>
      </c>
      <c r="L33" t="inlineStr">
        <is>
          <t>New York : Doubleday, c2000.</t>
        </is>
      </c>
      <c r="M33" t="inlineStr">
        <is>
          <t>2000</t>
        </is>
      </c>
      <c r="N33" t="inlineStr">
        <is>
          <t>1st ed.</t>
        </is>
      </c>
      <c r="O33" t="inlineStr">
        <is>
          <t>eng</t>
        </is>
      </c>
      <c r="P33" t="inlineStr">
        <is>
          <t>nyu</t>
        </is>
      </c>
      <c r="Q33" t="inlineStr">
        <is>
          <t>The Anchor Bible ; v. 32B</t>
        </is>
      </c>
      <c r="R33" t="inlineStr">
        <is>
          <t xml:space="preserve">BS </t>
        </is>
      </c>
      <c r="S33" t="n">
        <v>5</v>
      </c>
      <c r="T33" t="n">
        <v>5</v>
      </c>
      <c r="U33" t="inlineStr">
        <is>
          <t>2006-03-07</t>
        </is>
      </c>
      <c r="V33" t="inlineStr">
        <is>
          <t>2006-03-07</t>
        </is>
      </c>
      <c r="W33" t="inlineStr">
        <is>
          <t>2001-02-27</t>
        </is>
      </c>
      <c r="X33" t="inlineStr">
        <is>
          <t>2001-02-27</t>
        </is>
      </c>
      <c r="Y33" t="n">
        <v>772</v>
      </c>
      <c r="Z33" t="n">
        <v>656</v>
      </c>
      <c r="AA33" t="n">
        <v>698</v>
      </c>
      <c r="AB33" t="n">
        <v>8</v>
      </c>
      <c r="AC33" t="n">
        <v>8</v>
      </c>
      <c r="AD33" t="n">
        <v>41</v>
      </c>
      <c r="AE33" t="n">
        <v>41</v>
      </c>
      <c r="AF33" t="n">
        <v>19</v>
      </c>
      <c r="AG33" t="n">
        <v>19</v>
      </c>
      <c r="AH33" t="n">
        <v>7</v>
      </c>
      <c r="AI33" t="n">
        <v>7</v>
      </c>
      <c r="AJ33" t="n">
        <v>21</v>
      </c>
      <c r="AK33" t="n">
        <v>21</v>
      </c>
      <c r="AL33" t="n">
        <v>5</v>
      </c>
      <c r="AM33" t="n">
        <v>5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HYPERLINK("http://catalog.hathitrust.org/Record/003519351","HathiTrust Record")</f>
        <v/>
      </c>
      <c r="AS33">
        <f>HYPERLINK("https://creighton-primo.hosted.exlibrisgroup.com/primo-explore/search?tab=default_tab&amp;search_scope=EVERYTHING&amp;vid=01CRU&amp;lang=en_US&amp;offset=0&amp;query=any,contains,991003491869702656","Catalog Record")</f>
        <v/>
      </c>
      <c r="AT33">
        <f>HYPERLINK("http://www.worldcat.org/oclc/43323710","WorldCat Record")</f>
        <v/>
      </c>
      <c r="AU33" t="inlineStr">
        <is>
          <t>892333905:eng</t>
        </is>
      </c>
      <c r="AV33" t="inlineStr">
        <is>
          <t>43323710</t>
        </is>
      </c>
      <c r="AW33" t="inlineStr">
        <is>
          <t>991003491869702656</t>
        </is>
      </c>
      <c r="AX33" t="inlineStr">
        <is>
          <t>991003491869702656</t>
        </is>
      </c>
      <c r="AY33" t="inlineStr">
        <is>
          <t>2272172940002656</t>
        </is>
      </c>
      <c r="AZ33" t="inlineStr">
        <is>
          <t>BOOK</t>
        </is>
      </c>
      <c r="BB33" t="inlineStr">
        <is>
          <t>9780385184601</t>
        </is>
      </c>
      <c r="BC33" t="inlineStr">
        <is>
          <t>32285004298039</t>
        </is>
      </c>
      <c r="BD33" t="inlineStr">
        <is>
          <t>893441337</t>
        </is>
      </c>
      <c r="BE33" t="inlineStr">
        <is>
          <t>S Brown</t>
        </is>
      </c>
    </row>
    <row r="34">
      <c r="A34" t="inlineStr">
        <is>
          <t>No</t>
        </is>
      </c>
      <c r="B34" t="inlineStr">
        <is>
          <t>BS195 .A5 v. 33A</t>
        </is>
      </c>
      <c r="C34" t="inlineStr">
        <is>
          <t>0                      BS 0195000A  5                                                       v. 33A</t>
        </is>
      </c>
      <c r="D34" t="inlineStr">
        <is>
          <t>Galatians : a new translation with introduction and commentary / J. Louis Martyn.</t>
        </is>
      </c>
      <c r="E34" t="inlineStr">
        <is>
          <t>V. 33A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Bible. Galatians. English. Martyn. 1998.</t>
        </is>
      </c>
      <c r="L34" t="inlineStr">
        <is>
          <t>New York : Doubleday, 1998.</t>
        </is>
      </c>
      <c r="M34" t="inlineStr">
        <is>
          <t>1998</t>
        </is>
      </c>
      <c r="N34" t="inlineStr">
        <is>
          <t>1st ed.</t>
        </is>
      </c>
      <c r="O34" t="inlineStr">
        <is>
          <t>eng</t>
        </is>
      </c>
      <c r="P34" t="inlineStr">
        <is>
          <t>nyu</t>
        </is>
      </c>
      <c r="Q34" t="inlineStr">
        <is>
          <t>The Anchor Bible ; 33A</t>
        </is>
      </c>
      <c r="R34" t="inlineStr">
        <is>
          <t xml:space="preserve">BS </t>
        </is>
      </c>
      <c r="S34" t="n">
        <v>8</v>
      </c>
      <c r="T34" t="n">
        <v>8</v>
      </c>
      <c r="U34" t="inlineStr">
        <is>
          <t>2003-11-10</t>
        </is>
      </c>
      <c r="V34" t="inlineStr">
        <is>
          <t>2003-11-10</t>
        </is>
      </c>
      <c r="W34" t="inlineStr">
        <is>
          <t>1998-01-26</t>
        </is>
      </c>
      <c r="X34" t="inlineStr">
        <is>
          <t>1998-01-26</t>
        </is>
      </c>
      <c r="Y34" t="n">
        <v>784</v>
      </c>
      <c r="Z34" t="n">
        <v>691</v>
      </c>
      <c r="AA34" t="n">
        <v>774</v>
      </c>
      <c r="AB34" t="n">
        <v>9</v>
      </c>
      <c r="AC34" t="n">
        <v>10</v>
      </c>
      <c r="AD34" t="n">
        <v>41</v>
      </c>
      <c r="AE34" t="n">
        <v>46</v>
      </c>
      <c r="AF34" t="n">
        <v>19</v>
      </c>
      <c r="AG34" t="n">
        <v>22</v>
      </c>
      <c r="AH34" t="n">
        <v>6</v>
      </c>
      <c r="AI34" t="n">
        <v>7</v>
      </c>
      <c r="AJ34" t="n">
        <v>19</v>
      </c>
      <c r="AK34" t="n">
        <v>21</v>
      </c>
      <c r="AL34" t="n">
        <v>6</v>
      </c>
      <c r="AM34" t="n">
        <v>7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HYPERLINK("http://catalog.hathitrust.org/Record/003352823","HathiTrust Record")</f>
        <v/>
      </c>
      <c r="AS34">
        <f>HYPERLINK("https://creighton-primo.hosted.exlibrisgroup.com/primo-explore/search?tab=default_tab&amp;search_scope=EVERYTHING&amp;vid=01CRU&amp;lang=en_US&amp;offset=0&amp;query=any,contains,991002741459702656","Catalog Record")</f>
        <v/>
      </c>
      <c r="AT34">
        <f>HYPERLINK("http://www.worldcat.org/oclc/36001181","WorldCat Record")</f>
        <v/>
      </c>
      <c r="AU34" t="inlineStr">
        <is>
          <t>1164868744:eng</t>
        </is>
      </c>
      <c r="AV34" t="inlineStr">
        <is>
          <t>36001181</t>
        </is>
      </c>
      <c r="AW34" t="inlineStr">
        <is>
          <t>991002741459702656</t>
        </is>
      </c>
      <c r="AX34" t="inlineStr">
        <is>
          <t>991002741459702656</t>
        </is>
      </c>
      <c r="AY34" t="inlineStr">
        <is>
          <t>2256023390002656</t>
        </is>
      </c>
      <c r="AZ34" t="inlineStr">
        <is>
          <t>BOOK</t>
        </is>
      </c>
      <c r="BB34" t="inlineStr">
        <is>
          <t>9780385088381</t>
        </is>
      </c>
      <c r="BC34" t="inlineStr">
        <is>
          <t>32285003310876</t>
        </is>
      </c>
      <c r="BD34" t="inlineStr">
        <is>
          <t>893427957</t>
        </is>
      </c>
      <c r="BE34" t="inlineStr">
        <is>
          <t>S Brown</t>
        </is>
      </c>
    </row>
    <row r="35">
      <c r="A35" t="inlineStr">
        <is>
          <t>No</t>
        </is>
      </c>
      <c r="B35" t="inlineStr">
        <is>
          <t>BS195 .A5 v. 34B</t>
        </is>
      </c>
      <c r="C35" t="inlineStr">
        <is>
          <t>0                      BS 0195000A  5                                                       v. 34B</t>
        </is>
      </c>
      <c r="D35" t="inlineStr">
        <is>
          <t>Colossians : a new translation with introduction and commentary / Markus Barth and Helmut Blanke ; translated by Astrid B. Beck.</t>
        </is>
      </c>
      <c r="E35" t="inlineStr">
        <is>
          <t>V. 34B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Bible. Colossians. English. Beck. 1994.</t>
        </is>
      </c>
      <c r="L35" t="inlineStr">
        <is>
          <t>New York : Doubleday, c1994.</t>
        </is>
      </c>
      <c r="M35" t="inlineStr">
        <is>
          <t>1994</t>
        </is>
      </c>
      <c r="O35" t="inlineStr">
        <is>
          <t>eng</t>
        </is>
      </c>
      <c r="P35" t="inlineStr">
        <is>
          <t>nyu</t>
        </is>
      </c>
      <c r="Q35" t="inlineStr">
        <is>
          <t>The Anchor Bible ; 34B</t>
        </is>
      </c>
      <c r="R35" t="inlineStr">
        <is>
          <t xml:space="preserve">BS </t>
        </is>
      </c>
      <c r="S35" t="n">
        <v>6</v>
      </c>
      <c r="T35" t="n">
        <v>6</v>
      </c>
      <c r="U35" t="inlineStr">
        <is>
          <t>1999-03-31</t>
        </is>
      </c>
      <c r="V35" t="inlineStr">
        <is>
          <t>1999-03-31</t>
        </is>
      </c>
      <c r="W35" t="inlineStr">
        <is>
          <t>1995-04-20</t>
        </is>
      </c>
      <c r="X35" t="inlineStr">
        <is>
          <t>1995-04-20</t>
        </is>
      </c>
      <c r="Y35" t="n">
        <v>815</v>
      </c>
      <c r="Z35" t="n">
        <v>697</v>
      </c>
      <c r="AA35" t="n">
        <v>710</v>
      </c>
      <c r="AB35" t="n">
        <v>9</v>
      </c>
      <c r="AC35" t="n">
        <v>9</v>
      </c>
      <c r="AD35" t="n">
        <v>48</v>
      </c>
      <c r="AE35" t="n">
        <v>48</v>
      </c>
      <c r="AF35" t="n">
        <v>20</v>
      </c>
      <c r="AG35" t="n">
        <v>20</v>
      </c>
      <c r="AH35" t="n">
        <v>8</v>
      </c>
      <c r="AI35" t="n">
        <v>8</v>
      </c>
      <c r="AJ35" t="n">
        <v>25</v>
      </c>
      <c r="AK35" t="n">
        <v>25</v>
      </c>
      <c r="AL35" t="n">
        <v>7</v>
      </c>
      <c r="AM35" t="n">
        <v>7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HYPERLINK("https://creighton-primo.hosted.exlibrisgroup.com/primo-explore/search?tab=default_tab&amp;search_scope=EVERYTHING&amp;vid=01CRU&amp;lang=en_US&amp;offset=0&amp;query=any,contains,991002243869702656","Catalog Record")</f>
        <v/>
      </c>
      <c r="AT35">
        <f>HYPERLINK("http://www.worldcat.org/oclc/28929681","WorldCat Record")</f>
        <v/>
      </c>
      <c r="AU35" t="inlineStr">
        <is>
          <t>891481679:eng</t>
        </is>
      </c>
      <c r="AV35" t="inlineStr">
        <is>
          <t>28929681</t>
        </is>
      </c>
      <c r="AW35" t="inlineStr">
        <is>
          <t>991002243869702656</t>
        </is>
      </c>
      <c r="AX35" t="inlineStr">
        <is>
          <t>991002243869702656</t>
        </is>
      </c>
      <c r="AY35" t="inlineStr">
        <is>
          <t>2270770940002656</t>
        </is>
      </c>
      <c r="AZ35" t="inlineStr">
        <is>
          <t>BOOK</t>
        </is>
      </c>
      <c r="BB35" t="inlineStr">
        <is>
          <t>9780385110686</t>
        </is>
      </c>
      <c r="BC35" t="inlineStr">
        <is>
          <t>32285002009628</t>
        </is>
      </c>
      <c r="BD35" t="inlineStr">
        <is>
          <t>893257059</t>
        </is>
      </c>
      <c r="BE35" t="inlineStr">
        <is>
          <t>S Brown</t>
        </is>
      </c>
    </row>
    <row r="36">
      <c r="A36" t="inlineStr">
        <is>
          <t>No</t>
        </is>
      </c>
      <c r="B36" t="inlineStr">
        <is>
          <t>BS195 .A5 v. 35A</t>
        </is>
      </c>
      <c r="C36" t="inlineStr">
        <is>
          <t>0                      BS 0195000A  5                                                       v. 35A</t>
        </is>
      </c>
      <c r="D36" t="inlineStr">
        <is>
          <t>The first and second letters to Timothy : a new translation with introduction and commentary / Luke Timothy Johnson.</t>
        </is>
      </c>
      <c r="E36" t="inlineStr">
        <is>
          <t>V. 35A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Bible. Timothy. English. Johnson. 2000.</t>
        </is>
      </c>
      <c r="L36" t="inlineStr">
        <is>
          <t>New York : Doubleday, c2001.</t>
        </is>
      </c>
      <c r="M36" t="inlineStr">
        <is>
          <t>2001</t>
        </is>
      </c>
      <c r="N36" t="inlineStr">
        <is>
          <t>1st ed.</t>
        </is>
      </c>
      <c r="O36" t="inlineStr">
        <is>
          <t>eng</t>
        </is>
      </c>
      <c r="P36" t="inlineStr">
        <is>
          <t>nyu</t>
        </is>
      </c>
      <c r="Q36" t="inlineStr">
        <is>
          <t>The Anchor Bible ; v. 35A</t>
        </is>
      </c>
      <c r="R36" t="inlineStr">
        <is>
          <t xml:space="preserve">BS </t>
        </is>
      </c>
      <c r="S36" t="n">
        <v>2</v>
      </c>
      <c r="T36" t="n">
        <v>2</v>
      </c>
      <c r="U36" t="inlineStr">
        <is>
          <t>2006-02-09</t>
        </is>
      </c>
      <c r="V36" t="inlineStr">
        <is>
          <t>2006-02-09</t>
        </is>
      </c>
      <c r="W36" t="inlineStr">
        <is>
          <t>2001-06-06</t>
        </is>
      </c>
      <c r="X36" t="inlineStr">
        <is>
          <t>2001-06-06</t>
        </is>
      </c>
      <c r="Y36" t="n">
        <v>749</v>
      </c>
      <c r="Z36" t="n">
        <v>646</v>
      </c>
      <c r="AA36" t="n">
        <v>720</v>
      </c>
      <c r="AB36" t="n">
        <v>7</v>
      </c>
      <c r="AC36" t="n">
        <v>7</v>
      </c>
      <c r="AD36" t="n">
        <v>42</v>
      </c>
      <c r="AE36" t="n">
        <v>43</v>
      </c>
      <c r="AF36" t="n">
        <v>20</v>
      </c>
      <c r="AG36" t="n">
        <v>20</v>
      </c>
      <c r="AH36" t="n">
        <v>6</v>
      </c>
      <c r="AI36" t="n">
        <v>6</v>
      </c>
      <c r="AJ36" t="n">
        <v>21</v>
      </c>
      <c r="AK36" t="n">
        <v>22</v>
      </c>
      <c r="AL36" t="n">
        <v>6</v>
      </c>
      <c r="AM36" t="n">
        <v>6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HYPERLINK("http://catalog.hathitrust.org/Record/003539200","HathiTrust Record")</f>
        <v/>
      </c>
      <c r="AS36">
        <f>HYPERLINK("https://creighton-primo.hosted.exlibrisgroup.com/primo-explore/search?tab=default_tab&amp;search_scope=EVERYTHING&amp;vid=01CRU&amp;lang=en_US&amp;offset=0&amp;query=any,contains,991003541329702656","Catalog Record")</f>
        <v/>
      </c>
      <c r="AT36">
        <f>HYPERLINK("http://www.worldcat.org/oclc/43657061","WorldCat Record")</f>
        <v/>
      </c>
      <c r="AU36" t="inlineStr">
        <is>
          <t>892313936:eng</t>
        </is>
      </c>
      <c r="AV36" t="inlineStr">
        <is>
          <t>43657061</t>
        </is>
      </c>
      <c r="AW36" t="inlineStr">
        <is>
          <t>991003541329702656</t>
        </is>
      </c>
      <c r="AX36" t="inlineStr">
        <is>
          <t>991003541329702656</t>
        </is>
      </c>
      <c r="AY36" t="inlineStr">
        <is>
          <t>2265383730002656</t>
        </is>
      </c>
      <c r="AZ36" t="inlineStr">
        <is>
          <t>BOOK</t>
        </is>
      </c>
      <c r="BB36" t="inlineStr">
        <is>
          <t>9780385484220</t>
        </is>
      </c>
      <c r="BC36" t="inlineStr">
        <is>
          <t>32285004325816</t>
        </is>
      </c>
      <c r="BD36" t="inlineStr">
        <is>
          <t>893441401</t>
        </is>
      </c>
      <c r="BE36" t="inlineStr">
        <is>
          <t>S Brown</t>
        </is>
      </c>
    </row>
    <row r="37">
      <c r="A37" t="inlineStr">
        <is>
          <t>No</t>
        </is>
      </c>
      <c r="B37" t="inlineStr">
        <is>
          <t>BS195 .A5 v. 36A</t>
        </is>
      </c>
      <c r="C37" t="inlineStr">
        <is>
          <t>0                      BS 0195000A  5                                                       v. 36A</t>
        </is>
      </c>
      <c r="D37" t="inlineStr">
        <is>
          <t>Hebrews / a new translation with introduction and commentary Craig R. Koester.</t>
        </is>
      </c>
      <c r="E37" t="inlineStr">
        <is>
          <t>V. 36A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Bible. Hebrews. English. Koester. 2001.</t>
        </is>
      </c>
      <c r="L37" t="inlineStr">
        <is>
          <t>New York : Doubleday, c2001.</t>
        </is>
      </c>
      <c r="M37" t="inlineStr">
        <is>
          <t>2001</t>
        </is>
      </c>
      <c r="N37" t="inlineStr">
        <is>
          <t>1st ed.</t>
        </is>
      </c>
      <c r="O37" t="inlineStr">
        <is>
          <t>eng</t>
        </is>
      </c>
      <c r="P37" t="inlineStr">
        <is>
          <t>nyu</t>
        </is>
      </c>
      <c r="Q37" t="inlineStr">
        <is>
          <t>The Anchor Bible ; v. 36[A]</t>
        </is>
      </c>
      <c r="R37" t="inlineStr">
        <is>
          <t xml:space="preserve">BS </t>
        </is>
      </c>
      <c r="S37" t="n">
        <v>4</v>
      </c>
      <c r="T37" t="n">
        <v>4</v>
      </c>
      <c r="U37" t="inlineStr">
        <is>
          <t>2001-07-19</t>
        </is>
      </c>
      <c r="V37" t="inlineStr">
        <is>
          <t>2001-07-19</t>
        </is>
      </c>
      <c r="W37" t="inlineStr">
        <is>
          <t>2001-07-19</t>
        </is>
      </c>
      <c r="X37" t="inlineStr">
        <is>
          <t>2001-07-19</t>
        </is>
      </c>
      <c r="Y37" t="n">
        <v>677</v>
      </c>
      <c r="Z37" t="n">
        <v>594</v>
      </c>
      <c r="AA37" t="n">
        <v>657</v>
      </c>
      <c r="AB37" t="n">
        <v>7</v>
      </c>
      <c r="AC37" t="n">
        <v>7</v>
      </c>
      <c r="AD37" t="n">
        <v>36</v>
      </c>
      <c r="AE37" t="n">
        <v>39</v>
      </c>
      <c r="AF37" t="n">
        <v>16</v>
      </c>
      <c r="AG37" t="n">
        <v>17</v>
      </c>
      <c r="AH37" t="n">
        <v>5</v>
      </c>
      <c r="AI37" t="n">
        <v>6</v>
      </c>
      <c r="AJ37" t="n">
        <v>19</v>
      </c>
      <c r="AK37" t="n">
        <v>20</v>
      </c>
      <c r="AL37" t="n">
        <v>6</v>
      </c>
      <c r="AM37" t="n">
        <v>6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HYPERLINK("http://catalog.hathitrust.org/Record/003551038","HathiTrust Record")</f>
        <v/>
      </c>
      <c r="AS37">
        <f>HYPERLINK("https://creighton-primo.hosted.exlibrisgroup.com/primo-explore/search?tab=default_tab&amp;search_scope=EVERYTHING&amp;vid=01CRU&amp;lang=en_US&amp;offset=0&amp;query=any,contains,991003563189702656","Catalog Record")</f>
        <v/>
      </c>
      <c r="AT37">
        <f>HYPERLINK("http://www.worldcat.org/oclc/43885361","WorldCat Record")</f>
        <v/>
      </c>
      <c r="AU37" t="inlineStr">
        <is>
          <t>2864107015:eng</t>
        </is>
      </c>
      <c r="AV37" t="inlineStr">
        <is>
          <t>43885361</t>
        </is>
      </c>
      <c r="AW37" t="inlineStr">
        <is>
          <t>991003563189702656</t>
        </is>
      </c>
      <c r="AX37" t="inlineStr">
        <is>
          <t>991003563189702656</t>
        </is>
      </c>
      <c r="AY37" t="inlineStr">
        <is>
          <t>2255489340002656</t>
        </is>
      </c>
      <c r="AZ37" t="inlineStr">
        <is>
          <t>BOOK</t>
        </is>
      </c>
      <c r="BB37" t="inlineStr">
        <is>
          <t>9780385468930</t>
        </is>
      </c>
      <c r="BC37" t="inlineStr">
        <is>
          <t>32285004333877</t>
        </is>
      </c>
      <c r="BD37" t="inlineStr">
        <is>
          <t>893781135</t>
        </is>
      </c>
      <c r="BE37" t="inlineStr">
        <is>
          <t>S Brown</t>
        </is>
      </c>
    </row>
    <row r="38">
      <c r="A38" t="inlineStr">
        <is>
          <t>No</t>
        </is>
      </c>
      <c r="B38" t="inlineStr">
        <is>
          <t>BS195 .A5 v. 37</t>
        </is>
      </c>
      <c r="C38" t="inlineStr">
        <is>
          <t>0                      BS 0195000A  5                                                       v. 37</t>
        </is>
      </c>
      <c r="D38" t="inlineStr">
        <is>
          <t>The Epistles of James, Peter and Jude, translated with an introduction and notes by Bo Reicke.</t>
        </is>
      </c>
      <c r="E38" t="inlineStr">
        <is>
          <t>V. 37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Bible. Epistles. English. Reicke. 1964.</t>
        </is>
      </c>
      <c r="L38" t="inlineStr">
        <is>
          <t>Garden City, N.Y., Doubleday, 1964.</t>
        </is>
      </c>
      <c r="M38" t="inlineStr">
        <is>
          <t>1964</t>
        </is>
      </c>
      <c r="O38" t="inlineStr">
        <is>
          <t>eng</t>
        </is>
      </c>
      <c r="P38" t="inlineStr">
        <is>
          <t>___</t>
        </is>
      </c>
      <c r="Q38" t="inlineStr">
        <is>
          <t>Bible. English. 1964. The Anchor Bible, v.37</t>
        </is>
      </c>
      <c r="R38" t="inlineStr">
        <is>
          <t xml:space="preserve">BS </t>
        </is>
      </c>
      <c r="S38" t="n">
        <v>3</v>
      </c>
      <c r="T38" t="n">
        <v>3</v>
      </c>
      <c r="U38" t="inlineStr">
        <is>
          <t>2005-09-12</t>
        </is>
      </c>
      <c r="V38" t="inlineStr">
        <is>
          <t>2005-09-12</t>
        </is>
      </c>
      <c r="W38" t="inlineStr">
        <is>
          <t>1991-03-06</t>
        </is>
      </c>
      <c r="X38" t="inlineStr">
        <is>
          <t>1991-03-06</t>
        </is>
      </c>
      <c r="Y38" t="n">
        <v>1473</v>
      </c>
      <c r="Z38" t="n">
        <v>1333</v>
      </c>
      <c r="AA38" t="n">
        <v>1351</v>
      </c>
      <c r="AB38" t="n">
        <v>16</v>
      </c>
      <c r="AC38" t="n">
        <v>16</v>
      </c>
      <c r="AD38" t="n">
        <v>60</v>
      </c>
      <c r="AE38" t="n">
        <v>60</v>
      </c>
      <c r="AF38" t="n">
        <v>28</v>
      </c>
      <c r="AG38" t="n">
        <v>28</v>
      </c>
      <c r="AH38" t="n">
        <v>10</v>
      </c>
      <c r="AI38" t="n">
        <v>10</v>
      </c>
      <c r="AJ38" t="n">
        <v>25</v>
      </c>
      <c r="AK38" t="n">
        <v>25</v>
      </c>
      <c r="AL38" t="n">
        <v>11</v>
      </c>
      <c r="AM38" t="n">
        <v>11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HYPERLINK("http://catalog.hathitrust.org/Record/000688486","HathiTrust Record")</f>
        <v/>
      </c>
      <c r="AS38">
        <f>HYPERLINK("https://creighton-primo.hosted.exlibrisgroup.com/primo-explore/search?tab=default_tab&amp;search_scope=EVERYTHING&amp;vid=01CRU&amp;lang=en_US&amp;offset=0&amp;query=any,contains,991002642469702656","Catalog Record")</f>
        <v/>
      </c>
      <c r="AT38">
        <f>HYPERLINK("http://www.worldcat.org/oclc/384848","WorldCat Record")</f>
        <v/>
      </c>
      <c r="AU38" t="inlineStr">
        <is>
          <t>1083024543:eng</t>
        </is>
      </c>
      <c r="AV38" t="inlineStr">
        <is>
          <t>384848</t>
        </is>
      </c>
      <c r="AW38" t="inlineStr">
        <is>
          <t>991002642469702656</t>
        </is>
      </c>
      <c r="AX38" t="inlineStr">
        <is>
          <t>991002642469702656</t>
        </is>
      </c>
      <c r="AY38" t="inlineStr">
        <is>
          <t>2258543210002656</t>
        </is>
      </c>
      <c r="AZ38" t="inlineStr">
        <is>
          <t>BOOK</t>
        </is>
      </c>
      <c r="BC38" t="inlineStr">
        <is>
          <t>32285000545060</t>
        </is>
      </c>
      <c r="BD38" t="inlineStr">
        <is>
          <t>893517550</t>
        </is>
      </c>
      <c r="BE38" t="inlineStr">
        <is>
          <t>S Brown</t>
        </is>
      </c>
    </row>
    <row r="39">
      <c r="A39" t="inlineStr">
        <is>
          <t>No</t>
        </is>
      </c>
      <c r="B39" t="inlineStr">
        <is>
          <t>BS195 .A5 v. 37A</t>
        </is>
      </c>
      <c r="C39" t="inlineStr">
        <is>
          <t>0                      BS 0195000A  5                                                       v. 37A</t>
        </is>
      </c>
      <c r="D39" t="inlineStr">
        <is>
          <t>The letter of James : a new translation with introduction and commentary / by Luke Timothy Johnson.</t>
        </is>
      </c>
      <c r="E39" t="inlineStr">
        <is>
          <t>V. 37A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Bible. James. English. Johnson. 1995.</t>
        </is>
      </c>
      <c r="L39" t="inlineStr">
        <is>
          <t>New York : Doubleday, 1995.</t>
        </is>
      </c>
      <c r="M39" t="inlineStr">
        <is>
          <t>1995</t>
        </is>
      </c>
      <c r="N39" t="inlineStr">
        <is>
          <t>1st ed.</t>
        </is>
      </c>
      <c r="O39" t="inlineStr">
        <is>
          <t>eng</t>
        </is>
      </c>
      <c r="P39" t="inlineStr">
        <is>
          <t>nyu</t>
        </is>
      </c>
      <c r="Q39" t="inlineStr">
        <is>
          <t>The Anchor Bible ; v. 37A</t>
        </is>
      </c>
      <c r="R39" t="inlineStr">
        <is>
          <t xml:space="preserve">BS </t>
        </is>
      </c>
      <c r="S39" t="n">
        <v>1</v>
      </c>
      <c r="T39" t="n">
        <v>1</v>
      </c>
      <c r="U39" t="inlineStr">
        <is>
          <t>2003-07-27</t>
        </is>
      </c>
      <c r="V39" t="inlineStr">
        <is>
          <t>2003-07-27</t>
        </is>
      </c>
      <c r="W39" t="inlineStr">
        <is>
          <t>2000-06-15</t>
        </is>
      </c>
      <c r="X39" t="inlineStr">
        <is>
          <t>2000-06-15</t>
        </is>
      </c>
      <c r="Y39" t="n">
        <v>840</v>
      </c>
      <c r="Z39" t="n">
        <v>729</v>
      </c>
      <c r="AA39" t="n">
        <v>781</v>
      </c>
      <c r="AB39" t="n">
        <v>8</v>
      </c>
      <c r="AC39" t="n">
        <v>8</v>
      </c>
      <c r="AD39" t="n">
        <v>43</v>
      </c>
      <c r="AE39" t="n">
        <v>44</v>
      </c>
      <c r="AF39" t="n">
        <v>19</v>
      </c>
      <c r="AG39" t="n">
        <v>20</v>
      </c>
      <c r="AH39" t="n">
        <v>7</v>
      </c>
      <c r="AI39" t="n">
        <v>7</v>
      </c>
      <c r="AJ39" t="n">
        <v>23</v>
      </c>
      <c r="AK39" t="n">
        <v>23</v>
      </c>
      <c r="AL39" t="n">
        <v>5</v>
      </c>
      <c r="AM39" t="n">
        <v>5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HYPERLINK("http://catalog.hathitrust.org/Record/003022371","HathiTrust Record")</f>
        <v/>
      </c>
      <c r="AS39">
        <f>HYPERLINK("https://creighton-primo.hosted.exlibrisgroup.com/primo-explore/search?tab=default_tab&amp;search_scope=EVERYTHING&amp;vid=01CRU&amp;lang=en_US&amp;offset=0&amp;query=any,contains,991003187969702656","Catalog Record")</f>
        <v/>
      </c>
      <c r="AT39">
        <f>HYPERLINK("http://www.worldcat.org/oclc/31374078","WorldCat Record")</f>
        <v/>
      </c>
      <c r="AU39" t="inlineStr">
        <is>
          <t>1434052694:eng</t>
        </is>
      </c>
      <c r="AV39" t="inlineStr">
        <is>
          <t>31374078</t>
        </is>
      </c>
      <c r="AW39" t="inlineStr">
        <is>
          <t>991003187969702656</t>
        </is>
      </c>
      <c r="AX39" t="inlineStr">
        <is>
          <t>991003187969702656</t>
        </is>
      </c>
      <c r="AY39" t="inlineStr">
        <is>
          <t>2262956930002656</t>
        </is>
      </c>
      <c r="AZ39" t="inlineStr">
        <is>
          <t>BOOK</t>
        </is>
      </c>
      <c r="BB39" t="inlineStr">
        <is>
          <t>9780385413602</t>
        </is>
      </c>
      <c r="BC39" t="inlineStr">
        <is>
          <t>32285002087350</t>
        </is>
      </c>
      <c r="BD39" t="inlineStr">
        <is>
          <t>893704993</t>
        </is>
      </c>
      <c r="BE39" t="inlineStr">
        <is>
          <t>S Brown</t>
        </is>
      </c>
    </row>
    <row r="40">
      <c r="A40" t="inlineStr">
        <is>
          <t>No</t>
        </is>
      </c>
      <c r="B40" t="inlineStr">
        <is>
          <t>BS195 .A5 v. 3A</t>
        </is>
      </c>
      <c r="C40" t="inlineStr">
        <is>
          <t>0                      BS 0195000A  5                                                       v. 3A</t>
        </is>
      </c>
      <c r="D40" t="inlineStr">
        <is>
          <t>Leviticus 17-22 / a new translation with introduction and commentary Jacob Milgrom.</t>
        </is>
      </c>
      <c r="E40" t="inlineStr">
        <is>
          <t>V. 3A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Bible. Leviticus, XVII-XXII. English. Milgrom. 2000.</t>
        </is>
      </c>
      <c r="L40" t="inlineStr">
        <is>
          <t>New York : Doubleday, c2000.</t>
        </is>
      </c>
      <c r="M40" t="inlineStr">
        <is>
          <t>2000</t>
        </is>
      </c>
      <c r="N40" t="inlineStr">
        <is>
          <t>1st ed.</t>
        </is>
      </c>
      <c r="O40" t="inlineStr">
        <is>
          <t>eng</t>
        </is>
      </c>
      <c r="P40" t="inlineStr">
        <is>
          <t>nyu</t>
        </is>
      </c>
      <c r="Q40" t="inlineStr">
        <is>
          <t>The Anchor Bible ; v. 3A</t>
        </is>
      </c>
      <c r="R40" t="inlineStr">
        <is>
          <t xml:space="preserve">BS </t>
        </is>
      </c>
      <c r="S40" t="n">
        <v>2</v>
      </c>
      <c r="T40" t="n">
        <v>2</v>
      </c>
      <c r="U40" t="inlineStr">
        <is>
          <t>2001-02-07</t>
        </is>
      </c>
      <c r="V40" t="inlineStr">
        <is>
          <t>2001-02-07</t>
        </is>
      </c>
      <c r="W40" t="inlineStr">
        <is>
          <t>2001-02-07</t>
        </is>
      </c>
      <c r="X40" t="inlineStr">
        <is>
          <t>2001-02-07</t>
        </is>
      </c>
      <c r="Y40" t="n">
        <v>711</v>
      </c>
      <c r="Z40" t="n">
        <v>603</v>
      </c>
      <c r="AA40" t="n">
        <v>674</v>
      </c>
      <c r="AB40" t="n">
        <v>9</v>
      </c>
      <c r="AC40" t="n">
        <v>9</v>
      </c>
      <c r="AD40" t="n">
        <v>39</v>
      </c>
      <c r="AE40" t="n">
        <v>43</v>
      </c>
      <c r="AF40" t="n">
        <v>16</v>
      </c>
      <c r="AG40" t="n">
        <v>19</v>
      </c>
      <c r="AH40" t="n">
        <v>6</v>
      </c>
      <c r="AI40" t="n">
        <v>7</v>
      </c>
      <c r="AJ40" t="n">
        <v>19</v>
      </c>
      <c r="AK40" t="n">
        <v>20</v>
      </c>
      <c r="AL40" t="n">
        <v>7</v>
      </c>
      <c r="AM40" t="n">
        <v>7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HYPERLINK("http://catalog.hathitrust.org/Record/004578667","HathiTrust Record")</f>
        <v/>
      </c>
      <c r="AS40">
        <f>HYPERLINK("https://creighton-primo.hosted.exlibrisgroup.com/primo-explore/search?tab=default_tab&amp;search_scope=EVERYTHING&amp;vid=01CRU&amp;lang=en_US&amp;offset=0&amp;query=any,contains,991003485059702656","Catalog Record")</f>
        <v/>
      </c>
      <c r="AT40">
        <f>HYPERLINK("http://www.worldcat.org/oclc/43063263","WorldCat Record")</f>
        <v/>
      </c>
      <c r="AU40" t="inlineStr">
        <is>
          <t>3855979701:eng</t>
        </is>
      </c>
      <c r="AV40" t="inlineStr">
        <is>
          <t>43063263</t>
        </is>
      </c>
      <c r="AW40" t="inlineStr">
        <is>
          <t>991003485059702656</t>
        </is>
      </c>
      <c r="AX40" t="inlineStr">
        <is>
          <t>991003485059702656</t>
        </is>
      </c>
      <c r="AY40" t="inlineStr">
        <is>
          <t>2261222710002656</t>
        </is>
      </c>
      <c r="AZ40" t="inlineStr">
        <is>
          <t>BOOK</t>
        </is>
      </c>
      <c r="BB40" t="inlineStr">
        <is>
          <t>9780385412551</t>
        </is>
      </c>
      <c r="BC40" t="inlineStr">
        <is>
          <t>32285004294236</t>
        </is>
      </c>
      <c r="BD40" t="inlineStr">
        <is>
          <t>893611090</t>
        </is>
      </c>
      <c r="BE40" t="inlineStr">
        <is>
          <t>Simkins</t>
        </is>
      </c>
    </row>
    <row r="41">
      <c r="A41" t="inlineStr">
        <is>
          <t>No</t>
        </is>
      </c>
      <c r="B41" t="inlineStr">
        <is>
          <t>BS195 .A5 v. 4A</t>
        </is>
      </c>
      <c r="C41" t="inlineStr">
        <is>
          <t>0                      BS 0195000A  5                                                       v. 4A</t>
        </is>
      </c>
      <c r="D41" t="inlineStr">
        <is>
          <t>Numbers 21-36 : a new translation with introduction and commentary / Baruch A. Levine.</t>
        </is>
      </c>
      <c r="E41" t="inlineStr">
        <is>
          <t>V. 4A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Bible. Numbers, XXI-XXXVI. English. Levine. 2000.</t>
        </is>
      </c>
      <c r="L41" t="inlineStr">
        <is>
          <t>New York : Doubleday, c2000.</t>
        </is>
      </c>
      <c r="M41" t="inlineStr">
        <is>
          <t>2000</t>
        </is>
      </c>
      <c r="N41" t="inlineStr">
        <is>
          <t>1st ed.</t>
        </is>
      </c>
      <c r="O41" t="inlineStr">
        <is>
          <t>eng</t>
        </is>
      </c>
      <c r="P41" t="inlineStr">
        <is>
          <t>nyu</t>
        </is>
      </c>
      <c r="Q41" t="inlineStr">
        <is>
          <t>The Anchor Bible ; 4A</t>
        </is>
      </c>
      <c r="R41" t="inlineStr">
        <is>
          <t xml:space="preserve">BS </t>
        </is>
      </c>
      <c r="S41" t="n">
        <v>4</v>
      </c>
      <c r="T41" t="n">
        <v>4</v>
      </c>
      <c r="U41" t="inlineStr">
        <is>
          <t>2002-02-13</t>
        </is>
      </c>
      <c r="V41" t="inlineStr">
        <is>
          <t>2002-02-13</t>
        </is>
      </c>
      <c r="W41" t="inlineStr">
        <is>
          <t>2000-08-23</t>
        </is>
      </c>
      <c r="X41" t="inlineStr">
        <is>
          <t>2000-08-23</t>
        </is>
      </c>
      <c r="Y41" t="n">
        <v>767</v>
      </c>
      <c r="Z41" t="n">
        <v>653</v>
      </c>
      <c r="AA41" t="n">
        <v>687</v>
      </c>
      <c r="AB41" t="n">
        <v>9</v>
      </c>
      <c r="AC41" t="n">
        <v>9</v>
      </c>
      <c r="AD41" t="n">
        <v>40</v>
      </c>
      <c r="AE41" t="n">
        <v>42</v>
      </c>
      <c r="AF41" t="n">
        <v>19</v>
      </c>
      <c r="AG41" t="n">
        <v>20</v>
      </c>
      <c r="AH41" t="n">
        <v>7</v>
      </c>
      <c r="AI41" t="n">
        <v>8</v>
      </c>
      <c r="AJ41" t="n">
        <v>20</v>
      </c>
      <c r="AK41" t="n">
        <v>21</v>
      </c>
      <c r="AL41" t="n">
        <v>6</v>
      </c>
      <c r="AM41" t="n">
        <v>6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HYPERLINK("http://catalog.hathitrust.org/Record/003495799","HathiTrust Record")</f>
        <v/>
      </c>
      <c r="AS41">
        <f>HYPERLINK("https://creighton-primo.hosted.exlibrisgroup.com/primo-explore/search?tab=default_tab&amp;search_scope=EVERYTHING&amp;vid=01CRU&amp;lang=en_US&amp;offset=0&amp;query=any,contains,991003266069702656","Catalog Record")</f>
        <v/>
      </c>
      <c r="AT41">
        <f>HYPERLINK("http://www.worldcat.org/oclc/41224024","WorldCat Record")</f>
        <v/>
      </c>
      <c r="AU41" t="inlineStr">
        <is>
          <t>26924520:eng</t>
        </is>
      </c>
      <c r="AV41" t="inlineStr">
        <is>
          <t>41224024</t>
        </is>
      </c>
      <c r="AW41" t="inlineStr">
        <is>
          <t>991003266069702656</t>
        </is>
      </c>
      <c r="AX41" t="inlineStr">
        <is>
          <t>991003266069702656</t>
        </is>
      </c>
      <c r="AY41" t="inlineStr">
        <is>
          <t>2260378940002656</t>
        </is>
      </c>
      <c r="AZ41" t="inlineStr">
        <is>
          <t>BOOK</t>
        </is>
      </c>
      <c r="BB41" t="inlineStr">
        <is>
          <t>9780385412568</t>
        </is>
      </c>
      <c r="BC41" t="inlineStr">
        <is>
          <t>32285003758959</t>
        </is>
      </c>
      <c r="BD41" t="inlineStr">
        <is>
          <t>893336313</t>
        </is>
      </c>
      <c r="BE41" t="inlineStr">
        <is>
          <t>Simkins</t>
        </is>
      </c>
    </row>
    <row r="42">
      <c r="A42" t="inlineStr">
        <is>
          <t>No</t>
        </is>
      </c>
      <c r="B42" t="inlineStr">
        <is>
          <t>BS2341 .M6 v.6</t>
        </is>
      </c>
      <c r="C42" t="inlineStr">
        <is>
          <t>0                      BS 2341000M  6                                                       v.6</t>
        </is>
      </c>
      <c r="D42" t="inlineStr">
        <is>
          <t>The Epistle of Paul to the Romans / by C.H. Dodd ...</t>
        </is>
      </c>
      <c r="E42" t="inlineStr">
        <is>
          <t>V. 6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Dodd, C. H. (Charles Harold), 1884-1973.</t>
        </is>
      </c>
      <c r="L42" t="inlineStr">
        <is>
          <t>London : Hodder &amp; Stoughton, 1932</t>
        </is>
      </c>
      <c r="M42" t="inlineStr">
        <is>
          <t>1932</t>
        </is>
      </c>
      <c r="O42" t="inlineStr">
        <is>
          <t>eng</t>
        </is>
      </c>
      <c r="P42" t="inlineStr">
        <is>
          <t>enk</t>
        </is>
      </c>
      <c r="Q42" t="inlineStr">
        <is>
          <t>The Moffatt New Testament commentary ; v.6</t>
        </is>
      </c>
      <c r="R42" t="inlineStr">
        <is>
          <t xml:space="preserve">BS </t>
        </is>
      </c>
      <c r="S42" t="n">
        <v>6</v>
      </c>
      <c r="T42" t="n">
        <v>6</v>
      </c>
      <c r="U42" t="inlineStr">
        <is>
          <t>2004-04-24</t>
        </is>
      </c>
      <c r="V42" t="inlineStr">
        <is>
          <t>2004-04-24</t>
        </is>
      </c>
      <c r="W42" t="inlineStr">
        <is>
          <t>1991-02-19</t>
        </is>
      </c>
      <c r="X42" t="inlineStr">
        <is>
          <t>1991-02-19</t>
        </is>
      </c>
      <c r="Y42" t="n">
        <v>248</v>
      </c>
      <c r="Z42" t="n">
        <v>136</v>
      </c>
      <c r="AA42" t="n">
        <v>650</v>
      </c>
      <c r="AB42" t="n">
        <v>1</v>
      </c>
      <c r="AC42" t="n">
        <v>5</v>
      </c>
      <c r="AD42" t="n">
        <v>8</v>
      </c>
      <c r="AE42" t="n">
        <v>35</v>
      </c>
      <c r="AF42" t="n">
        <v>5</v>
      </c>
      <c r="AG42" t="n">
        <v>13</v>
      </c>
      <c r="AH42" t="n">
        <v>2</v>
      </c>
      <c r="AI42" t="n">
        <v>7</v>
      </c>
      <c r="AJ42" t="n">
        <v>4</v>
      </c>
      <c r="AK42" t="n">
        <v>21</v>
      </c>
      <c r="AL42" t="n">
        <v>0</v>
      </c>
      <c r="AM42" t="n">
        <v>3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HYPERLINK("http://catalog.hathitrust.org/Record/102097048","HathiTrust Record")</f>
        <v/>
      </c>
      <c r="AS42">
        <f>HYPERLINK("https://creighton-primo.hosted.exlibrisgroup.com/primo-explore/search?tab=default_tab&amp;search_scope=EVERYTHING&amp;vid=01CRU&amp;lang=en_US&amp;offset=0&amp;query=any,contains,991004934639702656","Catalog Record")</f>
        <v/>
      </c>
      <c r="AT42">
        <f>HYPERLINK("http://www.worldcat.org/oclc/6138344","WorldCat Record")</f>
        <v/>
      </c>
      <c r="AU42" t="inlineStr">
        <is>
          <t>64676799:eng</t>
        </is>
      </c>
      <c r="AV42" t="inlineStr">
        <is>
          <t>6138344</t>
        </is>
      </c>
      <c r="AW42" t="inlineStr">
        <is>
          <t>991004934639702656</t>
        </is>
      </c>
      <c r="AX42" t="inlineStr">
        <is>
          <t>991004934639702656</t>
        </is>
      </c>
      <c r="AY42" t="inlineStr">
        <is>
          <t>2260027330002656</t>
        </is>
      </c>
      <c r="AZ42" t="inlineStr">
        <is>
          <t>BOOK</t>
        </is>
      </c>
      <c r="BC42" t="inlineStr">
        <is>
          <t>32285000466838</t>
        </is>
      </c>
      <c r="BD42" t="inlineStr">
        <is>
          <t>893260332</t>
        </is>
      </c>
      <c r="BE42" t="inlineStr">
        <is>
          <t>S Brown</t>
        </is>
      </c>
    </row>
    <row r="43">
      <c r="A43" t="inlineStr">
        <is>
          <t>No</t>
        </is>
      </c>
      <c r="B43" t="inlineStr">
        <is>
          <t>BS2341.2 .N382 v.3-4</t>
        </is>
      </c>
      <c r="C43" t="inlineStr">
        <is>
          <t>0                      BS 2341200N  382                                                     v.3-4</t>
        </is>
      </c>
      <c r="D43" t="inlineStr">
        <is>
          <t>The Gospel according to St. Mark / [by] Rudolf Schnackenburg.</t>
        </is>
      </c>
      <c r="E43" t="inlineStr">
        <is>
          <t>V. 3</t>
        </is>
      </c>
      <c r="F43" t="inlineStr">
        <is>
          <t>Yes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Schnackenburg, Rudolf, 1914-</t>
        </is>
      </c>
      <c r="L43" t="inlineStr">
        <is>
          <t>[New York] Herder and Herder [1971]</t>
        </is>
      </c>
      <c r="M43" t="inlineStr">
        <is>
          <t>1971</t>
        </is>
      </c>
      <c r="O43" t="inlineStr">
        <is>
          <t>eng</t>
        </is>
      </c>
      <c r="P43" t="inlineStr">
        <is>
          <t>___</t>
        </is>
      </c>
      <c r="Q43" t="inlineStr">
        <is>
          <t>New Testament for spiritual reading, 3-4</t>
        </is>
      </c>
      <c r="R43" t="inlineStr">
        <is>
          <t xml:space="preserve">BS </t>
        </is>
      </c>
      <c r="S43" t="n">
        <v>9</v>
      </c>
      <c r="T43" t="n">
        <v>15</v>
      </c>
      <c r="U43" t="inlineStr">
        <is>
          <t>2009-12-06</t>
        </is>
      </c>
      <c r="V43" t="inlineStr">
        <is>
          <t>2009-12-06</t>
        </is>
      </c>
      <c r="W43" t="inlineStr">
        <is>
          <t>2000-06-15</t>
        </is>
      </c>
      <c r="X43" t="inlineStr">
        <is>
          <t>2001-05-29</t>
        </is>
      </c>
      <c r="Y43" t="n">
        <v>100</v>
      </c>
      <c r="Z43" t="n">
        <v>95</v>
      </c>
      <c r="AA43" t="n">
        <v>143</v>
      </c>
      <c r="AB43" t="n">
        <v>2</v>
      </c>
      <c r="AC43" t="n">
        <v>2</v>
      </c>
      <c r="AD43" t="n">
        <v>13</v>
      </c>
      <c r="AE43" t="n">
        <v>18</v>
      </c>
      <c r="AF43" t="n">
        <v>2</v>
      </c>
      <c r="AG43" t="n">
        <v>5</v>
      </c>
      <c r="AH43" t="n">
        <v>5</v>
      </c>
      <c r="AI43" t="n">
        <v>6</v>
      </c>
      <c r="AJ43" t="n">
        <v>10</v>
      </c>
      <c r="AK43" t="n">
        <v>12</v>
      </c>
      <c r="AL43" t="n">
        <v>0</v>
      </c>
      <c r="AM43" t="n">
        <v>0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HYPERLINK("https://creighton-primo.hosted.exlibrisgroup.com/primo-explore/search?tab=default_tab&amp;search_scope=EVERYTHING&amp;vid=01CRU&amp;lang=en_US&amp;offset=0&amp;query=any,contains,991003097719702656","Catalog Record")</f>
        <v/>
      </c>
      <c r="AT43">
        <f>HYPERLINK("http://www.worldcat.org/oclc/1456886","WorldCat Record")</f>
        <v/>
      </c>
      <c r="AU43" t="inlineStr">
        <is>
          <t>3372297085:eng</t>
        </is>
      </c>
      <c r="AV43" t="inlineStr">
        <is>
          <t>1456886</t>
        </is>
      </c>
      <c r="AW43" t="inlineStr">
        <is>
          <t>991003097719702656</t>
        </is>
      </c>
      <c r="AX43" t="inlineStr">
        <is>
          <t>991003097719702656</t>
        </is>
      </c>
      <c r="AY43" t="inlineStr">
        <is>
          <t>2256082710002656</t>
        </is>
      </c>
      <c r="AZ43" t="inlineStr">
        <is>
          <t>BOOK</t>
        </is>
      </c>
      <c r="BC43" t="inlineStr">
        <is>
          <t>32285000466994</t>
        </is>
      </c>
      <c r="BD43" t="inlineStr">
        <is>
          <t>893616997</t>
        </is>
      </c>
      <c r="BE43" t="inlineStr">
        <is>
          <t>S Brown</t>
        </is>
      </c>
    </row>
    <row r="44">
      <c r="A44" t="inlineStr">
        <is>
          <t>No</t>
        </is>
      </c>
      <c r="B44" t="inlineStr">
        <is>
          <t>BS2341.2 .N382 v.3-4</t>
        </is>
      </c>
      <c r="C44" t="inlineStr">
        <is>
          <t>0                      BS 2341200N  382                                                     v.3-4</t>
        </is>
      </c>
      <c r="D44" t="inlineStr">
        <is>
          <t>The Gospel according to St. Mark / [by] Rudolf Schnackenburg.</t>
        </is>
      </c>
      <c r="E44" t="inlineStr">
        <is>
          <t>V. 4</t>
        </is>
      </c>
      <c r="F44" t="inlineStr">
        <is>
          <t>Yes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Schnackenburg, Rudolf, 1914-</t>
        </is>
      </c>
      <c r="L44" t="inlineStr">
        <is>
          <t>[New York] Herder and Herder [1971]</t>
        </is>
      </c>
      <c r="M44" t="inlineStr">
        <is>
          <t>1971</t>
        </is>
      </c>
      <c r="O44" t="inlineStr">
        <is>
          <t>eng</t>
        </is>
      </c>
      <c r="P44" t="inlineStr">
        <is>
          <t>___</t>
        </is>
      </c>
      <c r="Q44" t="inlineStr">
        <is>
          <t>New Testament for spiritual reading, 3-4</t>
        </is>
      </c>
      <c r="R44" t="inlineStr">
        <is>
          <t xml:space="preserve">BS </t>
        </is>
      </c>
      <c r="S44" t="n">
        <v>6</v>
      </c>
      <c r="T44" t="n">
        <v>15</v>
      </c>
      <c r="U44" t="inlineStr">
        <is>
          <t>2007-02-05</t>
        </is>
      </c>
      <c r="V44" t="inlineStr">
        <is>
          <t>2009-12-06</t>
        </is>
      </c>
      <c r="W44" t="inlineStr">
        <is>
          <t>2001-05-29</t>
        </is>
      </c>
      <c r="X44" t="inlineStr">
        <is>
          <t>2001-05-29</t>
        </is>
      </c>
      <c r="Y44" t="n">
        <v>100</v>
      </c>
      <c r="Z44" t="n">
        <v>95</v>
      </c>
      <c r="AA44" t="n">
        <v>143</v>
      </c>
      <c r="AB44" t="n">
        <v>2</v>
      </c>
      <c r="AC44" t="n">
        <v>2</v>
      </c>
      <c r="AD44" t="n">
        <v>13</v>
      </c>
      <c r="AE44" t="n">
        <v>18</v>
      </c>
      <c r="AF44" t="n">
        <v>2</v>
      </c>
      <c r="AG44" t="n">
        <v>5</v>
      </c>
      <c r="AH44" t="n">
        <v>5</v>
      </c>
      <c r="AI44" t="n">
        <v>6</v>
      </c>
      <c r="AJ44" t="n">
        <v>10</v>
      </c>
      <c r="AK44" t="n">
        <v>12</v>
      </c>
      <c r="AL44" t="n">
        <v>0</v>
      </c>
      <c r="AM44" t="n">
        <v>0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HYPERLINK("https://creighton-primo.hosted.exlibrisgroup.com/primo-explore/search?tab=default_tab&amp;search_scope=EVERYTHING&amp;vid=01CRU&amp;lang=en_US&amp;offset=0&amp;query=any,contains,991003097719702656","Catalog Record")</f>
        <v/>
      </c>
      <c r="AT44">
        <f>HYPERLINK("http://www.worldcat.org/oclc/1456886","WorldCat Record")</f>
        <v/>
      </c>
      <c r="AU44" t="inlineStr">
        <is>
          <t>3372297085:eng</t>
        </is>
      </c>
      <c r="AV44" t="inlineStr">
        <is>
          <t>1456886</t>
        </is>
      </c>
      <c r="AW44" t="inlineStr">
        <is>
          <t>991003097719702656</t>
        </is>
      </c>
      <c r="AX44" t="inlineStr">
        <is>
          <t>991003097719702656</t>
        </is>
      </c>
      <c r="AY44" t="inlineStr">
        <is>
          <t>2256082710002656</t>
        </is>
      </c>
      <c r="AZ44" t="inlineStr">
        <is>
          <t>BOOK</t>
        </is>
      </c>
      <c r="BC44" t="inlineStr">
        <is>
          <t>32285000467000</t>
        </is>
      </c>
      <c r="BD44" t="inlineStr">
        <is>
          <t>893592190</t>
        </is>
      </c>
      <c r="BE44" t="inlineStr">
        <is>
          <t>S Brown</t>
        </is>
      </c>
    </row>
    <row r="45">
      <c r="A45" t="inlineStr">
        <is>
          <t>No</t>
        </is>
      </c>
      <c r="B45" t="inlineStr">
        <is>
          <t>BS2361.2 .B4</t>
        </is>
      </c>
      <c r="C45" t="inlineStr">
        <is>
          <t>0                      BS 2361200B  4</t>
        </is>
      </c>
      <c r="D45" t="inlineStr">
        <is>
          <t>Literary criticism of the New Testament, by William A. Beardslee.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Beardslee, William A.</t>
        </is>
      </c>
      <c r="L45" t="inlineStr">
        <is>
          <t>Philadelphia, Fortress Press [1970]</t>
        </is>
      </c>
      <c r="M45" t="inlineStr">
        <is>
          <t>1970</t>
        </is>
      </c>
      <c r="O45" t="inlineStr">
        <is>
          <t>eng</t>
        </is>
      </c>
      <c r="P45" t="inlineStr">
        <is>
          <t>pau</t>
        </is>
      </c>
      <c r="Q45" t="inlineStr">
        <is>
          <t>Guides to biblical scholarship</t>
        </is>
      </c>
      <c r="R45" t="inlineStr">
        <is>
          <t xml:space="preserve">BS </t>
        </is>
      </c>
      <c r="S45" t="n">
        <v>4</v>
      </c>
      <c r="T45" t="n">
        <v>4</v>
      </c>
      <c r="U45" t="inlineStr">
        <is>
          <t>2003-07-01</t>
        </is>
      </c>
      <c r="V45" t="inlineStr">
        <is>
          <t>2003-07-01</t>
        </is>
      </c>
      <c r="W45" t="inlineStr">
        <is>
          <t>1991-02-19</t>
        </is>
      </c>
      <c r="X45" t="inlineStr">
        <is>
          <t>1991-02-19</t>
        </is>
      </c>
      <c r="Y45" t="n">
        <v>842</v>
      </c>
      <c r="Z45" t="n">
        <v>730</v>
      </c>
      <c r="AA45" t="n">
        <v>751</v>
      </c>
      <c r="AB45" t="n">
        <v>8</v>
      </c>
      <c r="AC45" t="n">
        <v>8</v>
      </c>
      <c r="AD45" t="n">
        <v>42</v>
      </c>
      <c r="AE45" t="n">
        <v>42</v>
      </c>
      <c r="AF45" t="n">
        <v>17</v>
      </c>
      <c r="AG45" t="n">
        <v>17</v>
      </c>
      <c r="AH45" t="n">
        <v>7</v>
      </c>
      <c r="AI45" t="n">
        <v>7</v>
      </c>
      <c r="AJ45" t="n">
        <v>23</v>
      </c>
      <c r="AK45" t="n">
        <v>23</v>
      </c>
      <c r="AL45" t="n">
        <v>6</v>
      </c>
      <c r="AM45" t="n">
        <v>6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HYPERLINK("http://catalog.hathitrust.org/Record/001410725","HathiTrust Record")</f>
        <v/>
      </c>
      <c r="AS45">
        <f>HYPERLINK("https://creighton-primo.hosted.exlibrisgroup.com/primo-explore/search?tab=default_tab&amp;search_scope=EVERYTHING&amp;vid=01CRU&amp;lang=en_US&amp;offset=0&amp;query=any,contains,991000128079702656","Catalog Record")</f>
        <v/>
      </c>
      <c r="AT45">
        <f>HYPERLINK("http://www.worldcat.org/oclc/52774","WorldCat Record")</f>
        <v/>
      </c>
      <c r="AU45" t="inlineStr">
        <is>
          <t>1175897:eng</t>
        </is>
      </c>
      <c r="AV45" t="inlineStr">
        <is>
          <t>52774</t>
        </is>
      </c>
      <c r="AW45" t="inlineStr">
        <is>
          <t>991000128079702656</t>
        </is>
      </c>
      <c r="AX45" t="inlineStr">
        <is>
          <t>991000128079702656</t>
        </is>
      </c>
      <c r="AY45" t="inlineStr">
        <is>
          <t>2259215660002656</t>
        </is>
      </c>
      <c r="AZ45" t="inlineStr">
        <is>
          <t>BOOK</t>
        </is>
      </c>
      <c r="BC45" t="inlineStr">
        <is>
          <t>32285000467539</t>
        </is>
      </c>
      <c r="BD45" t="inlineStr">
        <is>
          <t>893438033</t>
        </is>
      </c>
      <c r="BE45" t="inlineStr">
        <is>
          <t>S Brown</t>
        </is>
      </c>
    </row>
    <row r="46">
      <c r="A46" t="inlineStr">
        <is>
          <t>No</t>
        </is>
      </c>
      <c r="B46" t="inlineStr">
        <is>
          <t>BS2361.2 .K42</t>
        </is>
      </c>
      <c r="C46" t="inlineStr">
        <is>
          <t>0                      BS 2361200K  42</t>
        </is>
      </c>
      <c r="D46" t="inlineStr">
        <is>
          <t>The New Testament experience of faith / by Leander E. Keck.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Keck, Leander E.</t>
        </is>
      </c>
      <c r="L46" t="inlineStr">
        <is>
          <t>St. Louis : Bethany Press, c1976.</t>
        </is>
      </c>
      <c r="M46" t="inlineStr">
        <is>
          <t>1976</t>
        </is>
      </c>
      <c r="O46" t="inlineStr">
        <is>
          <t>eng</t>
        </is>
      </c>
      <c r="P46" t="inlineStr">
        <is>
          <t>mou</t>
        </is>
      </c>
      <c r="R46" t="inlineStr">
        <is>
          <t xml:space="preserve">BS </t>
        </is>
      </c>
      <c r="S46" t="n">
        <v>1</v>
      </c>
      <c r="T46" t="n">
        <v>1</v>
      </c>
      <c r="U46" t="inlineStr">
        <is>
          <t>2003-07-01</t>
        </is>
      </c>
      <c r="V46" t="inlineStr">
        <is>
          <t>2003-07-01</t>
        </is>
      </c>
      <c r="W46" t="inlineStr">
        <is>
          <t>1991-02-19</t>
        </is>
      </c>
      <c r="X46" t="inlineStr">
        <is>
          <t>1991-02-19</t>
        </is>
      </c>
      <c r="Y46" t="n">
        <v>227</v>
      </c>
      <c r="Z46" t="n">
        <v>197</v>
      </c>
      <c r="AA46" t="n">
        <v>237</v>
      </c>
      <c r="AB46" t="n">
        <v>2</v>
      </c>
      <c r="AC46" t="n">
        <v>2</v>
      </c>
      <c r="AD46" t="n">
        <v>13</v>
      </c>
      <c r="AE46" t="n">
        <v>13</v>
      </c>
      <c r="AF46" t="n">
        <v>4</v>
      </c>
      <c r="AG46" t="n">
        <v>4</v>
      </c>
      <c r="AH46" t="n">
        <v>2</v>
      </c>
      <c r="AI46" t="n">
        <v>2</v>
      </c>
      <c r="AJ46" t="n">
        <v>8</v>
      </c>
      <c r="AK46" t="n">
        <v>8</v>
      </c>
      <c r="AL46" t="n">
        <v>1</v>
      </c>
      <c r="AM46" t="n">
        <v>1</v>
      </c>
      <c r="AN46" t="n">
        <v>0</v>
      </c>
      <c r="AO46" t="n">
        <v>0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HYPERLINK("https://creighton-primo.hosted.exlibrisgroup.com/primo-explore/search?tab=default_tab&amp;search_scope=EVERYTHING&amp;vid=01CRU&amp;lang=en_US&amp;offset=0&amp;query=any,contains,991004151579702656","Catalog Record")</f>
        <v/>
      </c>
      <c r="AT46">
        <f>HYPERLINK("http://www.worldcat.org/oclc/2525019","WorldCat Record")</f>
        <v/>
      </c>
      <c r="AU46" t="inlineStr">
        <is>
          <t>493972:eng</t>
        </is>
      </c>
      <c r="AV46" t="inlineStr">
        <is>
          <t>2525019</t>
        </is>
      </c>
      <c r="AW46" t="inlineStr">
        <is>
          <t>991004151579702656</t>
        </is>
      </c>
      <c r="AX46" t="inlineStr">
        <is>
          <t>991004151579702656</t>
        </is>
      </c>
      <c r="AY46" t="inlineStr">
        <is>
          <t>2272723540002656</t>
        </is>
      </c>
      <c r="AZ46" t="inlineStr">
        <is>
          <t>BOOK</t>
        </is>
      </c>
      <c r="BB46" t="inlineStr">
        <is>
          <t>9780827225077</t>
        </is>
      </c>
      <c r="BC46" t="inlineStr">
        <is>
          <t>32285000467620</t>
        </is>
      </c>
      <c r="BD46" t="inlineStr">
        <is>
          <t>893628005</t>
        </is>
      </c>
      <c r="BE46" t="inlineStr">
        <is>
          <t>S Brown</t>
        </is>
      </c>
    </row>
    <row r="47">
      <c r="A47" t="inlineStr">
        <is>
          <t>No</t>
        </is>
      </c>
      <c r="B47" t="inlineStr">
        <is>
          <t>BS2377 .G74 1988</t>
        </is>
      </c>
      <c r="C47" t="inlineStr">
        <is>
          <t>0                      BS 2377000G  74          1988</t>
        </is>
      </c>
      <c r="D47" t="inlineStr">
        <is>
          <t>Greco-Roman literature and the New Testament : selected forms and genres / edited by David E. Aune.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Atlanta, Ga. : Scholars Press, c1988.</t>
        </is>
      </c>
      <c r="M47" t="inlineStr">
        <is>
          <t>1988</t>
        </is>
      </c>
      <c r="O47" t="inlineStr">
        <is>
          <t>eng</t>
        </is>
      </c>
      <c r="P47" t="inlineStr">
        <is>
          <t>gau</t>
        </is>
      </c>
      <c r="Q47" t="inlineStr">
        <is>
          <t>Sources for biblical study ; no. 21</t>
        </is>
      </c>
      <c r="R47" t="inlineStr">
        <is>
          <t xml:space="preserve">BS </t>
        </is>
      </c>
      <c r="S47" t="n">
        <v>8</v>
      </c>
      <c r="T47" t="n">
        <v>8</v>
      </c>
      <c r="U47" t="inlineStr">
        <is>
          <t>2006-04-07</t>
        </is>
      </c>
      <c r="V47" t="inlineStr">
        <is>
          <t>2006-04-07</t>
        </is>
      </c>
      <c r="W47" t="inlineStr">
        <is>
          <t>1990-05-24</t>
        </is>
      </c>
      <c r="X47" t="inlineStr">
        <is>
          <t>1990-05-24</t>
        </is>
      </c>
      <c r="Y47" t="n">
        <v>421</v>
      </c>
      <c r="Z47" t="n">
        <v>297</v>
      </c>
      <c r="AA47" t="n">
        <v>304</v>
      </c>
      <c r="AB47" t="n">
        <v>2</v>
      </c>
      <c r="AC47" t="n">
        <v>2</v>
      </c>
      <c r="AD47" t="n">
        <v>21</v>
      </c>
      <c r="AE47" t="n">
        <v>21</v>
      </c>
      <c r="AF47" t="n">
        <v>7</v>
      </c>
      <c r="AG47" t="n">
        <v>7</v>
      </c>
      <c r="AH47" t="n">
        <v>5</v>
      </c>
      <c r="AI47" t="n">
        <v>5</v>
      </c>
      <c r="AJ47" t="n">
        <v>14</v>
      </c>
      <c r="AK47" t="n">
        <v>14</v>
      </c>
      <c r="AL47" t="n">
        <v>1</v>
      </c>
      <c r="AM47" t="n">
        <v>1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HYPERLINK("https://creighton-primo.hosted.exlibrisgroup.com/primo-explore/search?tab=default_tab&amp;search_scope=EVERYTHING&amp;vid=01CRU&amp;lang=en_US&amp;offset=0&amp;query=any,contains,991001190789702656","Catalog Record")</f>
        <v/>
      </c>
      <c r="AT47">
        <f>HYPERLINK("http://www.worldcat.org/oclc/17258214","WorldCat Record")</f>
        <v/>
      </c>
      <c r="AU47" t="inlineStr">
        <is>
          <t>889863543:eng</t>
        </is>
      </c>
      <c r="AV47" t="inlineStr">
        <is>
          <t>17258214</t>
        </is>
      </c>
      <c r="AW47" t="inlineStr">
        <is>
          <t>991001190789702656</t>
        </is>
      </c>
      <c r="AX47" t="inlineStr">
        <is>
          <t>991001190789702656</t>
        </is>
      </c>
      <c r="AY47" t="inlineStr">
        <is>
          <t>2264061750002656</t>
        </is>
      </c>
      <c r="AZ47" t="inlineStr">
        <is>
          <t>BOOK</t>
        </is>
      </c>
      <c r="BB47" t="inlineStr">
        <is>
          <t>9781555402099</t>
        </is>
      </c>
      <c r="BC47" t="inlineStr">
        <is>
          <t>32285000165562</t>
        </is>
      </c>
      <c r="BD47" t="inlineStr">
        <is>
          <t>893407926</t>
        </is>
      </c>
      <c r="BE47" t="inlineStr">
        <is>
          <t>S Brown</t>
        </is>
      </c>
    </row>
    <row r="48">
      <c r="A48" t="inlineStr">
        <is>
          <t>No</t>
        </is>
      </c>
      <c r="B48" t="inlineStr">
        <is>
          <t>BS2379 .S38 1999</t>
        </is>
      </c>
      <c r="C48" t="inlineStr">
        <is>
          <t>0                      BS 2379000S  38          1999</t>
        </is>
      </c>
      <c r="D48" t="inlineStr">
        <is>
          <t>Rhetoric and ethic : the politics of biblical studies / Elisabeth Schüssler Fiorenza.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Schüssler Fiorenza, Elisabeth, 1938-</t>
        </is>
      </c>
      <c r="L48" t="inlineStr">
        <is>
          <t>Minneapolis : Fortress Press, c1999.</t>
        </is>
      </c>
      <c r="M48" t="inlineStr">
        <is>
          <t>1999</t>
        </is>
      </c>
      <c r="O48" t="inlineStr">
        <is>
          <t>eng</t>
        </is>
      </c>
      <c r="P48" t="inlineStr">
        <is>
          <t>mnu</t>
        </is>
      </c>
      <c r="R48" t="inlineStr">
        <is>
          <t xml:space="preserve">BS </t>
        </is>
      </c>
      <c r="S48" t="n">
        <v>4</v>
      </c>
      <c r="T48" t="n">
        <v>4</v>
      </c>
      <c r="U48" t="inlineStr">
        <is>
          <t>2003-07-01</t>
        </is>
      </c>
      <c r="V48" t="inlineStr">
        <is>
          <t>2003-07-01</t>
        </is>
      </c>
      <c r="W48" t="inlineStr">
        <is>
          <t>2001-01-10</t>
        </is>
      </c>
      <c r="X48" t="inlineStr">
        <is>
          <t>2001-01-10</t>
        </is>
      </c>
      <c r="Y48" t="n">
        <v>383</v>
      </c>
      <c r="Z48" t="n">
        <v>285</v>
      </c>
      <c r="AA48" t="n">
        <v>290</v>
      </c>
      <c r="AB48" t="n">
        <v>3</v>
      </c>
      <c r="AC48" t="n">
        <v>3</v>
      </c>
      <c r="AD48" t="n">
        <v>25</v>
      </c>
      <c r="AE48" t="n">
        <v>25</v>
      </c>
      <c r="AF48" t="n">
        <v>10</v>
      </c>
      <c r="AG48" t="n">
        <v>10</v>
      </c>
      <c r="AH48" t="n">
        <v>6</v>
      </c>
      <c r="AI48" t="n">
        <v>6</v>
      </c>
      <c r="AJ48" t="n">
        <v>13</v>
      </c>
      <c r="AK48" t="n">
        <v>13</v>
      </c>
      <c r="AL48" t="n">
        <v>2</v>
      </c>
      <c r="AM48" t="n">
        <v>2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HYPERLINK("https://creighton-primo.hosted.exlibrisgroup.com/primo-explore/search?tab=default_tab&amp;search_scope=EVERYTHING&amp;vid=01CRU&amp;lang=en_US&amp;offset=0&amp;query=any,contains,991003350069702656","Catalog Record")</f>
        <v/>
      </c>
      <c r="AT48">
        <f>HYPERLINK("http://www.worldcat.org/oclc/42667865","WorldCat Record")</f>
        <v/>
      </c>
      <c r="AU48" t="inlineStr">
        <is>
          <t>27880128:eng</t>
        </is>
      </c>
      <c r="AV48" t="inlineStr">
        <is>
          <t>42667865</t>
        </is>
      </c>
      <c r="AW48" t="inlineStr">
        <is>
          <t>991003350069702656</t>
        </is>
      </c>
      <c r="AX48" t="inlineStr">
        <is>
          <t>991003350069702656</t>
        </is>
      </c>
      <c r="AY48" t="inlineStr">
        <is>
          <t>2271917630002656</t>
        </is>
      </c>
      <c r="AZ48" t="inlineStr">
        <is>
          <t>BOOK</t>
        </is>
      </c>
      <c r="BB48" t="inlineStr">
        <is>
          <t>9780800627959</t>
        </is>
      </c>
      <c r="BC48" t="inlineStr">
        <is>
          <t>32285004282132</t>
        </is>
      </c>
      <c r="BD48" t="inlineStr">
        <is>
          <t>893698941</t>
        </is>
      </c>
      <c r="BE48" t="inlineStr">
        <is>
          <t>S Brown</t>
        </is>
      </c>
    </row>
    <row r="49">
      <c r="A49" t="inlineStr">
        <is>
          <t>No</t>
        </is>
      </c>
      <c r="B49" t="inlineStr">
        <is>
          <t>BS2387 .M37 1988</t>
        </is>
      </c>
      <c r="C49" t="inlineStr">
        <is>
          <t>0                      BS 2387000M  37          1988</t>
        </is>
      </c>
      <c r="D49" t="inlineStr">
        <is>
          <t>Narrative parallels to the New Testament / compiled and edited by Francis Martin.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Martin, Francis, 1930-2017.</t>
        </is>
      </c>
      <c r="L49" t="inlineStr">
        <is>
          <t>Atlanta, Ga. : Scholars Press, c1988.</t>
        </is>
      </c>
      <c r="M49" t="inlineStr">
        <is>
          <t>1988</t>
        </is>
      </c>
      <c r="O49" t="inlineStr">
        <is>
          <t>eng</t>
        </is>
      </c>
      <c r="P49" t="inlineStr">
        <is>
          <t>gau</t>
        </is>
      </c>
      <c r="Q49" t="inlineStr">
        <is>
          <t>Resources for Biblical study / Society of Biblical Literature ; no. 22</t>
        </is>
      </c>
      <c r="R49" t="inlineStr">
        <is>
          <t xml:space="preserve">BS </t>
        </is>
      </c>
      <c r="S49" t="n">
        <v>1</v>
      </c>
      <c r="T49" t="n">
        <v>1</v>
      </c>
      <c r="U49" t="inlineStr">
        <is>
          <t>2003-07-01</t>
        </is>
      </c>
      <c r="V49" t="inlineStr">
        <is>
          <t>2003-07-01</t>
        </is>
      </c>
      <c r="W49" t="inlineStr">
        <is>
          <t>1990-01-04</t>
        </is>
      </c>
      <c r="X49" t="inlineStr">
        <is>
          <t>1990-01-04</t>
        </is>
      </c>
      <c r="Y49" t="n">
        <v>344</v>
      </c>
      <c r="Z49" t="n">
        <v>257</v>
      </c>
      <c r="AA49" t="n">
        <v>262</v>
      </c>
      <c r="AB49" t="n">
        <v>3</v>
      </c>
      <c r="AC49" t="n">
        <v>3</v>
      </c>
      <c r="AD49" t="n">
        <v>19</v>
      </c>
      <c r="AE49" t="n">
        <v>19</v>
      </c>
      <c r="AF49" t="n">
        <v>5</v>
      </c>
      <c r="AG49" t="n">
        <v>5</v>
      </c>
      <c r="AH49" t="n">
        <v>7</v>
      </c>
      <c r="AI49" t="n">
        <v>7</v>
      </c>
      <c r="AJ49" t="n">
        <v>10</v>
      </c>
      <c r="AK49" t="n">
        <v>10</v>
      </c>
      <c r="AL49" t="n">
        <v>2</v>
      </c>
      <c r="AM49" t="n">
        <v>2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HYPERLINK("https://creighton-primo.hosted.exlibrisgroup.com/primo-explore/search?tab=default_tab&amp;search_scope=EVERYTHING&amp;vid=01CRU&amp;lang=en_US&amp;offset=0&amp;query=any,contains,991001389959702656","Catalog Record")</f>
        <v/>
      </c>
      <c r="AT49">
        <f>HYPERLINK("http://www.worldcat.org/oclc/18746596","WorldCat Record")</f>
        <v/>
      </c>
      <c r="AU49" t="inlineStr">
        <is>
          <t>354301820:eng</t>
        </is>
      </c>
      <c r="AV49" t="inlineStr">
        <is>
          <t>18746596</t>
        </is>
      </c>
      <c r="AW49" t="inlineStr">
        <is>
          <t>991001389959702656</t>
        </is>
      </c>
      <c r="AX49" t="inlineStr">
        <is>
          <t>991001389959702656</t>
        </is>
      </c>
      <c r="AY49" t="inlineStr">
        <is>
          <t>2255187800002656</t>
        </is>
      </c>
      <c r="AZ49" t="inlineStr">
        <is>
          <t>BOOK</t>
        </is>
      </c>
      <c r="BC49" t="inlineStr">
        <is>
          <t>32285000026558</t>
        </is>
      </c>
      <c r="BD49" t="inlineStr">
        <is>
          <t>893346479</t>
        </is>
      </c>
      <c r="BE49" t="inlineStr">
        <is>
          <t>S Brown</t>
        </is>
      </c>
    </row>
    <row r="50">
      <c r="A50" t="inlineStr">
        <is>
          <t>No</t>
        </is>
      </c>
      <c r="B50" t="inlineStr">
        <is>
          <t>BS2387 .M6 1983</t>
        </is>
      </c>
      <c r="C50" t="inlineStr">
        <is>
          <t>0                      BS 2387000M  6           1983</t>
        </is>
      </c>
      <c r="D50" t="inlineStr">
        <is>
          <t>The Old Testament in the Gospel Passion narratives / Douglas J. Moo.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Moo, Douglas J.</t>
        </is>
      </c>
      <c r="L50" t="inlineStr">
        <is>
          <t>Sheffield, Eng. : Almond Press, c1983.</t>
        </is>
      </c>
      <c r="M50" t="inlineStr">
        <is>
          <t>1983</t>
        </is>
      </c>
      <c r="O50" t="inlineStr">
        <is>
          <t>eng</t>
        </is>
      </c>
      <c r="P50" t="inlineStr">
        <is>
          <t>enk</t>
        </is>
      </c>
      <c r="R50" t="inlineStr">
        <is>
          <t xml:space="preserve">BS </t>
        </is>
      </c>
      <c r="S50" t="n">
        <v>6</v>
      </c>
      <c r="T50" t="n">
        <v>6</v>
      </c>
      <c r="U50" t="inlineStr">
        <is>
          <t>2007-03-06</t>
        </is>
      </c>
      <c r="V50" t="inlineStr">
        <is>
          <t>2007-03-06</t>
        </is>
      </c>
      <c r="W50" t="inlineStr">
        <is>
          <t>1991-02-25</t>
        </is>
      </c>
      <c r="X50" t="inlineStr">
        <is>
          <t>1991-02-25</t>
        </is>
      </c>
      <c r="Y50" t="n">
        <v>275</v>
      </c>
      <c r="Z50" t="n">
        <v>192</v>
      </c>
      <c r="AA50" t="n">
        <v>212</v>
      </c>
      <c r="AB50" t="n">
        <v>1</v>
      </c>
      <c r="AC50" t="n">
        <v>1</v>
      </c>
      <c r="AD50" t="n">
        <v>11</v>
      </c>
      <c r="AE50" t="n">
        <v>11</v>
      </c>
      <c r="AF50" t="n">
        <v>1</v>
      </c>
      <c r="AG50" t="n">
        <v>1</v>
      </c>
      <c r="AH50" t="n">
        <v>3</v>
      </c>
      <c r="AI50" t="n">
        <v>3</v>
      </c>
      <c r="AJ50" t="n">
        <v>8</v>
      </c>
      <c r="AK50" t="n">
        <v>8</v>
      </c>
      <c r="AL50" t="n">
        <v>0</v>
      </c>
      <c r="AM50" t="n">
        <v>0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HYPERLINK("http://catalog.hathitrust.org/Record/000285532","HathiTrust Record")</f>
        <v/>
      </c>
      <c r="AS50">
        <f>HYPERLINK("https://creighton-primo.hosted.exlibrisgroup.com/primo-explore/search?tab=default_tab&amp;search_scope=EVERYTHING&amp;vid=01CRU&amp;lang=en_US&amp;offset=0&amp;query=any,contains,991000325249702656","Catalog Record")</f>
        <v/>
      </c>
      <c r="AT50">
        <f>HYPERLINK("http://www.worldcat.org/oclc/10164851","WorldCat Record")</f>
        <v/>
      </c>
      <c r="AU50" t="inlineStr">
        <is>
          <t>3107459:eng</t>
        </is>
      </c>
      <c r="AV50" t="inlineStr">
        <is>
          <t>10164851</t>
        </is>
      </c>
      <c r="AW50" t="inlineStr">
        <is>
          <t>991000325249702656</t>
        </is>
      </c>
      <c r="AX50" t="inlineStr">
        <is>
          <t>991000325249702656</t>
        </is>
      </c>
      <c r="AY50" t="inlineStr">
        <is>
          <t>2266777910002656</t>
        </is>
      </c>
      <c r="AZ50" t="inlineStr">
        <is>
          <t>BOOK</t>
        </is>
      </c>
      <c r="BB50" t="inlineStr">
        <is>
          <t>9780907459293</t>
        </is>
      </c>
      <c r="BC50" t="inlineStr">
        <is>
          <t>32285000468149</t>
        </is>
      </c>
      <c r="BD50" t="inlineStr">
        <is>
          <t>893784132</t>
        </is>
      </c>
      <c r="BE50" t="inlineStr">
        <is>
          <t>S Brown</t>
        </is>
      </c>
    </row>
    <row r="51">
      <c r="A51" t="inlineStr">
        <is>
          <t>No</t>
        </is>
      </c>
      <c r="B51" t="inlineStr">
        <is>
          <t>BS2390 .S45</t>
        </is>
      </c>
      <c r="C51" t="inlineStr">
        <is>
          <t>0                      BS 2390000S  45</t>
        </is>
      </c>
      <c r="D51" t="inlineStr">
        <is>
          <t>Roman society and Roman law in the New Testament.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Sherwin-White, A. N. (Adrian Nicholas)</t>
        </is>
      </c>
      <c r="L51" t="inlineStr">
        <is>
          <t>Oxford, Clarendon Press, 1963.</t>
        </is>
      </c>
      <c r="M51" t="inlineStr">
        <is>
          <t>1963</t>
        </is>
      </c>
      <c r="O51" t="inlineStr">
        <is>
          <t>eng</t>
        </is>
      </c>
      <c r="P51" t="inlineStr">
        <is>
          <t>___</t>
        </is>
      </c>
      <c r="Q51" t="inlineStr">
        <is>
          <t>The Sarum lectures, 1960-1961</t>
        </is>
      </c>
      <c r="R51" t="inlineStr">
        <is>
          <t xml:space="preserve">BS </t>
        </is>
      </c>
      <c r="S51" t="n">
        <v>9</v>
      </c>
      <c r="T51" t="n">
        <v>9</v>
      </c>
      <c r="U51" t="inlineStr">
        <is>
          <t>2007-10-18</t>
        </is>
      </c>
      <c r="V51" t="inlineStr">
        <is>
          <t>2007-10-18</t>
        </is>
      </c>
      <c r="W51" t="inlineStr">
        <is>
          <t>1991-02-25</t>
        </is>
      </c>
      <c r="X51" t="inlineStr">
        <is>
          <t>1991-02-25</t>
        </is>
      </c>
      <c r="Y51" t="n">
        <v>631</v>
      </c>
      <c r="Z51" t="n">
        <v>497</v>
      </c>
      <c r="AA51" t="n">
        <v>734</v>
      </c>
      <c r="AB51" t="n">
        <v>4</v>
      </c>
      <c r="AC51" t="n">
        <v>6</v>
      </c>
      <c r="AD51" t="n">
        <v>28</v>
      </c>
      <c r="AE51" t="n">
        <v>41</v>
      </c>
      <c r="AF51" t="n">
        <v>6</v>
      </c>
      <c r="AG51" t="n">
        <v>11</v>
      </c>
      <c r="AH51" t="n">
        <v>7</v>
      </c>
      <c r="AI51" t="n">
        <v>7</v>
      </c>
      <c r="AJ51" t="n">
        <v>14</v>
      </c>
      <c r="AK51" t="n">
        <v>19</v>
      </c>
      <c r="AL51" t="n">
        <v>3</v>
      </c>
      <c r="AM51" t="n">
        <v>4</v>
      </c>
      <c r="AN51" t="n">
        <v>2</v>
      </c>
      <c r="AO51" t="n">
        <v>7</v>
      </c>
      <c r="AP51" t="inlineStr">
        <is>
          <t>No</t>
        </is>
      </c>
      <c r="AQ51" t="inlineStr">
        <is>
          <t>Yes</t>
        </is>
      </c>
      <c r="AR51">
        <f>HYPERLINK("http://catalog.hathitrust.org/Record/001410768","HathiTrust Record")</f>
        <v/>
      </c>
      <c r="AS51">
        <f>HYPERLINK("https://creighton-primo.hosted.exlibrisgroup.com/primo-explore/search?tab=default_tab&amp;search_scope=EVERYTHING&amp;vid=01CRU&amp;lang=en_US&amp;offset=0&amp;query=any,contains,991002638479702656","Catalog Record")</f>
        <v/>
      </c>
      <c r="AT51">
        <f>HYPERLINK("http://www.worldcat.org/oclc/383276","WorldCat Record")</f>
        <v/>
      </c>
      <c r="AU51" t="inlineStr">
        <is>
          <t>449963:eng</t>
        </is>
      </c>
      <c r="AV51" t="inlineStr">
        <is>
          <t>383276</t>
        </is>
      </c>
      <c r="AW51" t="inlineStr">
        <is>
          <t>991002638479702656</t>
        </is>
      </c>
      <c r="AX51" t="inlineStr">
        <is>
          <t>991002638479702656</t>
        </is>
      </c>
      <c r="AY51" t="inlineStr">
        <is>
          <t>2260459320002656</t>
        </is>
      </c>
      <c r="AZ51" t="inlineStr">
        <is>
          <t>BOOK</t>
        </is>
      </c>
      <c r="BC51" t="inlineStr">
        <is>
          <t>32285000468198</t>
        </is>
      </c>
      <c r="BD51" t="inlineStr">
        <is>
          <t>893685595</t>
        </is>
      </c>
      <c r="BE51" t="inlineStr">
        <is>
          <t>ZB Smith</t>
        </is>
      </c>
    </row>
    <row r="52">
      <c r="A52" t="inlineStr">
        <is>
          <t>No</t>
        </is>
      </c>
      <c r="B52" t="inlineStr">
        <is>
          <t>BS2393 .D57</t>
        </is>
      </c>
      <c r="C52" t="inlineStr">
        <is>
          <t>0                      BS 2393000D  57</t>
        </is>
      </c>
      <c r="D52" t="inlineStr">
        <is>
          <t>More New Testament studies [by] C. H. Dodd.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Dodd, C. H. (Charles Harold), 1884-1973.</t>
        </is>
      </c>
      <c r="L52" t="inlineStr">
        <is>
          <t>Grand Rapids, Eerdmans [1968]</t>
        </is>
      </c>
      <c r="M52" t="inlineStr">
        <is>
          <t>1968</t>
        </is>
      </c>
      <c r="O52" t="inlineStr">
        <is>
          <t>eng</t>
        </is>
      </c>
      <c r="P52" t="inlineStr">
        <is>
          <t>miu</t>
        </is>
      </c>
      <c r="R52" t="inlineStr">
        <is>
          <t xml:space="preserve">BS </t>
        </is>
      </c>
      <c r="S52" t="n">
        <v>5</v>
      </c>
      <c r="T52" t="n">
        <v>5</v>
      </c>
      <c r="U52" t="inlineStr">
        <is>
          <t>2003-07-01</t>
        </is>
      </c>
      <c r="V52" t="inlineStr">
        <is>
          <t>2003-07-01</t>
        </is>
      </c>
      <c r="W52" t="inlineStr">
        <is>
          <t>1991-02-25</t>
        </is>
      </c>
      <c r="X52" t="inlineStr">
        <is>
          <t>1991-02-25</t>
        </is>
      </c>
      <c r="Y52" t="n">
        <v>361</v>
      </c>
      <c r="Z52" t="n">
        <v>326</v>
      </c>
      <c r="AA52" t="n">
        <v>445</v>
      </c>
      <c r="AB52" t="n">
        <v>1</v>
      </c>
      <c r="AC52" t="n">
        <v>3</v>
      </c>
      <c r="AD52" t="n">
        <v>19</v>
      </c>
      <c r="AE52" t="n">
        <v>32</v>
      </c>
      <c r="AF52" t="n">
        <v>7</v>
      </c>
      <c r="AG52" t="n">
        <v>11</v>
      </c>
      <c r="AH52" t="n">
        <v>6</v>
      </c>
      <c r="AI52" t="n">
        <v>10</v>
      </c>
      <c r="AJ52" t="n">
        <v>11</v>
      </c>
      <c r="AK52" t="n">
        <v>18</v>
      </c>
      <c r="AL52" t="n">
        <v>0</v>
      </c>
      <c r="AM52" t="n">
        <v>2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HYPERLINK("https://creighton-primo.hosted.exlibrisgroup.com/primo-explore/search?tab=default_tab&amp;search_scope=EVERYTHING&amp;vid=01CRU&amp;lang=en_US&amp;offset=0&amp;query=any,contains,991000093399702656","Catalog Record")</f>
        <v/>
      </c>
      <c r="AT52">
        <f>HYPERLINK("http://www.worldcat.org/oclc/39253","WorldCat Record")</f>
        <v/>
      </c>
      <c r="AU52" t="inlineStr">
        <is>
          <t>3857356034:eng</t>
        </is>
      </c>
      <c r="AV52" t="inlineStr">
        <is>
          <t>39253</t>
        </is>
      </c>
      <c r="AW52" t="inlineStr">
        <is>
          <t>991000093399702656</t>
        </is>
      </c>
      <c r="AX52" t="inlineStr">
        <is>
          <t>991000093399702656</t>
        </is>
      </c>
      <c r="AY52" t="inlineStr">
        <is>
          <t>2265554190002656</t>
        </is>
      </c>
      <c r="AZ52" t="inlineStr">
        <is>
          <t>BOOK</t>
        </is>
      </c>
      <c r="BC52" t="inlineStr">
        <is>
          <t>32285000468206</t>
        </is>
      </c>
      <c r="BD52" t="inlineStr">
        <is>
          <t>893406920</t>
        </is>
      </c>
      <c r="BE52" t="inlineStr">
        <is>
          <t>S Brown</t>
        </is>
      </c>
    </row>
    <row r="53">
      <c r="A53" t="inlineStr">
        <is>
          <t>No</t>
        </is>
      </c>
      <c r="B53" t="inlineStr">
        <is>
          <t>BS2393 .F58</t>
        </is>
      </c>
      <c r="C53" t="inlineStr">
        <is>
          <t>0                      BS 2393000F  58</t>
        </is>
      </c>
      <c r="D53" t="inlineStr">
        <is>
          <t>Essays on the Semitic background of the New Testament [by] Joseph A. Fitzmyer.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Fitzmyer, Joseph A.</t>
        </is>
      </c>
      <c r="L53" t="inlineStr">
        <is>
          <t>London, G. Chapman, 1971.</t>
        </is>
      </c>
      <c r="M53" t="inlineStr">
        <is>
          <t>1971</t>
        </is>
      </c>
      <c r="O53" t="inlineStr">
        <is>
          <t>eng</t>
        </is>
      </c>
      <c r="P53" t="inlineStr">
        <is>
          <t>enk</t>
        </is>
      </c>
      <c r="R53" t="inlineStr">
        <is>
          <t xml:space="preserve">BS </t>
        </is>
      </c>
      <c r="S53" t="n">
        <v>2</v>
      </c>
      <c r="T53" t="n">
        <v>2</v>
      </c>
      <c r="U53" t="inlineStr">
        <is>
          <t>2005-04-12</t>
        </is>
      </c>
      <c r="V53" t="inlineStr">
        <is>
          <t>2005-04-12</t>
        </is>
      </c>
      <c r="W53" t="inlineStr">
        <is>
          <t>1991-02-25</t>
        </is>
      </c>
      <c r="X53" t="inlineStr">
        <is>
          <t>1991-02-25</t>
        </is>
      </c>
      <c r="Y53" t="n">
        <v>418</v>
      </c>
      <c r="Z53" t="n">
        <v>300</v>
      </c>
      <c r="AA53" t="n">
        <v>517</v>
      </c>
      <c r="AB53" t="n">
        <v>3</v>
      </c>
      <c r="AC53" t="n">
        <v>3</v>
      </c>
      <c r="AD53" t="n">
        <v>21</v>
      </c>
      <c r="AE53" t="n">
        <v>37</v>
      </c>
      <c r="AF53" t="n">
        <v>5</v>
      </c>
      <c r="AG53" t="n">
        <v>13</v>
      </c>
      <c r="AH53" t="n">
        <v>6</v>
      </c>
      <c r="AI53" t="n">
        <v>10</v>
      </c>
      <c r="AJ53" t="n">
        <v>15</v>
      </c>
      <c r="AK53" t="n">
        <v>24</v>
      </c>
      <c r="AL53" t="n">
        <v>2</v>
      </c>
      <c r="AM53" t="n">
        <v>2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HYPERLINK("http://catalog.hathitrust.org/Record/001410770","HathiTrust Record")</f>
        <v/>
      </c>
      <c r="AS53">
        <f>HYPERLINK("https://creighton-primo.hosted.exlibrisgroup.com/primo-explore/search?tab=default_tab&amp;search_scope=EVERYTHING&amp;vid=01CRU&amp;lang=en_US&amp;offset=0&amp;query=any,contains,991001237809702656","Catalog Record")</f>
        <v/>
      </c>
      <c r="AT53">
        <f>HYPERLINK("http://www.worldcat.org/oclc/206975","WorldCat Record")</f>
        <v/>
      </c>
      <c r="AU53" t="inlineStr">
        <is>
          <t>1271553:eng</t>
        </is>
      </c>
      <c r="AV53" t="inlineStr">
        <is>
          <t>206975</t>
        </is>
      </c>
      <c r="AW53" t="inlineStr">
        <is>
          <t>991001237809702656</t>
        </is>
      </c>
      <c r="AX53" t="inlineStr">
        <is>
          <t>991001237809702656</t>
        </is>
      </c>
      <c r="AY53" t="inlineStr">
        <is>
          <t>2254834550002656</t>
        </is>
      </c>
      <c r="AZ53" t="inlineStr">
        <is>
          <t>BOOK</t>
        </is>
      </c>
      <c r="BB53" t="inlineStr">
        <is>
          <t>9780225488845</t>
        </is>
      </c>
      <c r="BC53" t="inlineStr">
        <is>
          <t>32285000468214</t>
        </is>
      </c>
      <c r="BD53" t="inlineStr">
        <is>
          <t>893516020</t>
        </is>
      </c>
      <c r="BE53" t="inlineStr">
        <is>
          <t>S Brown</t>
        </is>
      </c>
    </row>
    <row r="54">
      <c r="A54" t="inlineStr">
        <is>
          <t>No</t>
        </is>
      </c>
      <c r="B54" t="inlineStr">
        <is>
          <t>BS2395 .B68 1995</t>
        </is>
      </c>
      <c r="C54" t="inlineStr">
        <is>
          <t>0                      BS 2395000B  68          1995</t>
        </is>
      </c>
      <c r="D54" t="inlineStr">
        <is>
          <t>New Testament traditions and apocryphal narratives / François Bovon ; translated by Jane Haapiseva-Hunter.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Bovon, François.</t>
        </is>
      </c>
      <c r="L54" t="inlineStr">
        <is>
          <t>Allison Park, Pa. : Pickwick Publications, 1995.</t>
        </is>
      </c>
      <c r="M54" t="inlineStr">
        <is>
          <t>1995</t>
        </is>
      </c>
      <c r="O54" t="inlineStr">
        <is>
          <t>eng</t>
        </is>
      </c>
      <c r="P54" t="inlineStr">
        <is>
          <t>pau</t>
        </is>
      </c>
      <c r="Q54" t="inlineStr">
        <is>
          <t>Princeton theological monograph series ; 36</t>
        </is>
      </c>
      <c r="R54" t="inlineStr">
        <is>
          <t xml:space="preserve">BS </t>
        </is>
      </c>
      <c r="S54" t="n">
        <v>10</v>
      </c>
      <c r="T54" t="n">
        <v>10</v>
      </c>
      <c r="U54" t="inlineStr">
        <is>
          <t>2006-02-26</t>
        </is>
      </c>
      <c r="V54" t="inlineStr">
        <is>
          <t>2006-02-26</t>
        </is>
      </c>
      <c r="W54" t="inlineStr">
        <is>
          <t>1995-06-07</t>
        </is>
      </c>
      <c r="X54" t="inlineStr">
        <is>
          <t>1995-06-07</t>
        </is>
      </c>
      <c r="Y54" t="n">
        <v>146</v>
      </c>
      <c r="Z54" t="n">
        <v>117</v>
      </c>
      <c r="AA54" t="n">
        <v>129</v>
      </c>
      <c r="AB54" t="n">
        <v>1</v>
      </c>
      <c r="AC54" t="n">
        <v>1</v>
      </c>
      <c r="AD54" t="n">
        <v>6</v>
      </c>
      <c r="AE54" t="n">
        <v>6</v>
      </c>
      <c r="AF54" t="n">
        <v>3</v>
      </c>
      <c r="AG54" t="n">
        <v>3</v>
      </c>
      <c r="AH54" t="n">
        <v>2</v>
      </c>
      <c r="AI54" t="n">
        <v>2</v>
      </c>
      <c r="AJ54" t="n">
        <v>2</v>
      </c>
      <c r="AK54" t="n">
        <v>2</v>
      </c>
      <c r="AL54" t="n">
        <v>0</v>
      </c>
      <c r="AM54" t="n">
        <v>0</v>
      </c>
      <c r="AN54" t="n">
        <v>0</v>
      </c>
      <c r="AO54" t="n">
        <v>0</v>
      </c>
      <c r="AP54" t="inlineStr">
        <is>
          <t>No</t>
        </is>
      </c>
      <c r="AQ54" t="inlineStr">
        <is>
          <t>No</t>
        </is>
      </c>
      <c r="AS54">
        <f>HYPERLINK("https://creighton-primo.hosted.exlibrisgroup.com/primo-explore/search?tab=default_tab&amp;search_scope=EVERYTHING&amp;vid=01CRU&amp;lang=en_US&amp;offset=0&amp;query=any,contains,991002347099702656","Catalog Record")</f>
        <v/>
      </c>
      <c r="AT54">
        <f>HYPERLINK("http://www.worldcat.org/oclc/30547862","WorldCat Record")</f>
        <v/>
      </c>
      <c r="AU54" t="inlineStr">
        <is>
          <t>32834058:eng</t>
        </is>
      </c>
      <c r="AV54" t="inlineStr">
        <is>
          <t>30547862</t>
        </is>
      </c>
      <c r="AW54" t="inlineStr">
        <is>
          <t>991002347099702656</t>
        </is>
      </c>
      <c r="AX54" t="inlineStr">
        <is>
          <t>991002347099702656</t>
        </is>
      </c>
      <c r="AY54" t="inlineStr">
        <is>
          <t>2264058950002656</t>
        </is>
      </c>
      <c r="AZ54" t="inlineStr">
        <is>
          <t>BOOK</t>
        </is>
      </c>
      <c r="BB54" t="inlineStr">
        <is>
          <t>9781556350245</t>
        </is>
      </c>
      <c r="BC54" t="inlineStr">
        <is>
          <t>32285002050598</t>
        </is>
      </c>
      <c r="BD54" t="inlineStr">
        <is>
          <t>893498007</t>
        </is>
      </c>
      <c r="BE54" t="inlineStr">
        <is>
          <t>S Brown</t>
        </is>
      </c>
    </row>
    <row r="55">
      <c r="A55" t="inlineStr">
        <is>
          <t>No</t>
        </is>
      </c>
      <c r="B55" t="inlineStr">
        <is>
          <t>BS2395 .B7</t>
        </is>
      </c>
      <c r="C55" t="inlineStr">
        <is>
          <t>0                      BS 2395000B  7</t>
        </is>
      </c>
      <c r="D55" t="inlineStr">
        <is>
          <t>New Testament essays, by Raymond E.Brown.</t>
        </is>
      </c>
      <c r="F55" t="inlineStr">
        <is>
          <t>No</t>
        </is>
      </c>
      <c r="G55" t="inlineStr">
        <is>
          <t>1</t>
        </is>
      </c>
      <c r="H55" t="inlineStr">
        <is>
          <t>Yes</t>
        </is>
      </c>
      <c r="I55" t="inlineStr">
        <is>
          <t>No</t>
        </is>
      </c>
      <c r="J55" t="inlineStr">
        <is>
          <t>0</t>
        </is>
      </c>
      <c r="K55" t="inlineStr">
        <is>
          <t>Brown, Raymond E. (Raymond Edward), 1928-1998.</t>
        </is>
      </c>
      <c r="L55" t="inlineStr">
        <is>
          <t>Milwaukee, Bruce Pub. Co. [1965]</t>
        </is>
      </c>
      <c r="M55" t="inlineStr">
        <is>
          <t>1965</t>
        </is>
      </c>
      <c r="O55" t="inlineStr">
        <is>
          <t>eng</t>
        </is>
      </c>
      <c r="P55" t="inlineStr">
        <is>
          <t>___</t>
        </is>
      </c>
      <c r="Q55" t="inlineStr">
        <is>
          <t>Impact books</t>
        </is>
      </c>
      <c r="R55" t="inlineStr">
        <is>
          <t xml:space="preserve">BS </t>
        </is>
      </c>
      <c r="S55" t="n">
        <v>1</v>
      </c>
      <c r="T55" t="n">
        <v>14</v>
      </c>
      <c r="U55" t="inlineStr">
        <is>
          <t>2003-07-01</t>
        </is>
      </c>
      <c r="V55" t="inlineStr">
        <is>
          <t>2004-12-01</t>
        </is>
      </c>
      <c r="W55" t="inlineStr">
        <is>
          <t>1991-02-25</t>
        </is>
      </c>
      <c r="X55" t="inlineStr">
        <is>
          <t>1991-02-25</t>
        </is>
      </c>
      <c r="Y55" t="n">
        <v>484</v>
      </c>
      <c r="Z55" t="n">
        <v>416</v>
      </c>
      <c r="AA55" t="n">
        <v>660</v>
      </c>
      <c r="AB55" t="n">
        <v>4</v>
      </c>
      <c r="AC55" t="n">
        <v>5</v>
      </c>
      <c r="AD55" t="n">
        <v>37</v>
      </c>
      <c r="AE55" t="n">
        <v>46</v>
      </c>
      <c r="AF55" t="n">
        <v>14</v>
      </c>
      <c r="AG55" t="n">
        <v>20</v>
      </c>
      <c r="AH55" t="n">
        <v>8</v>
      </c>
      <c r="AI55" t="n">
        <v>9</v>
      </c>
      <c r="AJ55" t="n">
        <v>25</v>
      </c>
      <c r="AK55" t="n">
        <v>27</v>
      </c>
      <c r="AL55" t="n">
        <v>2</v>
      </c>
      <c r="AM55" t="n">
        <v>3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HYPERLINK("https://creighton-primo.hosted.exlibrisgroup.com/primo-explore/search?tab=default_tab&amp;search_scope=EVERYTHING&amp;vid=01CRU&amp;lang=en_US&amp;offset=0&amp;query=any,contains,991002608059702656","Catalog Record")</f>
        <v/>
      </c>
      <c r="AT55">
        <f>HYPERLINK("http://www.worldcat.org/oclc/6530571","WorldCat Record")</f>
        <v/>
      </c>
      <c r="AU55" t="inlineStr">
        <is>
          <t>2703520:eng</t>
        </is>
      </c>
      <c r="AV55" t="inlineStr">
        <is>
          <t>6530571</t>
        </is>
      </c>
      <c r="AW55" t="inlineStr">
        <is>
          <t>991002608059702656</t>
        </is>
      </c>
      <c r="AX55" t="inlineStr">
        <is>
          <t>991002608059702656</t>
        </is>
      </c>
      <c r="AY55" t="inlineStr">
        <is>
          <t>2262985250002656</t>
        </is>
      </c>
      <c r="AZ55" t="inlineStr">
        <is>
          <t>BOOK</t>
        </is>
      </c>
      <c r="BC55" t="inlineStr">
        <is>
          <t>32285000468305</t>
        </is>
      </c>
      <c r="BD55" t="inlineStr">
        <is>
          <t>893227066</t>
        </is>
      </c>
      <c r="BE55" t="inlineStr">
        <is>
          <t>S Brown</t>
        </is>
      </c>
    </row>
    <row r="56">
      <c r="A56" t="inlineStr">
        <is>
          <t>No</t>
        </is>
      </c>
      <c r="B56" t="inlineStr">
        <is>
          <t>BS2395 .D3</t>
        </is>
      </c>
      <c r="C56" t="inlineStr">
        <is>
          <t>0                      BS 2395000D  3</t>
        </is>
      </c>
      <c r="D56" t="inlineStr">
        <is>
          <t>The background of the New Testament and its eschatology, edited by W. D. Davies and D. Daube in honour of Charles Harold Dodd.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Davies, W. D. (William David), 1911-2001, editor.</t>
        </is>
      </c>
      <c r="L56" t="inlineStr">
        <is>
          <t>Cambridge, University Press, 1964 [c1954]</t>
        </is>
      </c>
      <c r="M56" t="inlineStr">
        <is>
          <t>1964</t>
        </is>
      </c>
      <c r="O56" t="inlineStr">
        <is>
          <t>eng</t>
        </is>
      </c>
      <c r="P56" t="inlineStr">
        <is>
          <t>___</t>
        </is>
      </c>
      <c r="R56" t="inlineStr">
        <is>
          <t xml:space="preserve">BS </t>
        </is>
      </c>
      <c r="S56" t="n">
        <v>4</v>
      </c>
      <c r="T56" t="n">
        <v>4</v>
      </c>
      <c r="U56" t="inlineStr">
        <is>
          <t>2003-07-01</t>
        </is>
      </c>
      <c r="V56" t="inlineStr">
        <is>
          <t>2003-07-01</t>
        </is>
      </c>
      <c r="W56" t="inlineStr">
        <is>
          <t>1991-02-25</t>
        </is>
      </c>
      <c r="X56" t="inlineStr">
        <is>
          <t>1991-02-25</t>
        </is>
      </c>
      <c r="Y56" t="n">
        <v>205</v>
      </c>
      <c r="Z56" t="n">
        <v>171</v>
      </c>
      <c r="AA56" t="n">
        <v>483</v>
      </c>
      <c r="AB56" t="n">
        <v>3</v>
      </c>
      <c r="AC56" t="n">
        <v>5</v>
      </c>
      <c r="AD56" t="n">
        <v>15</v>
      </c>
      <c r="AE56" t="n">
        <v>31</v>
      </c>
      <c r="AF56" t="n">
        <v>5</v>
      </c>
      <c r="AG56" t="n">
        <v>10</v>
      </c>
      <c r="AH56" t="n">
        <v>4</v>
      </c>
      <c r="AI56" t="n">
        <v>7</v>
      </c>
      <c r="AJ56" t="n">
        <v>7</v>
      </c>
      <c r="AK56" t="n">
        <v>17</v>
      </c>
      <c r="AL56" t="n">
        <v>2</v>
      </c>
      <c r="AM56" t="n">
        <v>4</v>
      </c>
      <c r="AN56" t="n">
        <v>0</v>
      </c>
      <c r="AO56" t="n">
        <v>0</v>
      </c>
      <c r="AP56" t="inlineStr">
        <is>
          <t>No</t>
        </is>
      </c>
      <c r="AQ56" t="inlineStr">
        <is>
          <t>No</t>
        </is>
      </c>
      <c r="AS56">
        <f>HYPERLINK("https://creighton-primo.hosted.exlibrisgroup.com/primo-explore/search?tab=default_tab&amp;search_scope=EVERYTHING&amp;vid=01CRU&amp;lang=en_US&amp;offset=0&amp;query=any,contains,991003550409702656","Catalog Record")</f>
        <v/>
      </c>
      <c r="AT56">
        <f>HYPERLINK("http://www.worldcat.org/oclc/1119241","WorldCat Record")</f>
        <v/>
      </c>
      <c r="AU56" t="inlineStr">
        <is>
          <t>426319893:eng</t>
        </is>
      </c>
      <c r="AV56" t="inlineStr">
        <is>
          <t>1119241</t>
        </is>
      </c>
      <c r="AW56" t="inlineStr">
        <is>
          <t>991003550409702656</t>
        </is>
      </c>
      <c r="AX56" t="inlineStr">
        <is>
          <t>991003550409702656</t>
        </is>
      </c>
      <c r="AY56" t="inlineStr">
        <is>
          <t>2255951190002656</t>
        </is>
      </c>
      <c r="AZ56" t="inlineStr">
        <is>
          <t>BOOK</t>
        </is>
      </c>
      <c r="BC56" t="inlineStr">
        <is>
          <t>32285000468347</t>
        </is>
      </c>
      <c r="BD56" t="inlineStr">
        <is>
          <t>893781123</t>
        </is>
      </c>
      <c r="BE56" t="inlineStr">
        <is>
          <t>S Brown</t>
        </is>
      </c>
    </row>
    <row r="57">
      <c r="A57" t="inlineStr">
        <is>
          <t>No</t>
        </is>
      </c>
      <c r="B57" t="inlineStr">
        <is>
          <t>BS2395 .F58</t>
        </is>
      </c>
      <c r="C57" t="inlineStr">
        <is>
          <t>0                      BS 2395000F  58</t>
        </is>
      </c>
      <c r="D57" t="inlineStr">
        <is>
          <t>To advance the Gospel : New Testament studies / Joseph A. Fitzmyer.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Fitzmyer, Joseph A.</t>
        </is>
      </c>
      <c r="L57" t="inlineStr">
        <is>
          <t>New York : Crossroad, c1981.</t>
        </is>
      </c>
      <c r="M57" t="inlineStr">
        <is>
          <t>1981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BS </t>
        </is>
      </c>
      <c r="S57" t="n">
        <v>5</v>
      </c>
      <c r="T57" t="n">
        <v>5</v>
      </c>
      <c r="U57" t="inlineStr">
        <is>
          <t>2003-07-01</t>
        </is>
      </c>
      <c r="V57" t="inlineStr">
        <is>
          <t>2003-07-01</t>
        </is>
      </c>
      <c r="W57" t="inlineStr">
        <is>
          <t>1991-02-25</t>
        </is>
      </c>
      <c r="X57" t="inlineStr">
        <is>
          <t>1991-02-25</t>
        </is>
      </c>
      <c r="Y57" t="n">
        <v>450</v>
      </c>
      <c r="Z57" t="n">
        <v>362</v>
      </c>
      <c r="AA57" t="n">
        <v>463</v>
      </c>
      <c r="AB57" t="n">
        <v>3</v>
      </c>
      <c r="AC57" t="n">
        <v>3</v>
      </c>
      <c r="AD57" t="n">
        <v>28</v>
      </c>
      <c r="AE57" t="n">
        <v>37</v>
      </c>
      <c r="AF57" t="n">
        <v>7</v>
      </c>
      <c r="AG57" t="n">
        <v>13</v>
      </c>
      <c r="AH57" t="n">
        <v>7</v>
      </c>
      <c r="AI57" t="n">
        <v>9</v>
      </c>
      <c r="AJ57" t="n">
        <v>23</v>
      </c>
      <c r="AK57" t="n">
        <v>27</v>
      </c>
      <c r="AL57" t="n">
        <v>1</v>
      </c>
      <c r="AM57" t="n">
        <v>1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HYPERLINK("http://catalog.hathitrust.org/Record/000265172","HathiTrust Record")</f>
        <v/>
      </c>
      <c r="AS57">
        <f>HYPERLINK("https://creighton-primo.hosted.exlibrisgroup.com/primo-explore/search?tab=default_tab&amp;search_scope=EVERYTHING&amp;vid=01CRU&amp;lang=en_US&amp;offset=0&amp;query=any,contains,991005079069702656","Catalog Record")</f>
        <v/>
      </c>
      <c r="AT57">
        <f>HYPERLINK("http://www.worldcat.org/oclc/7168538","WorldCat Record")</f>
        <v/>
      </c>
      <c r="AU57" t="inlineStr">
        <is>
          <t>490889:eng</t>
        </is>
      </c>
      <c r="AV57" t="inlineStr">
        <is>
          <t>7168538</t>
        </is>
      </c>
      <c r="AW57" t="inlineStr">
        <is>
          <t>991005079069702656</t>
        </is>
      </c>
      <c r="AX57" t="inlineStr">
        <is>
          <t>991005079069702656</t>
        </is>
      </c>
      <c r="AY57" t="inlineStr">
        <is>
          <t>2270094610002656</t>
        </is>
      </c>
      <c r="AZ57" t="inlineStr">
        <is>
          <t>BOOK</t>
        </is>
      </c>
      <c r="BB57" t="inlineStr">
        <is>
          <t>9780824500085</t>
        </is>
      </c>
      <c r="BC57" t="inlineStr">
        <is>
          <t>32285000468370</t>
        </is>
      </c>
      <c r="BD57" t="inlineStr">
        <is>
          <t>893876898</t>
        </is>
      </c>
      <c r="BE57" t="inlineStr">
        <is>
          <t>S Brown</t>
        </is>
      </c>
    </row>
    <row r="58">
      <c r="A58" t="inlineStr">
        <is>
          <t>No</t>
        </is>
      </c>
      <c r="B58" t="inlineStr">
        <is>
          <t>BS2395 .J4</t>
        </is>
      </c>
      <c r="C58" t="inlineStr">
        <is>
          <t>0                      BS 2395000J  4</t>
        </is>
      </c>
      <c r="D58" t="inlineStr">
        <is>
          <t>The central message of the New Testament.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Jeremias, Joachim, 1900-1979.</t>
        </is>
      </c>
      <c r="L58" t="inlineStr">
        <is>
          <t>New York, Charles Scribner's Sons [1965]</t>
        </is>
      </c>
      <c r="M58" t="inlineStr">
        <is>
          <t>1965</t>
        </is>
      </c>
      <c r="O58" t="inlineStr">
        <is>
          <t>eng</t>
        </is>
      </c>
      <c r="P58" t="inlineStr">
        <is>
          <t>___</t>
        </is>
      </c>
      <c r="R58" t="inlineStr">
        <is>
          <t xml:space="preserve">BS </t>
        </is>
      </c>
      <c r="S58" t="n">
        <v>3</v>
      </c>
      <c r="T58" t="n">
        <v>3</v>
      </c>
      <c r="U58" t="inlineStr">
        <is>
          <t>2003-07-01</t>
        </is>
      </c>
      <c r="V58" t="inlineStr">
        <is>
          <t>2003-07-01</t>
        </is>
      </c>
      <c r="W58" t="inlineStr">
        <is>
          <t>1990-05-01</t>
        </is>
      </c>
      <c r="X58" t="inlineStr">
        <is>
          <t>1990-05-01</t>
        </is>
      </c>
      <c r="Y58" t="n">
        <v>520</v>
      </c>
      <c r="Z58" t="n">
        <v>483</v>
      </c>
      <c r="AA58" t="n">
        <v>621</v>
      </c>
      <c r="AB58" t="n">
        <v>4</v>
      </c>
      <c r="AC58" t="n">
        <v>5</v>
      </c>
      <c r="AD58" t="n">
        <v>27</v>
      </c>
      <c r="AE58" t="n">
        <v>35</v>
      </c>
      <c r="AF58" t="n">
        <v>10</v>
      </c>
      <c r="AG58" t="n">
        <v>15</v>
      </c>
      <c r="AH58" t="n">
        <v>5</v>
      </c>
      <c r="AI58" t="n">
        <v>6</v>
      </c>
      <c r="AJ58" t="n">
        <v>14</v>
      </c>
      <c r="AK58" t="n">
        <v>21</v>
      </c>
      <c r="AL58" t="n">
        <v>3</v>
      </c>
      <c r="AM58" t="n">
        <v>4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HYPERLINK("http://catalog.hathitrust.org/Record/001937872","HathiTrust Record")</f>
        <v/>
      </c>
      <c r="AS58">
        <f>HYPERLINK("https://creighton-primo.hosted.exlibrisgroup.com/primo-explore/search?tab=default_tab&amp;search_scope=EVERYTHING&amp;vid=01CRU&amp;lang=en_US&amp;offset=0&amp;query=any,contains,991003556209702656","Catalog Record")</f>
        <v/>
      </c>
      <c r="AT58">
        <f>HYPERLINK("http://www.worldcat.org/oclc/1124452","WorldCat Record")</f>
        <v/>
      </c>
      <c r="AU58" t="inlineStr">
        <is>
          <t>19781957:eng</t>
        </is>
      </c>
      <c r="AV58" t="inlineStr">
        <is>
          <t>1124452</t>
        </is>
      </c>
      <c r="AW58" t="inlineStr">
        <is>
          <t>991003556209702656</t>
        </is>
      </c>
      <c r="AX58" t="inlineStr">
        <is>
          <t>991003556209702656</t>
        </is>
      </c>
      <c r="AY58" t="inlineStr">
        <is>
          <t>2269504430002656</t>
        </is>
      </c>
      <c r="AZ58" t="inlineStr">
        <is>
          <t>BOOK</t>
        </is>
      </c>
      <c r="BC58" t="inlineStr">
        <is>
          <t>32285000129642</t>
        </is>
      </c>
      <c r="BD58" t="inlineStr">
        <is>
          <t>893793732</t>
        </is>
      </c>
      <c r="BE58" t="inlineStr">
        <is>
          <t>S Brown</t>
        </is>
      </c>
    </row>
    <row r="59">
      <c r="A59" t="inlineStr">
        <is>
          <t>No</t>
        </is>
      </c>
      <c r="B59" t="inlineStr">
        <is>
          <t>BS2395 .R59</t>
        </is>
      </c>
      <c r="C59" t="inlineStr">
        <is>
          <t>0                      BS 2395000R  59</t>
        </is>
      </c>
      <c r="D59" t="inlineStr">
        <is>
          <t>Trajectories through early Christianity [by] James M. Robinson [and] Helmut Koester.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Robinson, James M. (James McConkey), 1924-2016.</t>
        </is>
      </c>
      <c r="L59" t="inlineStr">
        <is>
          <t>Philadelphia, Fortress Press [1971]</t>
        </is>
      </c>
      <c r="M59" t="inlineStr">
        <is>
          <t>1971</t>
        </is>
      </c>
      <c r="O59" t="inlineStr">
        <is>
          <t>eng</t>
        </is>
      </c>
      <c r="P59" t="inlineStr">
        <is>
          <t>pau</t>
        </is>
      </c>
      <c r="R59" t="inlineStr">
        <is>
          <t xml:space="preserve">BS </t>
        </is>
      </c>
      <c r="S59" t="n">
        <v>7</v>
      </c>
      <c r="T59" t="n">
        <v>7</v>
      </c>
      <c r="U59" t="inlineStr">
        <is>
          <t>2003-07-01</t>
        </is>
      </c>
      <c r="V59" t="inlineStr">
        <is>
          <t>2003-07-01</t>
        </is>
      </c>
      <c r="W59" t="inlineStr">
        <is>
          <t>1990-05-04</t>
        </is>
      </c>
      <c r="X59" t="inlineStr">
        <is>
          <t>1990-05-04</t>
        </is>
      </c>
      <c r="Y59" t="n">
        <v>655</v>
      </c>
      <c r="Z59" t="n">
        <v>546</v>
      </c>
      <c r="AA59" t="n">
        <v>593</v>
      </c>
      <c r="AB59" t="n">
        <v>5</v>
      </c>
      <c r="AC59" t="n">
        <v>5</v>
      </c>
      <c r="AD59" t="n">
        <v>42</v>
      </c>
      <c r="AE59" t="n">
        <v>44</v>
      </c>
      <c r="AF59" t="n">
        <v>17</v>
      </c>
      <c r="AG59" t="n">
        <v>19</v>
      </c>
      <c r="AH59" t="n">
        <v>9</v>
      </c>
      <c r="AI59" t="n">
        <v>10</v>
      </c>
      <c r="AJ59" t="n">
        <v>23</v>
      </c>
      <c r="AK59" t="n">
        <v>23</v>
      </c>
      <c r="AL59" t="n">
        <v>4</v>
      </c>
      <c r="AM59" t="n">
        <v>4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HYPERLINK("http://catalog.hathitrust.org/Record/001410789","HathiTrust Record")</f>
        <v/>
      </c>
      <c r="AS59">
        <f>HYPERLINK("https://creighton-primo.hosted.exlibrisgroup.com/primo-explore/search?tab=default_tab&amp;search_scope=EVERYTHING&amp;vid=01CRU&amp;lang=en_US&amp;offset=0&amp;query=any,contains,991000890399702656","Catalog Record")</f>
        <v/>
      </c>
      <c r="AT59">
        <f>HYPERLINK("http://www.worldcat.org/oclc/153829","WorldCat Record")</f>
        <v/>
      </c>
      <c r="AU59" t="inlineStr">
        <is>
          <t>180477472:eng</t>
        </is>
      </c>
      <c r="AV59" t="inlineStr">
        <is>
          <t>153829</t>
        </is>
      </c>
      <c r="AW59" t="inlineStr">
        <is>
          <t>991000890399702656</t>
        </is>
      </c>
      <c r="AX59" t="inlineStr">
        <is>
          <t>991000890399702656</t>
        </is>
      </c>
      <c r="AY59" t="inlineStr">
        <is>
          <t>2254758270002656</t>
        </is>
      </c>
      <c r="AZ59" t="inlineStr">
        <is>
          <t>BOOK</t>
        </is>
      </c>
      <c r="BB59" t="inlineStr">
        <is>
          <t>9780800600587</t>
        </is>
      </c>
      <c r="BC59" t="inlineStr">
        <is>
          <t>32285000149293</t>
        </is>
      </c>
      <c r="BD59" t="inlineStr">
        <is>
          <t>893884851</t>
        </is>
      </c>
      <c r="BE59" t="inlineStr">
        <is>
          <t>S Brown</t>
        </is>
      </c>
    </row>
    <row r="60">
      <c r="A60" t="inlineStr">
        <is>
          <t>No</t>
        </is>
      </c>
      <c r="B60" t="inlineStr">
        <is>
          <t>BS2397 .D6 1965</t>
        </is>
      </c>
      <c r="C60" t="inlineStr">
        <is>
          <t>0                      BS 2397000D  6           1965</t>
        </is>
      </c>
      <c r="D60" t="inlineStr">
        <is>
          <t>According to the Scriptures; the sub-structure of New Testament theology.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Dodd, C. H. (Charles Harold), 1884-1973.</t>
        </is>
      </c>
      <c r="L60" t="inlineStr">
        <is>
          <t>[London] Fontana Books [1965, c1952]</t>
        </is>
      </c>
      <c r="M60" t="inlineStr">
        <is>
          <t>1965</t>
        </is>
      </c>
      <c r="O60" t="inlineStr">
        <is>
          <t>eng</t>
        </is>
      </c>
      <c r="P60" t="inlineStr">
        <is>
          <t>___</t>
        </is>
      </c>
      <c r="R60" t="inlineStr">
        <is>
          <t xml:space="preserve">BS </t>
        </is>
      </c>
      <c r="S60" t="n">
        <v>4</v>
      </c>
      <c r="T60" t="n">
        <v>4</v>
      </c>
      <c r="U60" t="inlineStr">
        <is>
          <t>2003-07-01</t>
        </is>
      </c>
      <c r="V60" t="inlineStr">
        <is>
          <t>2003-07-01</t>
        </is>
      </c>
      <c r="W60" t="inlineStr">
        <is>
          <t>1991-02-27</t>
        </is>
      </c>
      <c r="X60" t="inlineStr">
        <is>
          <t>1991-02-27</t>
        </is>
      </c>
      <c r="Y60" t="n">
        <v>61</v>
      </c>
      <c r="Z60" t="n">
        <v>55</v>
      </c>
      <c r="AA60" t="n">
        <v>372</v>
      </c>
      <c r="AB60" t="n">
        <v>1</v>
      </c>
      <c r="AC60" t="n">
        <v>1</v>
      </c>
      <c r="AD60" t="n">
        <v>5</v>
      </c>
      <c r="AE60" t="n">
        <v>27</v>
      </c>
      <c r="AF60" t="n">
        <v>3</v>
      </c>
      <c r="AG60" t="n">
        <v>13</v>
      </c>
      <c r="AH60" t="n">
        <v>1</v>
      </c>
      <c r="AI60" t="n">
        <v>5</v>
      </c>
      <c r="AJ60" t="n">
        <v>4</v>
      </c>
      <c r="AK60" t="n">
        <v>19</v>
      </c>
      <c r="AL60" t="n">
        <v>0</v>
      </c>
      <c r="AM60" t="n">
        <v>0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HYPERLINK("https://creighton-primo.hosted.exlibrisgroup.com/primo-explore/search?tab=default_tab&amp;search_scope=EVERYTHING&amp;vid=01CRU&amp;lang=en_US&amp;offset=0&amp;query=any,contains,991001399379702656","Catalog Record")</f>
        <v/>
      </c>
      <c r="AT60">
        <f>HYPERLINK("http://www.worldcat.org/oclc/228922","WorldCat Record")</f>
        <v/>
      </c>
      <c r="AU60" t="inlineStr">
        <is>
          <t>1348174:eng</t>
        </is>
      </c>
      <c r="AV60" t="inlineStr">
        <is>
          <t>228922</t>
        </is>
      </c>
      <c r="AW60" t="inlineStr">
        <is>
          <t>991001399379702656</t>
        </is>
      </c>
      <c r="AX60" t="inlineStr">
        <is>
          <t>991001399379702656</t>
        </is>
      </c>
      <c r="AY60" t="inlineStr">
        <is>
          <t>2256996140002656</t>
        </is>
      </c>
      <c r="AZ60" t="inlineStr">
        <is>
          <t>BOOK</t>
        </is>
      </c>
      <c r="BC60" t="inlineStr">
        <is>
          <t>32285000468644</t>
        </is>
      </c>
      <c r="BD60" t="inlineStr">
        <is>
          <t>893778773</t>
        </is>
      </c>
      <c r="BE60" t="inlineStr">
        <is>
          <t>S Brown</t>
        </is>
      </c>
    </row>
    <row r="61">
      <c r="A61" t="inlineStr">
        <is>
          <t>No</t>
        </is>
      </c>
      <c r="B61" t="inlineStr">
        <is>
          <t>BS2397 .D85</t>
        </is>
      </c>
      <c r="C61" t="inlineStr">
        <is>
          <t>0                      BS 2397000D  85</t>
        </is>
      </c>
      <c r="D61" t="inlineStr">
        <is>
          <t>Unity and diversity in the New Testament : an inquiry into the character of earliest Christianity / by James D. G. Dunn.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Dunn, James D. G., 1939-2020.</t>
        </is>
      </c>
      <c r="L61" t="inlineStr">
        <is>
          <t>Philadelphia : Westminster Press, c1977.</t>
        </is>
      </c>
      <c r="M61" t="inlineStr">
        <is>
          <t>1977</t>
        </is>
      </c>
      <c r="O61" t="inlineStr">
        <is>
          <t>eng</t>
        </is>
      </c>
      <c r="P61" t="inlineStr">
        <is>
          <t>pau</t>
        </is>
      </c>
      <c r="R61" t="inlineStr">
        <is>
          <t xml:space="preserve">BS </t>
        </is>
      </c>
      <c r="S61" t="n">
        <v>7</v>
      </c>
      <c r="T61" t="n">
        <v>7</v>
      </c>
      <c r="U61" t="inlineStr">
        <is>
          <t>2004-04-18</t>
        </is>
      </c>
      <c r="V61" t="inlineStr">
        <is>
          <t>2004-04-18</t>
        </is>
      </c>
      <c r="W61" t="inlineStr">
        <is>
          <t>1991-02-27</t>
        </is>
      </c>
      <c r="X61" t="inlineStr">
        <is>
          <t>1991-02-27</t>
        </is>
      </c>
      <c r="Y61" t="n">
        <v>515</v>
      </c>
      <c r="Z61" t="n">
        <v>475</v>
      </c>
      <c r="AA61" t="n">
        <v>688</v>
      </c>
      <c r="AB61" t="n">
        <v>4</v>
      </c>
      <c r="AC61" t="n">
        <v>8</v>
      </c>
      <c r="AD61" t="n">
        <v>33</v>
      </c>
      <c r="AE61" t="n">
        <v>42</v>
      </c>
      <c r="AF61" t="n">
        <v>13</v>
      </c>
      <c r="AG61" t="n">
        <v>16</v>
      </c>
      <c r="AH61" t="n">
        <v>7</v>
      </c>
      <c r="AI61" t="n">
        <v>9</v>
      </c>
      <c r="AJ61" t="n">
        <v>19</v>
      </c>
      <c r="AK61" t="n">
        <v>23</v>
      </c>
      <c r="AL61" t="n">
        <v>2</v>
      </c>
      <c r="AM61" t="n">
        <v>5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HYPERLINK("http://catalog.hathitrust.org/Record/007114485","HathiTrust Record")</f>
        <v/>
      </c>
      <c r="AS61">
        <f>HYPERLINK("https://creighton-primo.hosted.exlibrisgroup.com/primo-explore/search?tab=default_tab&amp;search_scope=EVERYTHING&amp;vid=01CRU&amp;lang=en_US&amp;offset=0&amp;query=any,contains,991004342399702656","Catalog Record")</f>
        <v/>
      </c>
      <c r="AT61">
        <f>HYPERLINK("http://www.worldcat.org/oclc/3090094","WorldCat Record")</f>
        <v/>
      </c>
      <c r="AU61" t="inlineStr">
        <is>
          <t>2638332:eng</t>
        </is>
      </c>
      <c r="AV61" t="inlineStr">
        <is>
          <t>3090094</t>
        </is>
      </c>
      <c r="AW61" t="inlineStr">
        <is>
          <t>991004342399702656</t>
        </is>
      </c>
      <c r="AX61" t="inlineStr">
        <is>
          <t>991004342399702656</t>
        </is>
      </c>
      <c r="AY61" t="inlineStr">
        <is>
          <t>2260334080002656</t>
        </is>
      </c>
      <c r="AZ61" t="inlineStr">
        <is>
          <t>BOOK</t>
        </is>
      </c>
      <c r="BB61" t="inlineStr">
        <is>
          <t>9780664213428</t>
        </is>
      </c>
      <c r="BC61" t="inlineStr">
        <is>
          <t>32285000468669</t>
        </is>
      </c>
      <c r="BD61" t="inlineStr">
        <is>
          <t>893417513</t>
        </is>
      </c>
      <c r="BE61" t="inlineStr">
        <is>
          <t>S Brown</t>
        </is>
      </c>
    </row>
    <row r="62">
      <c r="A62" t="inlineStr">
        <is>
          <t>No</t>
        </is>
      </c>
      <c r="B62" t="inlineStr">
        <is>
          <t>BS2397 .S3513</t>
        </is>
      </c>
      <c r="C62" t="inlineStr">
        <is>
          <t>0                      BS 2397000S  3513</t>
        </is>
      </c>
      <c r="D62" t="inlineStr">
        <is>
          <t>Christian existence in the New Testament. [Translated by F. Wieck.</t>
        </is>
      </c>
      <c r="E62" t="inlineStr">
        <is>
          <t>V.1</t>
        </is>
      </c>
      <c r="F62" t="inlineStr">
        <is>
          <t>Yes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Schnackenburg, Rudolf, 1914-</t>
        </is>
      </c>
      <c r="L62" t="inlineStr">
        <is>
          <t>Notre Dame, Ind.] University of Notre Dame Press, 1968-</t>
        </is>
      </c>
      <c r="M62" t="inlineStr">
        <is>
          <t>1968</t>
        </is>
      </c>
      <c r="O62" t="inlineStr">
        <is>
          <t>eng</t>
        </is>
      </c>
      <c r="P62" t="inlineStr">
        <is>
          <t>inu</t>
        </is>
      </c>
      <c r="R62" t="inlineStr">
        <is>
          <t xml:space="preserve">BS </t>
        </is>
      </c>
      <c r="S62" t="n">
        <v>2</v>
      </c>
      <c r="T62" t="n">
        <v>7</v>
      </c>
      <c r="U62" t="inlineStr">
        <is>
          <t>2003-07-01</t>
        </is>
      </c>
      <c r="V62" t="inlineStr">
        <is>
          <t>2003-07-01</t>
        </is>
      </c>
      <c r="W62" t="inlineStr">
        <is>
          <t>1991-02-27</t>
        </is>
      </c>
      <c r="X62" t="inlineStr">
        <is>
          <t>1991-02-27</t>
        </is>
      </c>
      <c r="Y62" t="n">
        <v>483</v>
      </c>
      <c r="Z62" t="n">
        <v>439</v>
      </c>
      <c r="AA62" t="n">
        <v>444</v>
      </c>
      <c r="AB62" t="n">
        <v>6</v>
      </c>
      <c r="AC62" t="n">
        <v>6</v>
      </c>
      <c r="AD62" t="n">
        <v>37</v>
      </c>
      <c r="AE62" t="n">
        <v>37</v>
      </c>
      <c r="AF62" t="n">
        <v>12</v>
      </c>
      <c r="AG62" t="n">
        <v>12</v>
      </c>
      <c r="AH62" t="n">
        <v>10</v>
      </c>
      <c r="AI62" t="n">
        <v>10</v>
      </c>
      <c r="AJ62" t="n">
        <v>23</v>
      </c>
      <c r="AK62" t="n">
        <v>23</v>
      </c>
      <c r="AL62" t="n">
        <v>4</v>
      </c>
      <c r="AM62" t="n">
        <v>4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HYPERLINK("https://creighton-primo.hosted.exlibrisgroup.com/primo-explore/search?tab=default_tab&amp;search_scope=EVERYTHING&amp;vid=01CRU&amp;lang=en_US&amp;offset=0&amp;query=any,contains,991005433339702656","Catalog Record")</f>
        <v/>
      </c>
      <c r="AT62">
        <f>HYPERLINK("http://www.worldcat.org/oclc/1752","WorldCat Record")</f>
        <v/>
      </c>
      <c r="AU62" t="inlineStr">
        <is>
          <t>3372508948:eng</t>
        </is>
      </c>
      <c r="AV62" t="inlineStr">
        <is>
          <t>1752</t>
        </is>
      </c>
      <c r="AW62" t="inlineStr">
        <is>
          <t>991005433339702656</t>
        </is>
      </c>
      <c r="AX62" t="inlineStr">
        <is>
          <t>991005433339702656</t>
        </is>
      </c>
      <c r="AY62" t="inlineStr">
        <is>
          <t>2271291030002656</t>
        </is>
      </c>
      <c r="AZ62" t="inlineStr">
        <is>
          <t>BOOK</t>
        </is>
      </c>
      <c r="BC62" t="inlineStr">
        <is>
          <t>32285000468826</t>
        </is>
      </c>
      <c r="BD62" t="inlineStr">
        <is>
          <t>893707919</t>
        </is>
      </c>
      <c r="BE62" t="inlineStr">
        <is>
          <t>S Brown</t>
        </is>
      </c>
    </row>
    <row r="63">
      <c r="A63" t="inlineStr">
        <is>
          <t>No</t>
        </is>
      </c>
      <c r="B63" t="inlineStr">
        <is>
          <t>BS2397 .S3513</t>
        </is>
      </c>
      <c r="C63" t="inlineStr">
        <is>
          <t>0                      BS 2397000S  3513</t>
        </is>
      </c>
      <c r="D63" t="inlineStr">
        <is>
          <t>Christian existence in the New Testament. [Translated by F. Wieck.</t>
        </is>
      </c>
      <c r="E63" t="inlineStr">
        <is>
          <t>V.2</t>
        </is>
      </c>
      <c r="F63" t="inlineStr">
        <is>
          <t>Yes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Schnackenburg, Rudolf, 1914-</t>
        </is>
      </c>
      <c r="L63" t="inlineStr">
        <is>
          <t>Notre Dame, Ind.] University of Notre Dame Press, 1968-</t>
        </is>
      </c>
      <c r="M63" t="inlineStr">
        <is>
          <t>1968</t>
        </is>
      </c>
      <c r="O63" t="inlineStr">
        <is>
          <t>eng</t>
        </is>
      </c>
      <c r="P63" t="inlineStr">
        <is>
          <t>inu</t>
        </is>
      </c>
      <c r="R63" t="inlineStr">
        <is>
          <t xml:space="preserve">BS </t>
        </is>
      </c>
      <c r="S63" t="n">
        <v>5</v>
      </c>
      <c r="T63" t="n">
        <v>7</v>
      </c>
      <c r="U63" t="inlineStr">
        <is>
          <t>2003-07-01</t>
        </is>
      </c>
      <c r="V63" t="inlineStr">
        <is>
          <t>2003-07-01</t>
        </is>
      </c>
      <c r="W63" t="inlineStr">
        <is>
          <t>1991-02-27</t>
        </is>
      </c>
      <c r="X63" t="inlineStr">
        <is>
          <t>1991-02-27</t>
        </is>
      </c>
      <c r="Y63" t="n">
        <v>483</v>
      </c>
      <c r="Z63" t="n">
        <v>439</v>
      </c>
      <c r="AA63" t="n">
        <v>444</v>
      </c>
      <c r="AB63" t="n">
        <v>6</v>
      </c>
      <c r="AC63" t="n">
        <v>6</v>
      </c>
      <c r="AD63" t="n">
        <v>37</v>
      </c>
      <c r="AE63" t="n">
        <v>37</v>
      </c>
      <c r="AF63" t="n">
        <v>12</v>
      </c>
      <c r="AG63" t="n">
        <v>12</v>
      </c>
      <c r="AH63" t="n">
        <v>10</v>
      </c>
      <c r="AI63" t="n">
        <v>10</v>
      </c>
      <c r="AJ63" t="n">
        <v>23</v>
      </c>
      <c r="AK63" t="n">
        <v>23</v>
      </c>
      <c r="AL63" t="n">
        <v>4</v>
      </c>
      <c r="AM63" t="n">
        <v>4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HYPERLINK("https://creighton-primo.hosted.exlibrisgroup.com/primo-explore/search?tab=default_tab&amp;search_scope=EVERYTHING&amp;vid=01CRU&amp;lang=en_US&amp;offset=0&amp;query=any,contains,991005433339702656","Catalog Record")</f>
        <v/>
      </c>
      <c r="AT63">
        <f>HYPERLINK("http://www.worldcat.org/oclc/1752","WorldCat Record")</f>
        <v/>
      </c>
      <c r="AU63" t="inlineStr">
        <is>
          <t>3372508948:eng</t>
        </is>
      </c>
      <c r="AV63" t="inlineStr">
        <is>
          <t>1752</t>
        </is>
      </c>
      <c r="AW63" t="inlineStr">
        <is>
          <t>991005433339702656</t>
        </is>
      </c>
      <c r="AX63" t="inlineStr">
        <is>
          <t>991005433339702656</t>
        </is>
      </c>
      <c r="AY63" t="inlineStr">
        <is>
          <t>2271291030002656</t>
        </is>
      </c>
      <c r="AZ63" t="inlineStr">
        <is>
          <t>BOOK</t>
        </is>
      </c>
      <c r="BC63" t="inlineStr">
        <is>
          <t>32285000468834</t>
        </is>
      </c>
      <c r="BD63" t="inlineStr">
        <is>
          <t>893707918</t>
        </is>
      </c>
      <c r="BE63" t="inlineStr">
        <is>
          <t>S Brown</t>
        </is>
      </c>
    </row>
    <row r="64">
      <c r="A64" t="inlineStr">
        <is>
          <t>No</t>
        </is>
      </c>
      <c r="B64" t="inlineStr">
        <is>
          <t>BS2397 .S413</t>
        </is>
      </c>
      <c r="C64" t="inlineStr">
        <is>
          <t>0                      BS 2397000S  413</t>
        </is>
      </c>
      <c r="D64" t="inlineStr">
        <is>
          <t>New Testament theology today. Translated by David Askew.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Schnackenburg, Rudolf, 1914-</t>
        </is>
      </c>
      <c r="L64" t="inlineStr">
        <is>
          <t>New York, Herder aand Herder [1963]</t>
        </is>
      </c>
      <c r="M64" t="inlineStr">
        <is>
          <t>1963</t>
        </is>
      </c>
      <c r="O64" t="inlineStr">
        <is>
          <t>eng</t>
        </is>
      </c>
      <c r="P64" t="inlineStr">
        <is>
          <t>___</t>
        </is>
      </c>
      <c r="R64" t="inlineStr">
        <is>
          <t xml:space="preserve">BS </t>
        </is>
      </c>
      <c r="S64" t="n">
        <v>1</v>
      </c>
      <c r="T64" t="n">
        <v>1</v>
      </c>
      <c r="U64" t="inlineStr">
        <is>
          <t>2003-07-01</t>
        </is>
      </c>
      <c r="V64" t="inlineStr">
        <is>
          <t>2003-07-01</t>
        </is>
      </c>
      <c r="W64" t="inlineStr">
        <is>
          <t>1991-02-27</t>
        </is>
      </c>
      <c r="X64" t="inlineStr">
        <is>
          <t>1991-02-27</t>
        </is>
      </c>
      <c r="Y64" t="n">
        <v>302</v>
      </c>
      <c r="Z64" t="n">
        <v>275</v>
      </c>
      <c r="AA64" t="n">
        <v>323</v>
      </c>
      <c r="AB64" t="n">
        <v>5</v>
      </c>
      <c r="AC64" t="n">
        <v>5</v>
      </c>
      <c r="AD64" t="n">
        <v>34</v>
      </c>
      <c r="AE64" t="n">
        <v>38</v>
      </c>
      <c r="AF64" t="n">
        <v>12</v>
      </c>
      <c r="AG64" t="n">
        <v>15</v>
      </c>
      <c r="AH64" t="n">
        <v>8</v>
      </c>
      <c r="AI64" t="n">
        <v>9</v>
      </c>
      <c r="AJ64" t="n">
        <v>24</v>
      </c>
      <c r="AK64" t="n">
        <v>25</v>
      </c>
      <c r="AL64" t="n">
        <v>2</v>
      </c>
      <c r="AM64" t="n">
        <v>2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HYPERLINK("https://creighton-primo.hosted.exlibrisgroup.com/primo-explore/search?tab=default_tab&amp;search_scope=EVERYTHING&amp;vid=01CRU&amp;lang=en_US&amp;offset=0&amp;query=any,contains,991002641539702656","Catalog Record")</f>
        <v/>
      </c>
      <c r="AT64">
        <f>HYPERLINK("http://www.worldcat.org/oclc/384514","WorldCat Record")</f>
        <v/>
      </c>
      <c r="AU64" t="inlineStr">
        <is>
          <t>1504093:eng</t>
        </is>
      </c>
      <c r="AV64" t="inlineStr">
        <is>
          <t>384514</t>
        </is>
      </c>
      <c r="AW64" t="inlineStr">
        <is>
          <t>991002641539702656</t>
        </is>
      </c>
      <c r="AX64" t="inlineStr">
        <is>
          <t>991002641539702656</t>
        </is>
      </c>
      <c r="AY64" t="inlineStr">
        <is>
          <t>2256474190002656</t>
        </is>
      </c>
      <c r="AZ64" t="inlineStr">
        <is>
          <t>BOOK</t>
        </is>
      </c>
      <c r="BC64" t="inlineStr">
        <is>
          <t>32285000468842</t>
        </is>
      </c>
      <c r="BD64" t="inlineStr">
        <is>
          <t>893409362</t>
        </is>
      </c>
      <c r="BE64" t="inlineStr">
        <is>
          <t>S Brown</t>
        </is>
      </c>
    </row>
    <row r="65">
      <c r="A65" t="inlineStr">
        <is>
          <t>No</t>
        </is>
      </c>
      <c r="B65" t="inlineStr">
        <is>
          <t>BS2397 .S42</t>
        </is>
      </c>
      <c r="C65" t="inlineStr">
        <is>
          <t>0                      BS 2397000S  42</t>
        </is>
      </c>
      <c r="D65" t="inlineStr">
        <is>
          <t>Present and future; modern aspects of New Testament theology.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Schnackenburg, Rudolf, 1914-</t>
        </is>
      </c>
      <c r="L65" t="inlineStr">
        <is>
          <t>Notre Dame, University of Notre Dame Press, 1966.</t>
        </is>
      </c>
      <c r="M65" t="inlineStr">
        <is>
          <t>1966</t>
        </is>
      </c>
      <c r="O65" t="inlineStr">
        <is>
          <t>eng</t>
        </is>
      </c>
      <c r="P65" t="inlineStr">
        <is>
          <t>inu</t>
        </is>
      </c>
      <c r="Q65" t="inlineStr">
        <is>
          <t>The Cardinal O'Hara series, v. 3</t>
        </is>
      </c>
      <c r="R65" t="inlineStr">
        <is>
          <t xml:space="preserve">BS </t>
        </is>
      </c>
      <c r="S65" t="n">
        <v>1</v>
      </c>
      <c r="T65" t="n">
        <v>1</v>
      </c>
      <c r="U65" t="inlineStr">
        <is>
          <t>2003-07-01</t>
        </is>
      </c>
      <c r="V65" t="inlineStr">
        <is>
          <t>2003-07-01</t>
        </is>
      </c>
      <c r="W65" t="inlineStr">
        <is>
          <t>1991-02-27</t>
        </is>
      </c>
      <c r="X65" t="inlineStr">
        <is>
          <t>1991-02-27</t>
        </is>
      </c>
      <c r="Y65" t="n">
        <v>593</v>
      </c>
      <c r="Z65" t="n">
        <v>529</v>
      </c>
      <c r="AA65" t="n">
        <v>531</v>
      </c>
      <c r="AB65" t="n">
        <v>5</v>
      </c>
      <c r="AC65" t="n">
        <v>5</v>
      </c>
      <c r="AD65" t="n">
        <v>35</v>
      </c>
      <c r="AE65" t="n">
        <v>35</v>
      </c>
      <c r="AF65" t="n">
        <v>14</v>
      </c>
      <c r="AG65" t="n">
        <v>14</v>
      </c>
      <c r="AH65" t="n">
        <v>6</v>
      </c>
      <c r="AI65" t="n">
        <v>6</v>
      </c>
      <c r="AJ65" t="n">
        <v>23</v>
      </c>
      <c r="AK65" t="n">
        <v>23</v>
      </c>
      <c r="AL65" t="n">
        <v>3</v>
      </c>
      <c r="AM65" t="n">
        <v>3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HYPERLINK("http://catalog.hathitrust.org/Record/004508247","HathiTrust Record")</f>
        <v/>
      </c>
      <c r="AS65">
        <f>HYPERLINK("https://creighton-primo.hosted.exlibrisgroup.com/primo-explore/search?tab=default_tab&amp;search_scope=EVERYTHING&amp;vid=01CRU&amp;lang=en_US&amp;offset=0&amp;query=any,contains,991003400089702656","Catalog Record")</f>
        <v/>
      </c>
      <c r="AT65">
        <f>HYPERLINK("http://www.worldcat.org/oclc/386375","WorldCat Record")</f>
        <v/>
      </c>
      <c r="AU65" t="inlineStr">
        <is>
          <t>366907569:eng</t>
        </is>
      </c>
      <c r="AV65" t="inlineStr">
        <is>
          <t>386375</t>
        </is>
      </c>
      <c r="AW65" t="inlineStr">
        <is>
          <t>991003400089702656</t>
        </is>
      </c>
      <c r="AX65" t="inlineStr">
        <is>
          <t>991003400089702656</t>
        </is>
      </c>
      <c r="AY65" t="inlineStr">
        <is>
          <t>2261612640002656</t>
        </is>
      </c>
      <c r="AZ65" t="inlineStr">
        <is>
          <t>BOOK</t>
        </is>
      </c>
      <c r="BC65" t="inlineStr">
        <is>
          <t>32285000468859</t>
        </is>
      </c>
      <c r="BD65" t="inlineStr">
        <is>
          <t>893617311</t>
        </is>
      </c>
      <c r="BE65" t="inlineStr">
        <is>
          <t>S Brown</t>
        </is>
      </c>
    </row>
    <row r="66">
      <c r="A66" t="inlineStr">
        <is>
          <t>No</t>
        </is>
      </c>
      <c r="B66" t="inlineStr">
        <is>
          <t>BS2410 .K613 1982, v.1</t>
        </is>
      </c>
      <c r="C66" t="inlineStr">
        <is>
          <t>0                      BS 2410000K  613         1982                                        v.1</t>
        </is>
      </c>
      <c r="D66" t="inlineStr">
        <is>
          <t>History, culture, and religion of the Hellenistic Age / Helmut Koester.</t>
        </is>
      </c>
      <c r="E66" t="inlineStr">
        <is>
          <t>V. 1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Koester, Helmut, 1926-2016.</t>
        </is>
      </c>
      <c r="L66" t="inlineStr">
        <is>
          <t>Philadelphia : Fortress Press, c1982.</t>
        </is>
      </c>
      <c r="M66" t="inlineStr">
        <is>
          <t>1982</t>
        </is>
      </c>
      <c r="O66" t="inlineStr">
        <is>
          <t>eng</t>
        </is>
      </c>
      <c r="P66" t="inlineStr">
        <is>
          <t>pau</t>
        </is>
      </c>
      <c r="Q66" t="inlineStr">
        <is>
          <t>Hermeneia--foundations and facets</t>
        </is>
      </c>
      <c r="R66" t="inlineStr">
        <is>
          <t xml:space="preserve">BS </t>
        </is>
      </c>
      <c r="S66" t="n">
        <v>2</v>
      </c>
      <c r="T66" t="n">
        <v>2</v>
      </c>
      <c r="U66" t="inlineStr">
        <is>
          <t>2003-07-01</t>
        </is>
      </c>
      <c r="V66" t="inlineStr">
        <is>
          <t>2003-07-01</t>
        </is>
      </c>
      <c r="W66" t="inlineStr">
        <is>
          <t>2000-06-15</t>
        </is>
      </c>
      <c r="X66" t="inlineStr">
        <is>
          <t>2000-06-15</t>
        </is>
      </c>
      <c r="Y66" t="n">
        <v>99</v>
      </c>
      <c r="Z66" t="n">
        <v>87</v>
      </c>
      <c r="AA66" t="n">
        <v>88</v>
      </c>
      <c r="AB66" t="n">
        <v>2</v>
      </c>
      <c r="AC66" t="n">
        <v>2</v>
      </c>
      <c r="AD66" t="n">
        <v>6</v>
      </c>
      <c r="AE66" t="n">
        <v>6</v>
      </c>
      <c r="AF66" t="n">
        <v>5</v>
      </c>
      <c r="AG66" t="n">
        <v>5</v>
      </c>
      <c r="AH66" t="n">
        <v>0</v>
      </c>
      <c r="AI66" t="n">
        <v>0</v>
      </c>
      <c r="AJ66" t="n">
        <v>1</v>
      </c>
      <c r="AK66" t="n">
        <v>1</v>
      </c>
      <c r="AL66" t="n">
        <v>1</v>
      </c>
      <c r="AM66" t="n">
        <v>1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HYPERLINK("https://creighton-primo.hosted.exlibrisgroup.com/primo-explore/search?tab=default_tab&amp;search_scope=EVERYTHING&amp;vid=01CRU&amp;lang=en_US&amp;offset=0&amp;query=any,contains,991003161699702656","Catalog Record")</f>
        <v/>
      </c>
      <c r="AT66">
        <f>HYPERLINK("http://www.worldcat.org/oclc/8926598","WorldCat Record")</f>
        <v/>
      </c>
      <c r="AU66" t="inlineStr">
        <is>
          <t>8913086024:eng</t>
        </is>
      </c>
      <c r="AV66" t="inlineStr">
        <is>
          <t>8926598</t>
        </is>
      </c>
      <c r="AW66" t="inlineStr">
        <is>
          <t>991003161699702656</t>
        </is>
      </c>
      <c r="AX66" t="inlineStr">
        <is>
          <t>991003161699702656</t>
        </is>
      </c>
      <c r="AY66" t="inlineStr">
        <is>
          <t>2260680590002656</t>
        </is>
      </c>
      <c r="AZ66" t="inlineStr">
        <is>
          <t>BOOK</t>
        </is>
      </c>
      <c r="BC66" t="inlineStr">
        <is>
          <t>32285000468982</t>
        </is>
      </c>
      <c r="BD66" t="inlineStr">
        <is>
          <t>893623214</t>
        </is>
      </c>
      <c r="BE66" t="inlineStr">
        <is>
          <t>S Brown</t>
        </is>
      </c>
    </row>
    <row r="67">
      <c r="A67" t="inlineStr">
        <is>
          <t>No</t>
        </is>
      </c>
      <c r="B67" t="inlineStr">
        <is>
          <t>BS2410 .K613 1982, v.2</t>
        </is>
      </c>
      <c r="C67" t="inlineStr">
        <is>
          <t>0                      BS 2410000K  613         1982                                        v.2</t>
        </is>
      </c>
      <c r="D67" t="inlineStr">
        <is>
          <t>History and literature of early Christianity / Helmut Koester.</t>
        </is>
      </c>
      <c r="E67" t="inlineStr">
        <is>
          <t>V. 2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Koester, Helmut, 1926-2016.</t>
        </is>
      </c>
      <c r="L67" t="inlineStr">
        <is>
          <t>Philadelphia : Fortress Press, c1982.</t>
        </is>
      </c>
      <c r="M67" t="inlineStr">
        <is>
          <t>1982</t>
        </is>
      </c>
      <c r="O67" t="inlineStr">
        <is>
          <t>eng</t>
        </is>
      </c>
      <c r="P67" t="inlineStr">
        <is>
          <t>pau</t>
        </is>
      </c>
      <c r="Q67" t="inlineStr">
        <is>
          <t>Hermeneia--foundations and facets</t>
        </is>
      </c>
      <c r="R67" t="inlineStr">
        <is>
          <t xml:space="preserve">BS </t>
        </is>
      </c>
      <c r="S67" t="n">
        <v>1</v>
      </c>
      <c r="T67" t="n">
        <v>1</v>
      </c>
      <c r="U67" t="inlineStr">
        <is>
          <t>2003-07-01</t>
        </is>
      </c>
      <c r="V67" t="inlineStr">
        <is>
          <t>2003-07-01</t>
        </is>
      </c>
      <c r="W67" t="inlineStr">
        <is>
          <t>2000-06-15</t>
        </is>
      </c>
      <c r="X67" t="inlineStr">
        <is>
          <t>2000-06-15</t>
        </is>
      </c>
      <c r="Y67" t="n">
        <v>84</v>
      </c>
      <c r="Z67" t="n">
        <v>76</v>
      </c>
      <c r="AA67" t="n">
        <v>76</v>
      </c>
      <c r="AB67" t="n">
        <v>2</v>
      </c>
      <c r="AC67" t="n">
        <v>2</v>
      </c>
      <c r="AD67" t="n">
        <v>6</v>
      </c>
      <c r="AE67" t="n">
        <v>6</v>
      </c>
      <c r="AF67" t="n">
        <v>4</v>
      </c>
      <c r="AG67" t="n">
        <v>4</v>
      </c>
      <c r="AH67" t="n">
        <v>0</v>
      </c>
      <c r="AI67" t="n">
        <v>0</v>
      </c>
      <c r="AJ67" t="n">
        <v>2</v>
      </c>
      <c r="AK67" t="n">
        <v>2</v>
      </c>
      <c r="AL67" t="n">
        <v>1</v>
      </c>
      <c r="AM67" t="n">
        <v>1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HYPERLINK("https://creighton-primo.hosted.exlibrisgroup.com/primo-explore/search?tab=default_tab&amp;search_scope=EVERYTHING&amp;vid=01CRU&amp;lang=en_US&amp;offset=0&amp;query=any,contains,991003161719702656","Catalog Record")</f>
        <v/>
      </c>
      <c r="AT67">
        <f>HYPERLINK("http://www.worldcat.org/oclc/8926780","WorldCat Record")</f>
        <v/>
      </c>
      <c r="AU67" t="inlineStr">
        <is>
          <t>8912544726:eng</t>
        </is>
      </c>
      <c r="AV67" t="inlineStr">
        <is>
          <t>8926780</t>
        </is>
      </c>
      <c r="AW67" t="inlineStr">
        <is>
          <t>991003161719702656</t>
        </is>
      </c>
      <c r="AX67" t="inlineStr">
        <is>
          <t>991003161719702656</t>
        </is>
      </c>
      <c r="AY67" t="inlineStr">
        <is>
          <t>2260795490002656</t>
        </is>
      </c>
      <c r="AZ67" t="inlineStr">
        <is>
          <t>BOOK</t>
        </is>
      </c>
      <c r="BB67" t="inlineStr">
        <is>
          <t>9780800621018</t>
        </is>
      </c>
      <c r="BC67" t="inlineStr">
        <is>
          <t>32285000468990</t>
        </is>
      </c>
      <c r="BD67" t="inlineStr">
        <is>
          <t>893610778</t>
        </is>
      </c>
      <c r="BE67" t="inlineStr">
        <is>
          <t>ZB Smith</t>
        </is>
      </c>
    </row>
    <row r="68">
      <c r="A68" t="inlineStr">
        <is>
          <t>No</t>
        </is>
      </c>
      <c r="B68" t="inlineStr">
        <is>
          <t>BS2410 .R383 1974</t>
        </is>
      </c>
      <c r="C68" t="inlineStr">
        <is>
          <t>0                      BS 2410000R  383         1974</t>
        </is>
      </c>
      <c r="D68" t="inlineStr">
        <is>
          <t>The New Testament era; the world of the Bible from 500 B.C. to A.D. 100, by Bo Reicke. Translated by David E. Green.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Reicke, Bo, 1914-1987.</t>
        </is>
      </c>
      <c r="L68" t="inlineStr">
        <is>
          <t>Philadelphia, Fortress Press [1968]</t>
        </is>
      </c>
      <c r="M68" t="inlineStr">
        <is>
          <t>1968</t>
        </is>
      </c>
      <c r="O68" t="inlineStr">
        <is>
          <t>eng</t>
        </is>
      </c>
      <c r="P68" t="inlineStr">
        <is>
          <t>pau</t>
        </is>
      </c>
      <c r="R68" t="inlineStr">
        <is>
          <t xml:space="preserve">BS </t>
        </is>
      </c>
      <c r="S68" t="n">
        <v>5</v>
      </c>
      <c r="T68" t="n">
        <v>5</v>
      </c>
      <c r="U68" t="inlineStr">
        <is>
          <t>2009-10-28</t>
        </is>
      </c>
      <c r="V68" t="inlineStr">
        <is>
          <t>2009-10-28</t>
        </is>
      </c>
      <c r="W68" t="inlineStr">
        <is>
          <t>1991-03-05</t>
        </is>
      </c>
      <c r="X68" t="inlineStr">
        <is>
          <t>1991-03-05</t>
        </is>
      </c>
      <c r="Y68" t="n">
        <v>581</v>
      </c>
      <c r="Z68" t="n">
        <v>514</v>
      </c>
      <c r="AA68" t="n">
        <v>643</v>
      </c>
      <c r="AB68" t="n">
        <v>4</v>
      </c>
      <c r="AC68" t="n">
        <v>5</v>
      </c>
      <c r="AD68" t="n">
        <v>30</v>
      </c>
      <c r="AE68" t="n">
        <v>36</v>
      </c>
      <c r="AF68" t="n">
        <v>12</v>
      </c>
      <c r="AG68" t="n">
        <v>15</v>
      </c>
      <c r="AH68" t="n">
        <v>7</v>
      </c>
      <c r="AI68" t="n">
        <v>7</v>
      </c>
      <c r="AJ68" t="n">
        <v>17</v>
      </c>
      <c r="AK68" t="n">
        <v>21</v>
      </c>
      <c r="AL68" t="n">
        <v>3</v>
      </c>
      <c r="AM68" t="n">
        <v>4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HYPERLINK("https://creighton-primo.hosted.exlibrisgroup.com/primo-explore/search?tab=default_tab&amp;search_scope=EVERYTHING&amp;vid=01CRU&amp;lang=en_US&amp;offset=0&amp;query=any,contains,991002777349702656","Catalog Record")</f>
        <v/>
      </c>
      <c r="AT68">
        <f>HYPERLINK("http://www.worldcat.org/oclc/439161","WorldCat Record")</f>
        <v/>
      </c>
      <c r="AU68" t="inlineStr">
        <is>
          <t>3901173436:eng</t>
        </is>
      </c>
      <c r="AV68" t="inlineStr">
        <is>
          <t>439161</t>
        </is>
      </c>
      <c r="AW68" t="inlineStr">
        <is>
          <t>991002777349702656</t>
        </is>
      </c>
      <c r="AX68" t="inlineStr">
        <is>
          <t>991002777349702656</t>
        </is>
      </c>
      <c r="AY68" t="inlineStr">
        <is>
          <t>2267798280002656</t>
        </is>
      </c>
      <c r="AZ68" t="inlineStr">
        <is>
          <t>BOOK</t>
        </is>
      </c>
      <c r="BC68" t="inlineStr">
        <is>
          <t>32285000469030</t>
        </is>
      </c>
      <c r="BD68" t="inlineStr">
        <is>
          <t>893792906</t>
        </is>
      </c>
      <c r="BE68" t="inlineStr">
        <is>
          <t>S Brown</t>
        </is>
      </c>
    </row>
    <row r="69">
      <c r="A69" t="inlineStr">
        <is>
          <t>No</t>
        </is>
      </c>
      <c r="B69" t="inlineStr">
        <is>
          <t>BS2417.J4 C5 1984</t>
        </is>
      </c>
      <c r="C69" t="inlineStr">
        <is>
          <t>0                      BS 2417000J  4                  C  5           1984</t>
        </is>
      </c>
      <c r="D69" t="inlineStr">
        <is>
          <t>A Galilean rabbi and his bible : Jesus' use of the interpreted scripture of his time / by Bruce D. Chilton.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Chilton, Bruce.</t>
        </is>
      </c>
      <c r="L69" t="inlineStr">
        <is>
          <t>Wilmington, Del. : M. Glazier, 1984.</t>
        </is>
      </c>
      <c r="M69" t="inlineStr">
        <is>
          <t>1984</t>
        </is>
      </c>
      <c r="O69" t="inlineStr">
        <is>
          <t>eng</t>
        </is>
      </c>
      <c r="P69" t="inlineStr">
        <is>
          <t>deu</t>
        </is>
      </c>
      <c r="Q69" t="inlineStr">
        <is>
          <t>Good news studies ; v. 8</t>
        </is>
      </c>
      <c r="R69" t="inlineStr">
        <is>
          <t xml:space="preserve">BS </t>
        </is>
      </c>
      <c r="S69" t="n">
        <v>5</v>
      </c>
      <c r="T69" t="n">
        <v>5</v>
      </c>
      <c r="U69" t="inlineStr">
        <is>
          <t>2005-12-05</t>
        </is>
      </c>
      <c r="V69" t="inlineStr">
        <is>
          <t>2005-12-05</t>
        </is>
      </c>
      <c r="W69" t="inlineStr">
        <is>
          <t>1991-03-05</t>
        </is>
      </c>
      <c r="X69" t="inlineStr">
        <is>
          <t>1991-03-05</t>
        </is>
      </c>
      <c r="Y69" t="n">
        <v>368</v>
      </c>
      <c r="Z69" t="n">
        <v>298</v>
      </c>
      <c r="AA69" t="n">
        <v>304</v>
      </c>
      <c r="AB69" t="n">
        <v>1</v>
      </c>
      <c r="AC69" t="n">
        <v>1</v>
      </c>
      <c r="AD69" t="n">
        <v>26</v>
      </c>
      <c r="AE69" t="n">
        <v>26</v>
      </c>
      <c r="AF69" t="n">
        <v>12</v>
      </c>
      <c r="AG69" t="n">
        <v>12</v>
      </c>
      <c r="AH69" t="n">
        <v>6</v>
      </c>
      <c r="AI69" t="n">
        <v>6</v>
      </c>
      <c r="AJ69" t="n">
        <v>17</v>
      </c>
      <c r="AK69" t="n">
        <v>17</v>
      </c>
      <c r="AL69" t="n">
        <v>0</v>
      </c>
      <c r="AM69" t="n">
        <v>0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HYPERLINK("http://catalog.hathitrust.org/Record/000394576","HathiTrust Record")</f>
        <v/>
      </c>
      <c r="AS69">
        <f>HYPERLINK("https://creighton-primo.hosted.exlibrisgroup.com/primo-explore/search?tab=default_tab&amp;search_scope=EVERYTHING&amp;vid=01CRU&amp;lang=en_US&amp;offset=0&amp;query=any,contains,991000381709702656","Catalog Record")</f>
        <v/>
      </c>
      <c r="AT69">
        <f>HYPERLINK("http://www.worldcat.org/oclc/10502550","WorldCat Record")</f>
        <v/>
      </c>
      <c r="AU69" t="inlineStr">
        <is>
          <t>2794631:eng</t>
        </is>
      </c>
      <c r="AV69" t="inlineStr">
        <is>
          <t>10502550</t>
        </is>
      </c>
      <c r="AW69" t="inlineStr">
        <is>
          <t>991000381709702656</t>
        </is>
      </c>
      <c r="AX69" t="inlineStr">
        <is>
          <t>991000381709702656</t>
        </is>
      </c>
      <c r="AY69" t="inlineStr">
        <is>
          <t>2257294080002656</t>
        </is>
      </c>
      <c r="AZ69" t="inlineStr">
        <is>
          <t>BOOK</t>
        </is>
      </c>
      <c r="BB69" t="inlineStr">
        <is>
          <t>9780894533747</t>
        </is>
      </c>
      <c r="BC69" t="inlineStr">
        <is>
          <t>32285000469246</t>
        </is>
      </c>
      <c r="BD69" t="inlineStr">
        <is>
          <t>893790453</t>
        </is>
      </c>
      <c r="BE69" t="inlineStr">
        <is>
          <t>S Brown</t>
        </is>
      </c>
    </row>
    <row r="70">
      <c r="A70" t="inlineStr">
        <is>
          <t>No</t>
        </is>
      </c>
      <c r="B70" t="inlineStr">
        <is>
          <t>BS2417.P6 H67 1987</t>
        </is>
      </c>
      <c r="C70" t="inlineStr">
        <is>
          <t>0                      BS 2417000P  6                  H  67          1987</t>
        </is>
      </c>
      <c r="D70" t="inlineStr">
        <is>
          <t>Jesus and the spiral of violence : popular Jewish resistance in Roman Palestine / Richard A. Horsley.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Yes</t>
        </is>
      </c>
      <c r="J70" t="inlineStr">
        <is>
          <t>0</t>
        </is>
      </c>
      <c r="K70" t="inlineStr">
        <is>
          <t>Horsley, Richard A.</t>
        </is>
      </c>
      <c r="L70" t="inlineStr">
        <is>
          <t>San Francisco : Harper &amp; Row, c1987.</t>
        </is>
      </c>
      <c r="M70" t="inlineStr">
        <is>
          <t>1987</t>
        </is>
      </c>
      <c r="N70" t="inlineStr">
        <is>
          <t>1st ed.</t>
        </is>
      </c>
      <c r="O70" t="inlineStr">
        <is>
          <t>eng</t>
        </is>
      </c>
      <c r="P70" t="inlineStr">
        <is>
          <t>cau</t>
        </is>
      </c>
      <c r="R70" t="inlineStr">
        <is>
          <t xml:space="preserve">BS </t>
        </is>
      </c>
      <c r="S70" t="n">
        <v>8</v>
      </c>
      <c r="T70" t="n">
        <v>8</v>
      </c>
      <c r="U70" t="inlineStr">
        <is>
          <t>2008-03-14</t>
        </is>
      </c>
      <c r="V70" t="inlineStr">
        <is>
          <t>2008-03-14</t>
        </is>
      </c>
      <c r="W70" t="inlineStr">
        <is>
          <t>1990-04-03</t>
        </is>
      </c>
      <c r="X70" t="inlineStr">
        <is>
          <t>1990-04-03</t>
        </is>
      </c>
      <c r="Y70" t="n">
        <v>507</v>
      </c>
      <c r="Z70" t="n">
        <v>425</v>
      </c>
      <c r="AA70" t="n">
        <v>553</v>
      </c>
      <c r="AB70" t="n">
        <v>2</v>
      </c>
      <c r="AC70" t="n">
        <v>4</v>
      </c>
      <c r="AD70" t="n">
        <v>30</v>
      </c>
      <c r="AE70" t="n">
        <v>38</v>
      </c>
      <c r="AF70" t="n">
        <v>14</v>
      </c>
      <c r="AG70" t="n">
        <v>15</v>
      </c>
      <c r="AH70" t="n">
        <v>5</v>
      </c>
      <c r="AI70" t="n">
        <v>8</v>
      </c>
      <c r="AJ70" t="n">
        <v>18</v>
      </c>
      <c r="AK70" t="n">
        <v>21</v>
      </c>
      <c r="AL70" t="n">
        <v>1</v>
      </c>
      <c r="AM70" t="n">
        <v>3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HYPERLINK("http://catalog.hathitrust.org/Record/000829173","HathiTrust Record")</f>
        <v/>
      </c>
      <c r="AS70">
        <f>HYPERLINK("https://creighton-primo.hosted.exlibrisgroup.com/primo-explore/search?tab=default_tab&amp;search_scope=EVERYTHING&amp;vid=01CRU&amp;lang=en_US&amp;offset=0&amp;query=any,contains,991000982599702656","Catalog Record")</f>
        <v/>
      </c>
      <c r="AT70">
        <f>HYPERLINK("http://www.worldcat.org/oclc/15053050","WorldCat Record")</f>
        <v/>
      </c>
      <c r="AU70" t="inlineStr">
        <is>
          <t>351132:eng</t>
        </is>
      </c>
      <c r="AV70" t="inlineStr">
        <is>
          <t>15053050</t>
        </is>
      </c>
      <c r="AW70" t="inlineStr">
        <is>
          <t>991000982599702656</t>
        </is>
      </c>
      <c r="AX70" t="inlineStr">
        <is>
          <t>991000982599702656</t>
        </is>
      </c>
      <c r="AY70" t="inlineStr">
        <is>
          <t>2257149730002656</t>
        </is>
      </c>
      <c r="AZ70" t="inlineStr">
        <is>
          <t>BOOK</t>
        </is>
      </c>
      <c r="BB70" t="inlineStr">
        <is>
          <t>9780062544483</t>
        </is>
      </c>
      <c r="BC70" t="inlineStr">
        <is>
          <t>32285000109081</t>
        </is>
      </c>
      <c r="BD70" t="inlineStr">
        <is>
          <t>893720894</t>
        </is>
      </c>
      <c r="BE70" t="inlineStr">
        <is>
          <t>ZB Smith</t>
        </is>
      </c>
    </row>
    <row r="71">
      <c r="A71" t="inlineStr">
        <is>
          <t>No</t>
        </is>
      </c>
      <c r="B71" t="inlineStr">
        <is>
          <t>BS2456 .T38 1997</t>
        </is>
      </c>
      <c r="C71" t="inlineStr">
        <is>
          <t>0                      BS 2456000T  38          1997</t>
        </is>
      </c>
      <c r="D71" t="inlineStr">
        <is>
          <t>The immerser : John the Baptist within Second Temple Judaism / Joan E. Taylor.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Taylor, Joan E.</t>
        </is>
      </c>
      <c r="L71" t="inlineStr">
        <is>
          <t>Grand Rapids, Mich. : W.B. Eerdmans Pub. Co., c1997.</t>
        </is>
      </c>
      <c r="M71" t="inlineStr">
        <is>
          <t>1997</t>
        </is>
      </c>
      <c r="O71" t="inlineStr">
        <is>
          <t>eng</t>
        </is>
      </c>
      <c r="P71" t="inlineStr">
        <is>
          <t>miu</t>
        </is>
      </c>
      <c r="Q71" t="inlineStr">
        <is>
          <t>Studying the historical Jesus</t>
        </is>
      </c>
      <c r="R71" t="inlineStr">
        <is>
          <t xml:space="preserve">BS </t>
        </is>
      </c>
      <c r="S71" t="n">
        <v>8</v>
      </c>
      <c r="T71" t="n">
        <v>8</v>
      </c>
      <c r="U71" t="inlineStr">
        <is>
          <t>2010-03-29</t>
        </is>
      </c>
      <c r="V71" t="inlineStr">
        <is>
          <t>2010-03-29</t>
        </is>
      </c>
      <c r="W71" t="inlineStr">
        <is>
          <t>1998-08-24</t>
        </is>
      </c>
      <c r="X71" t="inlineStr">
        <is>
          <t>1998-08-24</t>
        </is>
      </c>
      <c r="Y71" t="n">
        <v>496</v>
      </c>
      <c r="Z71" t="n">
        <v>407</v>
      </c>
      <c r="AA71" t="n">
        <v>407</v>
      </c>
      <c r="AB71" t="n">
        <v>3</v>
      </c>
      <c r="AC71" t="n">
        <v>3</v>
      </c>
      <c r="AD71" t="n">
        <v>32</v>
      </c>
      <c r="AE71" t="n">
        <v>32</v>
      </c>
      <c r="AF71" t="n">
        <v>14</v>
      </c>
      <c r="AG71" t="n">
        <v>14</v>
      </c>
      <c r="AH71" t="n">
        <v>6</v>
      </c>
      <c r="AI71" t="n">
        <v>6</v>
      </c>
      <c r="AJ71" t="n">
        <v>18</v>
      </c>
      <c r="AK71" t="n">
        <v>18</v>
      </c>
      <c r="AL71" t="n">
        <v>2</v>
      </c>
      <c r="AM71" t="n">
        <v>2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HYPERLINK("https://creighton-primo.hosted.exlibrisgroup.com/primo-explore/search?tab=default_tab&amp;search_scope=EVERYTHING&amp;vid=01CRU&amp;lang=en_US&amp;offset=0&amp;query=any,contains,991002772379702656","Catalog Record")</f>
        <v/>
      </c>
      <c r="AT71">
        <f>HYPERLINK("http://www.worldcat.org/oclc/36407776","WorldCat Record")</f>
        <v/>
      </c>
      <c r="AU71" t="inlineStr">
        <is>
          <t>3901347030:eng</t>
        </is>
      </c>
      <c r="AV71" t="inlineStr">
        <is>
          <t>36407776</t>
        </is>
      </c>
      <c r="AW71" t="inlineStr">
        <is>
          <t>991002772379702656</t>
        </is>
      </c>
      <c r="AX71" t="inlineStr">
        <is>
          <t>991002772379702656</t>
        </is>
      </c>
      <c r="AY71" t="inlineStr">
        <is>
          <t>2257390210002656</t>
        </is>
      </c>
      <c r="AZ71" t="inlineStr">
        <is>
          <t>BOOK</t>
        </is>
      </c>
      <c r="BB71" t="inlineStr">
        <is>
          <t>9780802842367</t>
        </is>
      </c>
      <c r="BC71" t="inlineStr">
        <is>
          <t>32285003461042</t>
        </is>
      </c>
      <c r="BD71" t="inlineStr">
        <is>
          <t>893886700</t>
        </is>
      </c>
      <c r="BE71" t="inlineStr">
        <is>
          <t>S Brown</t>
        </is>
      </c>
    </row>
    <row r="72">
      <c r="A72" t="inlineStr">
        <is>
          <t>No</t>
        </is>
      </c>
      <c r="B72" t="inlineStr">
        <is>
          <t>BS2506 .U8513</t>
        </is>
      </c>
      <c r="C72" t="inlineStr">
        <is>
          <t>0                      BS 2506000U  8513</t>
        </is>
      </c>
      <c r="D72" t="inlineStr">
        <is>
          <t>Tarsus or Jerusalem, the city of Paul's youth. Translated out of the Dutch by George Ogg.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Unnik, W. C. van (Willem Cornelis), 1910-1978.</t>
        </is>
      </c>
      <c r="L72" t="inlineStr">
        <is>
          <t>London, Epworth Press [1962]</t>
        </is>
      </c>
      <c r="M72" t="inlineStr">
        <is>
          <t>1962</t>
        </is>
      </c>
      <c r="O72" t="inlineStr">
        <is>
          <t>eng</t>
        </is>
      </c>
      <c r="P72" t="inlineStr">
        <is>
          <t>enk</t>
        </is>
      </c>
      <c r="R72" t="inlineStr">
        <is>
          <t xml:space="preserve">BS </t>
        </is>
      </c>
      <c r="S72" t="n">
        <v>2</v>
      </c>
      <c r="T72" t="n">
        <v>2</v>
      </c>
      <c r="U72" t="inlineStr">
        <is>
          <t>1998-09-02</t>
        </is>
      </c>
      <c r="V72" t="inlineStr">
        <is>
          <t>1998-09-02</t>
        </is>
      </c>
      <c r="W72" t="inlineStr">
        <is>
          <t>1991-03-11</t>
        </is>
      </c>
      <c r="X72" t="inlineStr">
        <is>
          <t>1991-03-11</t>
        </is>
      </c>
      <c r="Y72" t="n">
        <v>248</v>
      </c>
      <c r="Z72" t="n">
        <v>175</v>
      </c>
      <c r="AA72" t="n">
        <v>177</v>
      </c>
      <c r="AB72" t="n">
        <v>3</v>
      </c>
      <c r="AC72" t="n">
        <v>3</v>
      </c>
      <c r="AD72" t="n">
        <v>14</v>
      </c>
      <c r="AE72" t="n">
        <v>14</v>
      </c>
      <c r="AF72" t="n">
        <v>6</v>
      </c>
      <c r="AG72" t="n">
        <v>6</v>
      </c>
      <c r="AH72" t="n">
        <v>3</v>
      </c>
      <c r="AI72" t="n">
        <v>3</v>
      </c>
      <c r="AJ72" t="n">
        <v>5</v>
      </c>
      <c r="AK72" t="n">
        <v>5</v>
      </c>
      <c r="AL72" t="n">
        <v>2</v>
      </c>
      <c r="AM72" t="n">
        <v>2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HYPERLINK("https://creighton-primo.hosted.exlibrisgroup.com/primo-explore/search?tab=default_tab&amp;search_scope=EVERYTHING&amp;vid=01CRU&amp;lang=en_US&amp;offset=0&amp;query=any,contains,991002818889702656","Catalog Record")</f>
        <v/>
      </c>
      <c r="AT72">
        <f>HYPERLINK("http://www.worldcat.org/oclc/465512","WorldCat Record")</f>
        <v/>
      </c>
      <c r="AU72" t="inlineStr">
        <is>
          <t>11074109:eng</t>
        </is>
      </c>
      <c r="AV72" t="inlineStr">
        <is>
          <t>465512</t>
        </is>
      </c>
      <c r="AW72" t="inlineStr">
        <is>
          <t>991002818889702656</t>
        </is>
      </c>
      <c r="AX72" t="inlineStr">
        <is>
          <t>991002818889702656</t>
        </is>
      </c>
      <c r="AY72" t="inlineStr">
        <is>
          <t>2259945730002656</t>
        </is>
      </c>
      <c r="AZ72" t="inlineStr">
        <is>
          <t>BOOK</t>
        </is>
      </c>
      <c r="BC72" t="inlineStr">
        <is>
          <t>32285000469923</t>
        </is>
      </c>
      <c r="BD72" t="inlineStr">
        <is>
          <t>893428084</t>
        </is>
      </c>
      <c r="BE72" t="inlineStr">
        <is>
          <t>S Brown</t>
        </is>
      </c>
    </row>
    <row r="73">
      <c r="A73" t="inlineStr">
        <is>
          <t>No</t>
        </is>
      </c>
      <c r="B73" t="inlineStr">
        <is>
          <t>BS2506 .W37 1986</t>
        </is>
      </c>
      <c r="C73" t="inlineStr">
        <is>
          <t>0                      BS 2506000W  37          1986</t>
        </is>
      </c>
      <c r="D73" t="inlineStr">
        <is>
          <t>Paul, Judaism, and the gentiles : a sociological approach / Francis Watson.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Watson, Francis, 1956-</t>
        </is>
      </c>
      <c r="L73" t="inlineStr">
        <is>
          <t>Cambridge [Cambridgeshire] ; New York : Cambridge University Press, 1986.</t>
        </is>
      </c>
      <c r="M73" t="inlineStr">
        <is>
          <t>1986</t>
        </is>
      </c>
      <c r="O73" t="inlineStr">
        <is>
          <t>eng</t>
        </is>
      </c>
      <c r="P73" t="inlineStr">
        <is>
          <t>enk</t>
        </is>
      </c>
      <c r="Q73" t="inlineStr">
        <is>
          <t>Monograph series (Society for New Testament Studies) ; 56</t>
        </is>
      </c>
      <c r="R73" t="inlineStr">
        <is>
          <t xml:space="preserve">BS </t>
        </is>
      </c>
      <c r="S73" t="n">
        <v>3</v>
      </c>
      <c r="T73" t="n">
        <v>3</v>
      </c>
      <c r="U73" t="inlineStr">
        <is>
          <t>1996-10-28</t>
        </is>
      </c>
      <c r="V73" t="inlineStr">
        <is>
          <t>1996-10-28</t>
        </is>
      </c>
      <c r="W73" t="inlineStr">
        <is>
          <t>1990-05-03</t>
        </is>
      </c>
      <c r="X73" t="inlineStr">
        <is>
          <t>1990-05-03</t>
        </is>
      </c>
      <c r="Y73" t="n">
        <v>615</v>
      </c>
      <c r="Z73" t="n">
        <v>459</v>
      </c>
      <c r="AA73" t="n">
        <v>498</v>
      </c>
      <c r="AB73" t="n">
        <v>2</v>
      </c>
      <c r="AC73" t="n">
        <v>2</v>
      </c>
      <c r="AD73" t="n">
        <v>28</v>
      </c>
      <c r="AE73" t="n">
        <v>29</v>
      </c>
      <c r="AF73" t="n">
        <v>11</v>
      </c>
      <c r="AG73" t="n">
        <v>12</v>
      </c>
      <c r="AH73" t="n">
        <v>7</v>
      </c>
      <c r="AI73" t="n">
        <v>7</v>
      </c>
      <c r="AJ73" t="n">
        <v>16</v>
      </c>
      <c r="AK73" t="n">
        <v>16</v>
      </c>
      <c r="AL73" t="n">
        <v>1</v>
      </c>
      <c r="AM73" t="n">
        <v>1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HYPERLINK("http://catalog.hathitrust.org/Record/000486115","HathiTrust Record")</f>
        <v/>
      </c>
      <c r="AS73">
        <f>HYPERLINK("https://creighton-primo.hosted.exlibrisgroup.com/primo-explore/search?tab=default_tab&amp;search_scope=EVERYTHING&amp;vid=01CRU&amp;lang=en_US&amp;offset=0&amp;query=any,contains,991000811859702656","Catalog Record")</f>
        <v/>
      </c>
      <c r="AT73">
        <f>HYPERLINK("http://www.worldcat.org/oclc/13332626","WorldCat Record")</f>
        <v/>
      </c>
      <c r="AU73" t="inlineStr">
        <is>
          <t>836626254:eng</t>
        </is>
      </c>
      <c r="AV73" t="inlineStr">
        <is>
          <t>13332626</t>
        </is>
      </c>
      <c r="AW73" t="inlineStr">
        <is>
          <t>991000811859702656</t>
        </is>
      </c>
      <c r="AX73" t="inlineStr">
        <is>
          <t>991000811859702656</t>
        </is>
      </c>
      <c r="AY73" t="inlineStr">
        <is>
          <t>2263140800002656</t>
        </is>
      </c>
      <c r="AZ73" t="inlineStr">
        <is>
          <t>BOOK</t>
        </is>
      </c>
      <c r="BB73" t="inlineStr">
        <is>
          <t>9780521325738</t>
        </is>
      </c>
      <c r="BC73" t="inlineStr">
        <is>
          <t>32285000148337</t>
        </is>
      </c>
      <c r="BD73" t="inlineStr">
        <is>
          <t>893231431</t>
        </is>
      </c>
      <c r="BE73" t="inlineStr">
        <is>
          <t>S Brown</t>
        </is>
      </c>
    </row>
    <row r="74">
      <c r="A74" t="inlineStr">
        <is>
          <t>No</t>
        </is>
      </c>
      <c r="B74" t="inlineStr">
        <is>
          <t>BS2545.A8 H46 1981</t>
        </is>
      </c>
      <c r="C74" t="inlineStr">
        <is>
          <t>0                      BS 2545000A  8                  H  46          1981</t>
        </is>
      </c>
      <c r="D74" t="inlineStr">
        <is>
          <t>The atonement : the origins of the doctrine in the New Testament / Martin Hengel.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Hengel, Martin.</t>
        </is>
      </c>
      <c r="L74" t="inlineStr">
        <is>
          <t>Philadelphia : Fortress Press, 1981.</t>
        </is>
      </c>
      <c r="M74" t="inlineStr">
        <is>
          <t>1981</t>
        </is>
      </c>
      <c r="N74" t="inlineStr">
        <is>
          <t>1st American ed.</t>
        </is>
      </c>
      <c r="O74" t="inlineStr">
        <is>
          <t>eng</t>
        </is>
      </c>
      <c r="P74" t="inlineStr">
        <is>
          <t>pau</t>
        </is>
      </c>
      <c r="R74" t="inlineStr">
        <is>
          <t xml:space="preserve">BS </t>
        </is>
      </c>
      <c r="S74" t="n">
        <v>9</v>
      </c>
      <c r="T74" t="n">
        <v>9</v>
      </c>
      <c r="U74" t="inlineStr">
        <is>
          <t>2008-10-17</t>
        </is>
      </c>
      <c r="V74" t="inlineStr">
        <is>
          <t>2008-10-17</t>
        </is>
      </c>
      <c r="W74" t="inlineStr">
        <is>
          <t>1991-03-19</t>
        </is>
      </c>
      <c r="X74" t="inlineStr">
        <is>
          <t>1991-03-19</t>
        </is>
      </c>
      <c r="Y74" t="n">
        <v>487</v>
      </c>
      <c r="Z74" t="n">
        <v>425</v>
      </c>
      <c r="AA74" t="n">
        <v>450</v>
      </c>
      <c r="AB74" t="n">
        <v>2</v>
      </c>
      <c r="AC74" t="n">
        <v>3</v>
      </c>
      <c r="AD74" t="n">
        <v>29</v>
      </c>
      <c r="AE74" t="n">
        <v>31</v>
      </c>
      <c r="AF74" t="n">
        <v>15</v>
      </c>
      <c r="AG74" t="n">
        <v>16</v>
      </c>
      <c r="AH74" t="n">
        <v>6</v>
      </c>
      <c r="AI74" t="n">
        <v>7</v>
      </c>
      <c r="AJ74" t="n">
        <v>17</v>
      </c>
      <c r="AK74" t="n">
        <v>17</v>
      </c>
      <c r="AL74" t="n">
        <v>0</v>
      </c>
      <c r="AM74" t="n">
        <v>1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HYPERLINK("https://creighton-primo.hosted.exlibrisgroup.com/primo-explore/search?tab=default_tab&amp;search_scope=EVERYTHING&amp;vid=01CRU&amp;lang=en_US&amp;offset=0&amp;query=any,contains,991005095009702656","Catalog Record")</f>
        <v/>
      </c>
      <c r="AT74">
        <f>HYPERLINK("http://www.worldcat.org/oclc/7272106","WorldCat Record")</f>
        <v/>
      </c>
      <c r="AU74" t="inlineStr">
        <is>
          <t>864086041:eng</t>
        </is>
      </c>
      <c r="AV74" t="inlineStr">
        <is>
          <t>7272106</t>
        </is>
      </c>
      <c r="AW74" t="inlineStr">
        <is>
          <t>991005095009702656</t>
        </is>
      </c>
      <c r="AX74" t="inlineStr">
        <is>
          <t>991005095009702656</t>
        </is>
      </c>
      <c r="AY74" t="inlineStr">
        <is>
          <t>2261468310002656</t>
        </is>
      </c>
      <c r="AZ74" t="inlineStr">
        <is>
          <t>BOOK</t>
        </is>
      </c>
      <c r="BB74" t="inlineStr">
        <is>
          <t>9780800614461</t>
        </is>
      </c>
      <c r="BC74" t="inlineStr">
        <is>
          <t>32285000555168</t>
        </is>
      </c>
      <c r="BD74" t="inlineStr">
        <is>
          <t>893350696</t>
        </is>
      </c>
      <c r="BE74" t="inlineStr">
        <is>
          <t>S Brown</t>
        </is>
      </c>
    </row>
    <row r="75">
      <c r="A75" t="inlineStr">
        <is>
          <t>No</t>
        </is>
      </c>
      <c r="B75" t="inlineStr">
        <is>
          <t>BS2545.C59 G38 1986</t>
        </is>
      </c>
      <c r="C75" t="inlineStr">
        <is>
          <t>0                      BS 2545000C  59                 G  38          1986</t>
        </is>
      </c>
      <c r="D75" t="inlineStr">
        <is>
          <t>From darkness to light : aspects of conversion in the New Testament / Beverly Roberts Gaventa.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Gaventa, Beverly Roberts.</t>
        </is>
      </c>
      <c r="L75" t="inlineStr">
        <is>
          <t>Philadelphia : Fortress Press, c1986.</t>
        </is>
      </c>
      <c r="M75" t="inlineStr">
        <is>
          <t>1986</t>
        </is>
      </c>
      <c r="O75" t="inlineStr">
        <is>
          <t>eng</t>
        </is>
      </c>
      <c r="P75" t="inlineStr">
        <is>
          <t>pau</t>
        </is>
      </c>
      <c r="Q75" t="inlineStr">
        <is>
          <t>Overtures to biblical theology ; 20</t>
        </is>
      </c>
      <c r="R75" t="inlineStr">
        <is>
          <t xml:space="preserve">BS </t>
        </is>
      </c>
      <c r="S75" t="n">
        <v>8</v>
      </c>
      <c r="T75" t="n">
        <v>8</v>
      </c>
      <c r="U75" t="inlineStr">
        <is>
          <t>2009-03-10</t>
        </is>
      </c>
      <c r="V75" t="inlineStr">
        <is>
          <t>2009-03-10</t>
        </is>
      </c>
      <c r="W75" t="inlineStr">
        <is>
          <t>1991-03-19</t>
        </is>
      </c>
      <c r="X75" t="inlineStr">
        <is>
          <t>1991-03-19</t>
        </is>
      </c>
      <c r="Y75" t="n">
        <v>383</v>
      </c>
      <c r="Z75" t="n">
        <v>302</v>
      </c>
      <c r="AA75" t="n">
        <v>306</v>
      </c>
      <c r="AB75" t="n">
        <v>1</v>
      </c>
      <c r="AC75" t="n">
        <v>1</v>
      </c>
      <c r="AD75" t="n">
        <v>20</v>
      </c>
      <c r="AE75" t="n">
        <v>20</v>
      </c>
      <c r="AF75" t="n">
        <v>6</v>
      </c>
      <c r="AG75" t="n">
        <v>6</v>
      </c>
      <c r="AH75" t="n">
        <v>5</v>
      </c>
      <c r="AI75" t="n">
        <v>5</v>
      </c>
      <c r="AJ75" t="n">
        <v>14</v>
      </c>
      <c r="AK75" t="n">
        <v>14</v>
      </c>
      <c r="AL75" t="n">
        <v>0</v>
      </c>
      <c r="AM75" t="n">
        <v>0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HYPERLINK("http://catalog.hathitrust.org/Record/000490745","HathiTrust Record")</f>
        <v/>
      </c>
      <c r="AS75">
        <f>HYPERLINK("https://creighton-primo.hosted.exlibrisgroup.com/primo-explore/search?tab=default_tab&amp;search_scope=EVERYTHING&amp;vid=01CRU&amp;lang=en_US&amp;offset=0&amp;query=any,contains,991000721569702656","Catalog Record")</f>
        <v/>
      </c>
      <c r="AT75">
        <f>HYPERLINK("http://www.worldcat.org/oclc/12666557","WorldCat Record")</f>
        <v/>
      </c>
      <c r="AU75" t="inlineStr">
        <is>
          <t>890175167:eng</t>
        </is>
      </c>
      <c r="AV75" t="inlineStr">
        <is>
          <t>12666557</t>
        </is>
      </c>
      <c r="AW75" t="inlineStr">
        <is>
          <t>991000721569702656</t>
        </is>
      </c>
      <c r="AX75" t="inlineStr">
        <is>
          <t>991000721569702656</t>
        </is>
      </c>
      <c r="AY75" t="inlineStr">
        <is>
          <t>2265918170002656</t>
        </is>
      </c>
      <c r="AZ75" t="inlineStr">
        <is>
          <t>BOOK</t>
        </is>
      </c>
      <c r="BB75" t="inlineStr">
        <is>
          <t>9780800615451</t>
        </is>
      </c>
      <c r="BC75" t="inlineStr">
        <is>
          <t>32285000555259</t>
        </is>
      </c>
      <c r="BD75" t="inlineStr">
        <is>
          <t>893534287</t>
        </is>
      </c>
      <c r="BE75" t="inlineStr">
        <is>
          <t>S Brown</t>
        </is>
      </c>
    </row>
    <row r="76">
      <c r="A76" t="inlineStr">
        <is>
          <t>No</t>
        </is>
      </c>
      <c r="B76" t="inlineStr">
        <is>
          <t>BS2545.D45 L4513 1986</t>
        </is>
      </c>
      <c r="C76" t="inlineStr">
        <is>
          <t>0                      BS 2545000D  45                 L  4513        1986</t>
        </is>
      </c>
      <c r="D76" t="inlineStr">
        <is>
          <t>Life and death in the New Testament : the teachings of Jesus and Paul / Xavier Léon-Dufour ; translated from the French by Terrence Prendergast.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Léon-Dufour, Xavier.</t>
        </is>
      </c>
      <c r="L76" t="inlineStr">
        <is>
          <t>San Francisco : Harper &amp; Row, c1986.</t>
        </is>
      </c>
      <c r="M76" t="inlineStr">
        <is>
          <t>1986</t>
        </is>
      </c>
      <c r="N76" t="inlineStr">
        <is>
          <t>1st ed.</t>
        </is>
      </c>
      <c r="O76" t="inlineStr">
        <is>
          <t>eng</t>
        </is>
      </c>
      <c r="P76" t="inlineStr">
        <is>
          <t>cau</t>
        </is>
      </c>
      <c r="R76" t="inlineStr">
        <is>
          <t xml:space="preserve">BS </t>
        </is>
      </c>
      <c r="S76" t="n">
        <v>2</v>
      </c>
      <c r="T76" t="n">
        <v>2</v>
      </c>
      <c r="U76" t="inlineStr">
        <is>
          <t>1995-11-11</t>
        </is>
      </c>
      <c r="V76" t="inlineStr">
        <is>
          <t>1995-11-11</t>
        </is>
      </c>
      <c r="W76" t="inlineStr">
        <is>
          <t>1991-03-19</t>
        </is>
      </c>
      <c r="X76" t="inlineStr">
        <is>
          <t>1991-03-19</t>
        </is>
      </c>
      <c r="Y76" t="n">
        <v>458</v>
      </c>
      <c r="Z76" t="n">
        <v>396</v>
      </c>
      <c r="AA76" t="n">
        <v>403</v>
      </c>
      <c r="AB76" t="n">
        <v>4</v>
      </c>
      <c r="AC76" t="n">
        <v>4</v>
      </c>
      <c r="AD76" t="n">
        <v>33</v>
      </c>
      <c r="AE76" t="n">
        <v>33</v>
      </c>
      <c r="AF76" t="n">
        <v>11</v>
      </c>
      <c r="AG76" t="n">
        <v>11</v>
      </c>
      <c r="AH76" t="n">
        <v>6</v>
      </c>
      <c r="AI76" t="n">
        <v>6</v>
      </c>
      <c r="AJ76" t="n">
        <v>23</v>
      </c>
      <c r="AK76" t="n">
        <v>23</v>
      </c>
      <c r="AL76" t="n">
        <v>2</v>
      </c>
      <c r="AM76" t="n">
        <v>2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HYPERLINK("http://catalog.hathitrust.org/Record/000556832","HathiTrust Record")</f>
        <v/>
      </c>
      <c r="AS76">
        <f>HYPERLINK("https://creighton-primo.hosted.exlibrisgroup.com/primo-explore/search?tab=default_tab&amp;search_scope=EVERYTHING&amp;vid=01CRU&amp;lang=en_US&amp;offset=0&amp;query=any,contains,991000860049702656","Catalog Record")</f>
        <v/>
      </c>
      <c r="AT76">
        <f>HYPERLINK("http://www.worldcat.org/oclc/13670737","WorldCat Record")</f>
        <v/>
      </c>
      <c r="AU76" t="inlineStr">
        <is>
          <t>403794:eng</t>
        </is>
      </c>
      <c r="AV76" t="inlineStr">
        <is>
          <t>13670737</t>
        </is>
      </c>
      <c r="AW76" t="inlineStr">
        <is>
          <t>991000860049702656</t>
        </is>
      </c>
      <c r="AX76" t="inlineStr">
        <is>
          <t>991000860049702656</t>
        </is>
      </c>
      <c r="AY76" t="inlineStr">
        <is>
          <t>2254778000002656</t>
        </is>
      </c>
      <c r="AZ76" t="inlineStr">
        <is>
          <t>BOOK</t>
        </is>
      </c>
      <c r="BB76" t="inlineStr">
        <is>
          <t>9780060601942</t>
        </is>
      </c>
      <c r="BC76" t="inlineStr">
        <is>
          <t>32285000555267</t>
        </is>
      </c>
      <c r="BD76" t="inlineStr">
        <is>
          <t>893708774</t>
        </is>
      </c>
      <c r="BE76" t="inlineStr">
        <is>
          <t>S Brown</t>
        </is>
      </c>
    </row>
    <row r="77">
      <c r="A77" t="inlineStr">
        <is>
          <t>No</t>
        </is>
      </c>
      <c r="B77" t="inlineStr">
        <is>
          <t>BS2545.F35 K87 1990</t>
        </is>
      </c>
      <c r="C77" t="inlineStr">
        <is>
          <t>0                      BS 2545000F  35                 K  87          1990</t>
        </is>
      </c>
      <c r="D77" t="inlineStr">
        <is>
          <t>Farewell addresses in the New Testament / by William S. Kurz.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Kurz, William S., 1939-</t>
        </is>
      </c>
      <c r="L77" t="inlineStr">
        <is>
          <t>Collegeville, Minn. : Liturgical Press, c1990.</t>
        </is>
      </c>
      <c r="M77" t="inlineStr">
        <is>
          <t>1990</t>
        </is>
      </c>
      <c r="O77" t="inlineStr">
        <is>
          <t>eng</t>
        </is>
      </c>
      <c r="P77" t="inlineStr">
        <is>
          <t>mnu</t>
        </is>
      </c>
      <c r="Q77" t="inlineStr">
        <is>
          <t>Zacchaeus studies. New Testament</t>
        </is>
      </c>
      <c r="R77" t="inlineStr">
        <is>
          <t xml:space="preserve">BS </t>
        </is>
      </c>
      <c r="S77" t="n">
        <v>7</v>
      </c>
      <c r="T77" t="n">
        <v>7</v>
      </c>
      <c r="U77" t="inlineStr">
        <is>
          <t>2006-03-29</t>
        </is>
      </c>
      <c r="V77" t="inlineStr">
        <is>
          <t>2006-03-29</t>
        </is>
      </c>
      <c r="W77" t="inlineStr">
        <is>
          <t>1990-12-04</t>
        </is>
      </c>
      <c r="X77" t="inlineStr">
        <is>
          <t>1990-12-04</t>
        </is>
      </c>
      <c r="Y77" t="n">
        <v>210</v>
      </c>
      <c r="Z77" t="n">
        <v>170</v>
      </c>
      <c r="AA77" t="n">
        <v>170</v>
      </c>
      <c r="AB77" t="n">
        <v>1</v>
      </c>
      <c r="AC77" t="n">
        <v>1</v>
      </c>
      <c r="AD77" t="n">
        <v>20</v>
      </c>
      <c r="AE77" t="n">
        <v>20</v>
      </c>
      <c r="AF77" t="n">
        <v>9</v>
      </c>
      <c r="AG77" t="n">
        <v>9</v>
      </c>
      <c r="AH77" t="n">
        <v>5</v>
      </c>
      <c r="AI77" t="n">
        <v>5</v>
      </c>
      <c r="AJ77" t="n">
        <v>13</v>
      </c>
      <c r="AK77" t="n">
        <v>13</v>
      </c>
      <c r="AL77" t="n">
        <v>0</v>
      </c>
      <c r="AM77" t="n">
        <v>0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HYPERLINK("https://creighton-primo.hosted.exlibrisgroup.com/primo-explore/search?tab=default_tab&amp;search_scope=EVERYTHING&amp;vid=01CRU&amp;lang=en_US&amp;offset=0&amp;query=any,contains,991001677309702656","Catalog Record")</f>
        <v/>
      </c>
      <c r="AT77">
        <f>HYPERLINK("http://www.worldcat.org/oclc/21333490","WorldCat Record")</f>
        <v/>
      </c>
      <c r="AU77" t="inlineStr">
        <is>
          <t>23413097:eng</t>
        </is>
      </c>
      <c r="AV77" t="inlineStr">
        <is>
          <t>21333490</t>
        </is>
      </c>
      <c r="AW77" t="inlineStr">
        <is>
          <t>991001677309702656</t>
        </is>
      </c>
      <c r="AX77" t="inlineStr">
        <is>
          <t>991001677309702656</t>
        </is>
      </c>
      <c r="AY77" t="inlineStr">
        <is>
          <t>2262402070002656</t>
        </is>
      </c>
      <c r="AZ77" t="inlineStr">
        <is>
          <t>BOOK</t>
        </is>
      </c>
      <c r="BB77" t="inlineStr">
        <is>
          <t>9780814657515</t>
        </is>
      </c>
      <c r="BC77" t="inlineStr">
        <is>
          <t>32285000357698</t>
        </is>
      </c>
      <c r="BD77" t="inlineStr">
        <is>
          <t>893315955</t>
        </is>
      </c>
      <c r="BE77" t="inlineStr">
        <is>
          <t>S Brown</t>
        </is>
      </c>
    </row>
    <row r="78">
      <c r="A78" t="inlineStr">
        <is>
          <t>No</t>
        </is>
      </c>
      <c r="B78" t="inlineStr">
        <is>
          <t>BS2545.H634 D47 1999</t>
        </is>
      </c>
      <c r="C78" t="inlineStr">
        <is>
          <t>0                      BS 2545000H  634                D  47          1999</t>
        </is>
      </c>
      <c r="D78" t="inlineStr">
        <is>
          <t>The hope of glory : honor discourse and New Testament interpretation / David A. deSilva.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DeSilva, David Arthur.</t>
        </is>
      </c>
      <c r="L78" t="inlineStr">
        <is>
          <t>Collegeville, Minn. : Liturgical Press, c1999.</t>
        </is>
      </c>
      <c r="M78" t="inlineStr">
        <is>
          <t>1999</t>
        </is>
      </c>
      <c r="O78" t="inlineStr">
        <is>
          <t>eng</t>
        </is>
      </c>
      <c r="P78" t="inlineStr">
        <is>
          <t>mnu</t>
        </is>
      </c>
      <c r="R78" t="inlineStr">
        <is>
          <t xml:space="preserve">BS </t>
        </is>
      </c>
      <c r="S78" t="n">
        <v>1</v>
      </c>
      <c r="T78" t="n">
        <v>1</v>
      </c>
      <c r="U78" t="inlineStr">
        <is>
          <t>2007-03-07</t>
        </is>
      </c>
      <c r="V78" t="inlineStr">
        <is>
          <t>2007-03-07</t>
        </is>
      </c>
      <c r="W78" t="inlineStr">
        <is>
          <t>2000-12-05</t>
        </is>
      </c>
      <c r="X78" t="inlineStr">
        <is>
          <t>2000-12-05</t>
        </is>
      </c>
      <c r="Y78" t="n">
        <v>201</v>
      </c>
      <c r="Z78" t="n">
        <v>161</v>
      </c>
      <c r="AA78" t="n">
        <v>167</v>
      </c>
      <c r="AB78" t="n">
        <v>1</v>
      </c>
      <c r="AC78" t="n">
        <v>1</v>
      </c>
      <c r="AD78" t="n">
        <v>18</v>
      </c>
      <c r="AE78" t="n">
        <v>18</v>
      </c>
      <c r="AF78" t="n">
        <v>6</v>
      </c>
      <c r="AG78" t="n">
        <v>6</v>
      </c>
      <c r="AH78" t="n">
        <v>6</v>
      </c>
      <c r="AI78" t="n">
        <v>6</v>
      </c>
      <c r="AJ78" t="n">
        <v>9</v>
      </c>
      <c r="AK78" t="n">
        <v>9</v>
      </c>
      <c r="AL78" t="n">
        <v>0</v>
      </c>
      <c r="AM78" t="n">
        <v>0</v>
      </c>
      <c r="AN78" t="n">
        <v>0</v>
      </c>
      <c r="AO78" t="n">
        <v>0</v>
      </c>
      <c r="AP78" t="inlineStr">
        <is>
          <t>No</t>
        </is>
      </c>
      <c r="AQ78" t="inlineStr">
        <is>
          <t>No</t>
        </is>
      </c>
      <c r="AS78">
        <f>HYPERLINK("https://creighton-primo.hosted.exlibrisgroup.com/primo-explore/search?tab=default_tab&amp;search_scope=EVERYTHING&amp;vid=01CRU&amp;lang=en_US&amp;offset=0&amp;query=any,contains,991003349759702656","Catalog Record")</f>
        <v/>
      </c>
      <c r="AT78">
        <f>HYPERLINK("http://www.worldcat.org/oclc/39498757","WorldCat Record")</f>
        <v/>
      </c>
      <c r="AU78" t="inlineStr">
        <is>
          <t>20665865:eng</t>
        </is>
      </c>
      <c r="AV78" t="inlineStr">
        <is>
          <t>39498757</t>
        </is>
      </c>
      <c r="AW78" t="inlineStr">
        <is>
          <t>991003349759702656</t>
        </is>
      </c>
      <c r="AX78" t="inlineStr">
        <is>
          <t>991003349759702656</t>
        </is>
      </c>
      <c r="AY78" t="inlineStr">
        <is>
          <t>2261837650002656</t>
        </is>
      </c>
      <c r="AZ78" t="inlineStr">
        <is>
          <t>BOOK</t>
        </is>
      </c>
      <c r="BB78" t="inlineStr">
        <is>
          <t>9780814658239</t>
        </is>
      </c>
      <c r="BC78" t="inlineStr">
        <is>
          <t>32285004269584</t>
        </is>
      </c>
      <c r="BD78" t="inlineStr">
        <is>
          <t>893617271</t>
        </is>
      </c>
      <c r="BE78" t="inlineStr">
        <is>
          <t>S Brown</t>
        </is>
      </c>
    </row>
    <row r="79">
      <c r="A79" t="inlineStr">
        <is>
          <t>No</t>
        </is>
      </c>
      <c r="B79" t="inlineStr">
        <is>
          <t>BS2545.J44 S47 1994</t>
        </is>
      </c>
      <c r="C79" t="inlineStr">
        <is>
          <t>0                      BS 2545000J  44                 S  47          1994</t>
        </is>
      </c>
      <c r="D79" t="inlineStr">
        <is>
          <t>Jewish responses to early Christians : history and polemics, 30-150 C.E. / Claudia J. Setzer.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Setzer, Claudia.</t>
        </is>
      </c>
      <c r="L79" t="inlineStr">
        <is>
          <t>Minneapolis : Fortress Press, 1994.</t>
        </is>
      </c>
      <c r="M79" t="inlineStr">
        <is>
          <t>1994</t>
        </is>
      </c>
      <c r="O79" t="inlineStr">
        <is>
          <t>eng</t>
        </is>
      </c>
      <c r="P79" t="inlineStr">
        <is>
          <t>mnu</t>
        </is>
      </c>
      <c r="R79" t="inlineStr">
        <is>
          <t xml:space="preserve">BS </t>
        </is>
      </c>
      <c r="S79" t="n">
        <v>8</v>
      </c>
      <c r="T79" t="n">
        <v>8</v>
      </c>
      <c r="U79" t="inlineStr">
        <is>
          <t>2004-07-20</t>
        </is>
      </c>
      <c r="V79" t="inlineStr">
        <is>
          <t>2004-07-20</t>
        </is>
      </c>
      <c r="W79" t="inlineStr">
        <is>
          <t>1994-12-06</t>
        </is>
      </c>
      <c r="X79" t="inlineStr">
        <is>
          <t>1994-12-06</t>
        </is>
      </c>
      <c r="Y79" t="n">
        <v>540</v>
      </c>
      <c r="Z79" t="n">
        <v>419</v>
      </c>
      <c r="AA79" t="n">
        <v>419</v>
      </c>
      <c r="AB79" t="n">
        <v>5</v>
      </c>
      <c r="AC79" t="n">
        <v>5</v>
      </c>
      <c r="AD79" t="n">
        <v>33</v>
      </c>
      <c r="AE79" t="n">
        <v>33</v>
      </c>
      <c r="AF79" t="n">
        <v>13</v>
      </c>
      <c r="AG79" t="n">
        <v>13</v>
      </c>
      <c r="AH79" t="n">
        <v>6</v>
      </c>
      <c r="AI79" t="n">
        <v>6</v>
      </c>
      <c r="AJ79" t="n">
        <v>18</v>
      </c>
      <c r="AK79" t="n">
        <v>18</v>
      </c>
      <c r="AL79" t="n">
        <v>4</v>
      </c>
      <c r="AM79" t="n">
        <v>4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HYPERLINK("https://creighton-primo.hosted.exlibrisgroup.com/primo-explore/search?tab=default_tab&amp;search_scope=EVERYTHING&amp;vid=01CRU&amp;lang=en_US&amp;offset=0&amp;query=any,contains,991002296279702656","Catalog Record")</f>
        <v/>
      </c>
      <c r="AT79">
        <f>HYPERLINK("http://www.worldcat.org/oclc/29792568","WorldCat Record")</f>
        <v/>
      </c>
      <c r="AU79" t="inlineStr">
        <is>
          <t>3856746882:eng</t>
        </is>
      </c>
      <c r="AV79" t="inlineStr">
        <is>
          <t>29792568</t>
        </is>
      </c>
      <c r="AW79" t="inlineStr">
        <is>
          <t>991002296279702656</t>
        </is>
      </c>
      <c r="AX79" t="inlineStr">
        <is>
          <t>991002296279702656</t>
        </is>
      </c>
      <c r="AY79" t="inlineStr">
        <is>
          <t>2267544410002656</t>
        </is>
      </c>
      <c r="AZ79" t="inlineStr">
        <is>
          <t>BOOK</t>
        </is>
      </c>
      <c r="BB79" t="inlineStr">
        <is>
          <t>9780800626808</t>
        </is>
      </c>
      <c r="BC79" t="inlineStr">
        <is>
          <t>32285001976066</t>
        </is>
      </c>
      <c r="BD79" t="inlineStr">
        <is>
          <t>893591183</t>
        </is>
      </c>
      <c r="BE79" t="inlineStr">
        <is>
          <t>ZB Smith</t>
        </is>
      </c>
    </row>
    <row r="80">
      <c r="A80" t="inlineStr">
        <is>
          <t>No</t>
        </is>
      </c>
      <c r="B80" t="inlineStr">
        <is>
          <t>BS2545.L6 S43</t>
        </is>
      </c>
      <c r="C80" t="inlineStr">
        <is>
          <t>0                      BS 2545000L  6                  S  43</t>
        </is>
      </c>
      <c r="D80" t="inlineStr">
        <is>
          <t>Love relationships in the Johannine tradition : agapē/agapan in I John and the fourth gospel / Fernando F. Segovia.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Segovia, Fernando F.</t>
        </is>
      </c>
      <c r="L80" t="inlineStr">
        <is>
          <t>Chico, CA : Scholars Press, c1982.</t>
        </is>
      </c>
      <c r="M80" t="inlineStr">
        <is>
          <t>1982</t>
        </is>
      </c>
      <c r="O80" t="inlineStr">
        <is>
          <t>eng</t>
        </is>
      </c>
      <c r="P80" t="inlineStr">
        <is>
          <t>cau</t>
        </is>
      </c>
      <c r="Q80" t="inlineStr">
        <is>
          <t>Dissertation series (Society of Biblical Literature) ; no. 58</t>
        </is>
      </c>
      <c r="R80" t="inlineStr">
        <is>
          <t xml:space="preserve">BS </t>
        </is>
      </c>
      <c r="S80" t="n">
        <v>8</v>
      </c>
      <c r="T80" t="n">
        <v>8</v>
      </c>
      <c r="U80" t="inlineStr">
        <is>
          <t>2006-04-02</t>
        </is>
      </c>
      <c r="V80" t="inlineStr">
        <is>
          <t>2006-04-02</t>
        </is>
      </c>
      <c r="W80" t="inlineStr">
        <is>
          <t>1991-07-15</t>
        </is>
      </c>
      <c r="X80" t="inlineStr">
        <is>
          <t>1991-07-15</t>
        </is>
      </c>
      <c r="Y80" t="n">
        <v>298</v>
      </c>
      <c r="Z80" t="n">
        <v>221</v>
      </c>
      <c r="AA80" t="n">
        <v>228</v>
      </c>
      <c r="AB80" t="n">
        <v>2</v>
      </c>
      <c r="AC80" t="n">
        <v>2</v>
      </c>
      <c r="AD80" t="n">
        <v>18</v>
      </c>
      <c r="AE80" t="n">
        <v>18</v>
      </c>
      <c r="AF80" t="n">
        <v>6</v>
      </c>
      <c r="AG80" t="n">
        <v>6</v>
      </c>
      <c r="AH80" t="n">
        <v>4</v>
      </c>
      <c r="AI80" t="n">
        <v>4</v>
      </c>
      <c r="AJ80" t="n">
        <v>11</v>
      </c>
      <c r="AK80" t="n">
        <v>11</v>
      </c>
      <c r="AL80" t="n">
        <v>1</v>
      </c>
      <c r="AM80" t="n">
        <v>1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HYPERLINK("http://catalog.hathitrust.org/Record/000229774","HathiTrust Record")</f>
        <v/>
      </c>
      <c r="AS80">
        <f>HYPERLINK("https://creighton-primo.hosted.exlibrisgroup.com/primo-explore/search?tab=default_tab&amp;search_scope=EVERYTHING&amp;vid=01CRU&amp;lang=en_US&amp;offset=0&amp;query=any,contains,991005154749702656","Catalog Record")</f>
        <v/>
      </c>
      <c r="AT80">
        <f>HYPERLINK("http://www.worldcat.org/oclc/7738154","WorldCat Record")</f>
        <v/>
      </c>
      <c r="AU80" t="inlineStr">
        <is>
          <t>290219515:eng</t>
        </is>
      </c>
      <c r="AV80" t="inlineStr">
        <is>
          <t>7738154</t>
        </is>
      </c>
      <c r="AW80" t="inlineStr">
        <is>
          <t>991005154749702656</t>
        </is>
      </c>
      <c r="AX80" t="inlineStr">
        <is>
          <t>991005154749702656</t>
        </is>
      </c>
      <c r="AY80" t="inlineStr">
        <is>
          <t>2258072820002656</t>
        </is>
      </c>
      <c r="AZ80" t="inlineStr">
        <is>
          <t>BOOK</t>
        </is>
      </c>
      <c r="BB80" t="inlineStr">
        <is>
          <t>9780891305330</t>
        </is>
      </c>
      <c r="BC80" t="inlineStr">
        <is>
          <t>32285000691609</t>
        </is>
      </c>
      <c r="BD80" t="inlineStr">
        <is>
          <t>893424647</t>
        </is>
      </c>
      <c r="BE80" t="inlineStr">
        <is>
          <t>S Brown</t>
        </is>
      </c>
    </row>
    <row r="81">
      <c r="A81" t="inlineStr">
        <is>
          <t>No</t>
        </is>
      </c>
      <c r="B81" t="inlineStr">
        <is>
          <t>BS2545.S55 O65 1992</t>
        </is>
      </c>
      <c r="C81" t="inlineStr">
        <is>
          <t>0                      BS 2545000S  55                 O  65          1992</t>
        </is>
      </c>
      <c r="D81" t="inlineStr">
        <is>
          <t>What are they saying about the social setting of the New Testament? / Carolyn Osiek.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Yes</t>
        </is>
      </c>
      <c r="J81" t="inlineStr">
        <is>
          <t>0</t>
        </is>
      </c>
      <c r="K81" t="inlineStr">
        <is>
          <t>Osiek, Carolyn.</t>
        </is>
      </c>
      <c r="L81" t="inlineStr">
        <is>
          <t>New York : Paulist Press, c1992.</t>
        </is>
      </c>
      <c r="M81" t="inlineStr">
        <is>
          <t>1992</t>
        </is>
      </c>
      <c r="N81" t="inlineStr">
        <is>
          <t>Rev. and expanded ed.</t>
        </is>
      </c>
      <c r="O81" t="inlineStr">
        <is>
          <t>eng</t>
        </is>
      </c>
      <c r="P81" t="inlineStr">
        <is>
          <t>nyu</t>
        </is>
      </c>
      <c r="R81" t="inlineStr">
        <is>
          <t xml:space="preserve">BS </t>
        </is>
      </c>
      <c r="S81" t="n">
        <v>5</v>
      </c>
      <c r="T81" t="n">
        <v>5</v>
      </c>
      <c r="U81" t="inlineStr">
        <is>
          <t>2008-01-02</t>
        </is>
      </c>
      <c r="V81" t="inlineStr">
        <is>
          <t>2008-01-02</t>
        </is>
      </c>
      <c r="W81" t="inlineStr">
        <is>
          <t>1993-11-29</t>
        </is>
      </c>
      <c r="X81" t="inlineStr">
        <is>
          <t>1993-11-29</t>
        </is>
      </c>
      <c r="Y81" t="n">
        <v>330</v>
      </c>
      <c r="Z81" t="n">
        <v>261</v>
      </c>
      <c r="AA81" t="n">
        <v>446</v>
      </c>
      <c r="AB81" t="n">
        <v>4</v>
      </c>
      <c r="AC81" t="n">
        <v>4</v>
      </c>
      <c r="AD81" t="n">
        <v>24</v>
      </c>
      <c r="AE81" t="n">
        <v>37</v>
      </c>
      <c r="AF81" t="n">
        <v>9</v>
      </c>
      <c r="AG81" t="n">
        <v>16</v>
      </c>
      <c r="AH81" t="n">
        <v>7</v>
      </c>
      <c r="AI81" t="n">
        <v>7</v>
      </c>
      <c r="AJ81" t="n">
        <v>11</v>
      </c>
      <c r="AK81" t="n">
        <v>21</v>
      </c>
      <c r="AL81" t="n">
        <v>3</v>
      </c>
      <c r="AM81" t="n">
        <v>3</v>
      </c>
      <c r="AN81" t="n">
        <v>0</v>
      </c>
      <c r="AO81" t="n">
        <v>0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HYPERLINK("https://creighton-primo.hosted.exlibrisgroup.com/primo-explore/search?tab=default_tab&amp;search_scope=EVERYTHING&amp;vid=01CRU&amp;lang=en_US&amp;offset=0&amp;query=any,contains,991002031989702656","Catalog Record")</f>
        <v/>
      </c>
      <c r="AT81">
        <f>HYPERLINK("http://www.worldcat.org/oclc/25873352","WorldCat Record")</f>
        <v/>
      </c>
      <c r="AU81" t="inlineStr">
        <is>
          <t>3720217:eng</t>
        </is>
      </c>
      <c r="AV81" t="inlineStr">
        <is>
          <t>25873352</t>
        </is>
      </c>
      <c r="AW81" t="inlineStr">
        <is>
          <t>991002031989702656</t>
        </is>
      </c>
      <c r="AX81" t="inlineStr">
        <is>
          <t>991002031989702656</t>
        </is>
      </c>
      <c r="AY81" t="inlineStr">
        <is>
          <t>2269380130002656</t>
        </is>
      </c>
      <c r="AZ81" t="inlineStr">
        <is>
          <t>BOOK</t>
        </is>
      </c>
      <c r="BB81" t="inlineStr">
        <is>
          <t>9780809133390</t>
        </is>
      </c>
      <c r="BC81" t="inlineStr">
        <is>
          <t>32285001813004</t>
        </is>
      </c>
      <c r="BD81" t="inlineStr">
        <is>
          <t>893903667</t>
        </is>
      </c>
      <c r="BE81" t="inlineStr">
        <is>
          <t>S Brown</t>
        </is>
      </c>
    </row>
    <row r="82">
      <c r="A82" t="inlineStr">
        <is>
          <t>No</t>
        </is>
      </c>
      <c r="B82" t="inlineStr">
        <is>
          <t>BS2545.S55 S62 1996</t>
        </is>
      </c>
      <c r="C82" t="inlineStr">
        <is>
          <t>0                      BS 2545000S  55                 S  62          1996</t>
        </is>
      </c>
      <c r="D82" t="inlineStr">
        <is>
          <t>The social sciences and New Testament interpretation / edited by Richard L. Rohrbaugh.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L82" t="inlineStr">
        <is>
          <t>Peabody, Mass. : Hendrickson Publishers, c1996.</t>
        </is>
      </c>
      <c r="M82" t="inlineStr">
        <is>
          <t>1996</t>
        </is>
      </c>
      <c r="O82" t="inlineStr">
        <is>
          <t>eng</t>
        </is>
      </c>
      <c r="P82" t="inlineStr">
        <is>
          <t>mau</t>
        </is>
      </c>
      <c r="R82" t="inlineStr">
        <is>
          <t xml:space="preserve">BS </t>
        </is>
      </c>
      <c r="S82" t="n">
        <v>5</v>
      </c>
      <c r="T82" t="n">
        <v>5</v>
      </c>
      <c r="U82" t="inlineStr">
        <is>
          <t>2010-10-05</t>
        </is>
      </c>
      <c r="V82" t="inlineStr">
        <is>
          <t>2010-10-05</t>
        </is>
      </c>
      <c r="W82" t="inlineStr">
        <is>
          <t>2003-08-12</t>
        </is>
      </c>
      <c r="X82" t="inlineStr">
        <is>
          <t>2003-08-12</t>
        </is>
      </c>
      <c r="Y82" t="n">
        <v>288</v>
      </c>
      <c r="Z82" t="n">
        <v>224</v>
      </c>
      <c r="AA82" t="n">
        <v>233</v>
      </c>
      <c r="AB82" t="n">
        <v>3</v>
      </c>
      <c r="AC82" t="n">
        <v>4</v>
      </c>
      <c r="AD82" t="n">
        <v>20</v>
      </c>
      <c r="AE82" t="n">
        <v>22</v>
      </c>
      <c r="AF82" t="n">
        <v>11</v>
      </c>
      <c r="AG82" t="n">
        <v>12</v>
      </c>
      <c r="AH82" t="n">
        <v>2</v>
      </c>
      <c r="AI82" t="n">
        <v>2</v>
      </c>
      <c r="AJ82" t="n">
        <v>10</v>
      </c>
      <c r="AK82" t="n">
        <v>11</v>
      </c>
      <c r="AL82" t="n">
        <v>2</v>
      </c>
      <c r="AM82" t="n">
        <v>3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HYPERLINK("https://creighton-primo.hosted.exlibrisgroup.com/primo-explore/search?tab=default_tab&amp;search_scope=EVERYTHING&amp;vid=01CRU&amp;lang=en_US&amp;offset=0&amp;query=any,contains,991004099669702656","Catalog Record")</f>
        <v/>
      </c>
      <c r="AT82">
        <f>HYPERLINK("http://www.worldcat.org/oclc/35360763","WorldCat Record")</f>
        <v/>
      </c>
      <c r="AU82" t="inlineStr">
        <is>
          <t>56102132:eng</t>
        </is>
      </c>
      <c r="AV82" t="inlineStr">
        <is>
          <t>35360763</t>
        </is>
      </c>
      <c r="AW82" t="inlineStr">
        <is>
          <t>991004099669702656</t>
        </is>
      </c>
      <c r="AX82" t="inlineStr">
        <is>
          <t>991004099669702656</t>
        </is>
      </c>
      <c r="AY82" t="inlineStr">
        <is>
          <t>2266801960002656</t>
        </is>
      </c>
      <c r="AZ82" t="inlineStr">
        <is>
          <t>BOOK</t>
        </is>
      </c>
      <c r="BB82" t="inlineStr">
        <is>
          <t>9781565632394</t>
        </is>
      </c>
      <c r="BC82" t="inlineStr">
        <is>
          <t>32285004759436</t>
        </is>
      </c>
      <c r="BD82" t="inlineStr">
        <is>
          <t>893343458</t>
        </is>
      </c>
      <c r="BE82" t="inlineStr">
        <is>
          <t>S Brown</t>
        </is>
      </c>
    </row>
    <row r="83">
      <c r="A83" t="inlineStr">
        <is>
          <t>No</t>
        </is>
      </c>
      <c r="B83" t="inlineStr">
        <is>
          <t>BS2548 .P37 1992</t>
        </is>
      </c>
      <c r="C83" t="inlineStr">
        <is>
          <t>0                      BS 2548000P  37          1992</t>
        </is>
      </c>
      <c r="D83" t="inlineStr">
        <is>
          <t>Codex Bezae : an early Christian manuscript and its text / D.C. Parker.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Parker, D. C. (David C.)</t>
        </is>
      </c>
      <c r="L83" t="inlineStr">
        <is>
          <t>Cambridge ; New York : Cambridge University Press, 1992.</t>
        </is>
      </c>
      <c r="M83" t="inlineStr">
        <is>
          <t>1992</t>
        </is>
      </c>
      <c r="O83" t="inlineStr">
        <is>
          <t>eng</t>
        </is>
      </c>
      <c r="P83" t="inlineStr">
        <is>
          <t>enk</t>
        </is>
      </c>
      <c r="R83" t="inlineStr">
        <is>
          <t xml:space="preserve">BS </t>
        </is>
      </c>
      <c r="S83" t="n">
        <v>1</v>
      </c>
      <c r="T83" t="n">
        <v>1</v>
      </c>
      <c r="U83" t="inlineStr">
        <is>
          <t>2008-10-30</t>
        </is>
      </c>
      <c r="V83" t="inlineStr">
        <is>
          <t>2008-10-30</t>
        </is>
      </c>
      <c r="W83" t="inlineStr">
        <is>
          <t>2008-10-30</t>
        </is>
      </c>
      <c r="X83" t="inlineStr">
        <is>
          <t>2008-10-30</t>
        </is>
      </c>
      <c r="Y83" t="n">
        <v>298</v>
      </c>
      <c r="Z83" t="n">
        <v>209</v>
      </c>
      <c r="AA83" t="n">
        <v>228</v>
      </c>
      <c r="AB83" t="n">
        <v>2</v>
      </c>
      <c r="AC83" t="n">
        <v>2</v>
      </c>
      <c r="AD83" t="n">
        <v>19</v>
      </c>
      <c r="AE83" t="n">
        <v>19</v>
      </c>
      <c r="AF83" t="n">
        <v>7</v>
      </c>
      <c r="AG83" t="n">
        <v>7</v>
      </c>
      <c r="AH83" t="n">
        <v>5</v>
      </c>
      <c r="AI83" t="n">
        <v>5</v>
      </c>
      <c r="AJ83" t="n">
        <v>10</v>
      </c>
      <c r="AK83" t="n">
        <v>10</v>
      </c>
      <c r="AL83" t="n">
        <v>1</v>
      </c>
      <c r="AM83" t="n">
        <v>1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HYPERLINK("https://creighton-primo.hosted.exlibrisgroup.com/primo-explore/search?tab=default_tab&amp;search_scope=EVERYTHING&amp;vid=01CRU&amp;lang=en_US&amp;offset=0&amp;query=any,contains,991005273779702656","Catalog Record")</f>
        <v/>
      </c>
      <c r="AT83">
        <f>HYPERLINK("http://www.worldcat.org/oclc/21909160","WorldCat Record")</f>
        <v/>
      </c>
      <c r="AU83" t="inlineStr">
        <is>
          <t>808857706:eng</t>
        </is>
      </c>
      <c r="AV83" t="inlineStr">
        <is>
          <t>21909160</t>
        </is>
      </c>
      <c r="AW83" t="inlineStr">
        <is>
          <t>991005273779702656</t>
        </is>
      </c>
      <c r="AX83" t="inlineStr">
        <is>
          <t>991005273779702656</t>
        </is>
      </c>
      <c r="AY83" t="inlineStr">
        <is>
          <t>2269800210002656</t>
        </is>
      </c>
      <c r="AZ83" t="inlineStr">
        <is>
          <t>BOOK</t>
        </is>
      </c>
      <c r="BB83" t="inlineStr">
        <is>
          <t>9780521400374</t>
        </is>
      </c>
      <c r="BC83" t="inlineStr">
        <is>
          <t>32285005465538</t>
        </is>
      </c>
      <c r="BD83" t="inlineStr">
        <is>
          <t>893236575</t>
        </is>
      </c>
      <c r="BE83" t="inlineStr">
        <is>
          <t>ZB Smith</t>
        </is>
      </c>
    </row>
    <row r="84">
      <c r="A84" t="inlineStr">
        <is>
          <t>No</t>
        </is>
      </c>
      <c r="B84" t="inlineStr">
        <is>
          <t>BS2550.T2 E63</t>
        </is>
      </c>
      <c r="C84" t="inlineStr">
        <is>
          <t>0                      BS 2550000T  2                  E  63</t>
        </is>
      </c>
      <c r="D84" t="inlineStr">
        <is>
          <t>Commentaire de l'Évangile concordant ou Diatessaron [par] Ephrem de Nisibe. Traduit du syriaque et de l'arménien. Introduction, traduction et notes par Louis Leloir.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Ephraem, Syrus, Saint, 303-373.</t>
        </is>
      </c>
      <c r="L84" t="inlineStr">
        <is>
          <t>Paris, Éditions du Cerf, 1966.</t>
        </is>
      </c>
      <c r="M84" t="inlineStr">
        <is>
          <t>1966</t>
        </is>
      </c>
      <c r="O84" t="inlineStr">
        <is>
          <t>fre</t>
        </is>
      </c>
      <c r="P84" t="inlineStr">
        <is>
          <t xml:space="preserve">fr </t>
        </is>
      </c>
      <c r="Q84" t="inlineStr">
        <is>
          <t>Sources chrétiennes ; no 121</t>
        </is>
      </c>
      <c r="R84" t="inlineStr">
        <is>
          <t xml:space="preserve">BS </t>
        </is>
      </c>
      <c r="S84" t="n">
        <v>3</v>
      </c>
      <c r="T84" t="n">
        <v>3</v>
      </c>
      <c r="U84" t="inlineStr">
        <is>
          <t>2008-03-26</t>
        </is>
      </c>
      <c r="V84" t="inlineStr">
        <is>
          <t>2008-03-26</t>
        </is>
      </c>
      <c r="W84" t="inlineStr">
        <is>
          <t>1991-03-20</t>
        </is>
      </c>
      <c r="X84" t="inlineStr">
        <is>
          <t>1991-03-20</t>
        </is>
      </c>
      <c r="Y84" t="n">
        <v>106</v>
      </c>
      <c r="Z84" t="n">
        <v>82</v>
      </c>
      <c r="AA84" t="n">
        <v>155</v>
      </c>
      <c r="AB84" t="n">
        <v>2</v>
      </c>
      <c r="AC84" t="n">
        <v>3</v>
      </c>
      <c r="AD84" t="n">
        <v>9</v>
      </c>
      <c r="AE84" t="n">
        <v>17</v>
      </c>
      <c r="AF84" t="n">
        <v>2</v>
      </c>
      <c r="AG84" t="n">
        <v>4</v>
      </c>
      <c r="AH84" t="n">
        <v>1</v>
      </c>
      <c r="AI84" t="n">
        <v>3</v>
      </c>
      <c r="AJ84" t="n">
        <v>7</v>
      </c>
      <c r="AK84" t="n">
        <v>13</v>
      </c>
      <c r="AL84" t="n">
        <v>1</v>
      </c>
      <c r="AM84" t="n">
        <v>1</v>
      </c>
      <c r="AN84" t="n">
        <v>0</v>
      </c>
      <c r="AO84" t="n">
        <v>0</v>
      </c>
      <c r="AP84" t="inlineStr">
        <is>
          <t>No</t>
        </is>
      </c>
      <c r="AQ84" t="inlineStr">
        <is>
          <t>No</t>
        </is>
      </c>
      <c r="AS84">
        <f>HYPERLINK("https://creighton-primo.hosted.exlibrisgroup.com/primo-explore/search?tab=default_tab&amp;search_scope=EVERYTHING&amp;vid=01CRU&amp;lang=en_US&amp;offset=0&amp;query=any,contains,991003948009702656","Catalog Record")</f>
        <v/>
      </c>
      <c r="AT84">
        <f>HYPERLINK("http://www.worldcat.org/oclc/1949528","WorldCat Record")</f>
        <v/>
      </c>
      <c r="AU84" t="inlineStr">
        <is>
          <t>10677831168:fre</t>
        </is>
      </c>
      <c r="AV84" t="inlineStr">
        <is>
          <t>1949528</t>
        </is>
      </c>
      <c r="AW84" t="inlineStr">
        <is>
          <t>991003948009702656</t>
        </is>
      </c>
      <c r="AX84" t="inlineStr">
        <is>
          <t>991003948009702656</t>
        </is>
      </c>
      <c r="AY84" t="inlineStr">
        <is>
          <t>2260885590002656</t>
        </is>
      </c>
      <c r="AZ84" t="inlineStr">
        <is>
          <t>BOOK</t>
        </is>
      </c>
      <c r="BC84" t="inlineStr">
        <is>
          <t>32285000555952</t>
        </is>
      </c>
      <c r="BD84" t="inlineStr">
        <is>
          <t>893512593</t>
        </is>
      </c>
      <c r="BE84" t="inlineStr">
        <is>
          <t>ZB Smith</t>
        </is>
      </c>
    </row>
    <row r="85">
      <c r="A85" t="inlineStr">
        <is>
          <t>No</t>
        </is>
      </c>
      <c r="B85" t="inlineStr">
        <is>
          <t>BS2555 .S55 1968</t>
        </is>
      </c>
      <c r="C85" t="inlineStr">
        <is>
          <t>0                      BS 2555000S  55          1968</t>
        </is>
      </c>
      <c r="D85" t="inlineStr">
        <is>
          <t>Tannaitic parallels to the Gospels.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Smith, Morton, 1915-1991.</t>
        </is>
      </c>
      <c r="L85" t="inlineStr">
        <is>
          <t>Philadelphia, Society of Biblical Literature, 1968,1951.</t>
        </is>
      </c>
      <c r="M85" t="inlineStr">
        <is>
          <t>1968</t>
        </is>
      </c>
      <c r="O85" t="inlineStr">
        <is>
          <t>eng</t>
        </is>
      </c>
      <c r="P85" t="inlineStr">
        <is>
          <t>___</t>
        </is>
      </c>
      <c r="Q85" t="inlineStr">
        <is>
          <t>Journal of Biblical literature. Monograph series ; v. VI</t>
        </is>
      </c>
      <c r="R85" t="inlineStr">
        <is>
          <t xml:space="preserve">BS </t>
        </is>
      </c>
      <c r="S85" t="n">
        <v>2</v>
      </c>
      <c r="T85" t="n">
        <v>2</v>
      </c>
      <c r="U85" t="inlineStr">
        <is>
          <t>2000-12-11</t>
        </is>
      </c>
      <c r="V85" t="inlineStr">
        <is>
          <t>2000-12-11</t>
        </is>
      </c>
      <c r="W85" t="inlineStr">
        <is>
          <t>1991-03-21</t>
        </is>
      </c>
      <c r="X85" t="inlineStr">
        <is>
          <t>1991-03-21</t>
        </is>
      </c>
      <c r="Y85" t="n">
        <v>47</v>
      </c>
      <c r="Z85" t="n">
        <v>37</v>
      </c>
      <c r="AA85" t="n">
        <v>261</v>
      </c>
      <c r="AB85" t="n">
        <v>1</v>
      </c>
      <c r="AC85" t="n">
        <v>2</v>
      </c>
      <c r="AD85" t="n">
        <v>4</v>
      </c>
      <c r="AE85" t="n">
        <v>20</v>
      </c>
      <c r="AF85" t="n">
        <v>1</v>
      </c>
      <c r="AG85" t="n">
        <v>5</v>
      </c>
      <c r="AH85" t="n">
        <v>1</v>
      </c>
      <c r="AI85" t="n">
        <v>7</v>
      </c>
      <c r="AJ85" t="n">
        <v>3</v>
      </c>
      <c r="AK85" t="n">
        <v>12</v>
      </c>
      <c r="AL85" t="n">
        <v>0</v>
      </c>
      <c r="AM85" t="n">
        <v>1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HYPERLINK("https://creighton-primo.hosted.exlibrisgroup.com/primo-explore/search?tab=default_tab&amp;search_scope=EVERYTHING&amp;vid=01CRU&amp;lang=en_US&amp;offset=0&amp;query=any,contains,991002837409702656","Catalog Record")</f>
        <v/>
      </c>
      <c r="AT85">
        <f>HYPERLINK("http://www.worldcat.org/oclc/480721","WorldCat Record")</f>
        <v/>
      </c>
      <c r="AU85" t="inlineStr">
        <is>
          <t>377342833:eng</t>
        </is>
      </c>
      <c r="AV85" t="inlineStr">
        <is>
          <t>480721</t>
        </is>
      </c>
      <c r="AW85" t="inlineStr">
        <is>
          <t>991002837409702656</t>
        </is>
      </c>
      <c r="AX85" t="inlineStr">
        <is>
          <t>991002837409702656</t>
        </is>
      </c>
      <c r="AY85" t="inlineStr">
        <is>
          <t>2268860320002656</t>
        </is>
      </c>
      <c r="AZ85" t="inlineStr">
        <is>
          <t>BOOK</t>
        </is>
      </c>
      <c r="BC85" t="inlineStr">
        <is>
          <t>32285000556190</t>
        </is>
      </c>
      <c r="BD85" t="inlineStr">
        <is>
          <t>893239570</t>
        </is>
      </c>
      <c r="BE85" t="inlineStr">
        <is>
          <t>S Brown</t>
        </is>
      </c>
    </row>
    <row r="86">
      <c r="A86" t="inlineStr">
        <is>
          <t>No</t>
        </is>
      </c>
      <c r="B86" t="inlineStr">
        <is>
          <t>BS2555.4 .S6</t>
        </is>
      </c>
      <c r="C86" t="inlineStr">
        <is>
          <t>0                      BS 2555400S  6</t>
        </is>
      </c>
      <c r="D86" t="inlineStr">
        <is>
          <t>Interpreting the Gospels for preaching / D. Moody Smith.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Smith, D. Moody (Dwight Moody)</t>
        </is>
      </c>
      <c r="L86" t="inlineStr">
        <is>
          <t>Philadelphia : Fortress Press, c1980.</t>
        </is>
      </c>
      <c r="M86" t="inlineStr">
        <is>
          <t>1980</t>
        </is>
      </c>
      <c r="O86" t="inlineStr">
        <is>
          <t>eng</t>
        </is>
      </c>
      <c r="P86" t="inlineStr">
        <is>
          <t>pau</t>
        </is>
      </c>
      <c r="R86" t="inlineStr">
        <is>
          <t xml:space="preserve">BS </t>
        </is>
      </c>
      <c r="S86" t="n">
        <v>7</v>
      </c>
      <c r="T86" t="n">
        <v>7</v>
      </c>
      <c r="U86" t="inlineStr">
        <is>
          <t>1999-11-21</t>
        </is>
      </c>
      <c r="V86" t="inlineStr">
        <is>
          <t>1999-11-21</t>
        </is>
      </c>
      <c r="W86" t="inlineStr">
        <is>
          <t>1990-04-10</t>
        </is>
      </c>
      <c r="X86" t="inlineStr">
        <is>
          <t>1990-04-10</t>
        </is>
      </c>
      <c r="Y86" t="n">
        <v>248</v>
      </c>
      <c r="Z86" t="n">
        <v>204</v>
      </c>
      <c r="AA86" t="n">
        <v>207</v>
      </c>
      <c r="AB86" t="n">
        <v>2</v>
      </c>
      <c r="AC86" t="n">
        <v>2</v>
      </c>
      <c r="AD86" t="n">
        <v>9</v>
      </c>
      <c r="AE86" t="n">
        <v>9</v>
      </c>
      <c r="AF86" t="n">
        <v>5</v>
      </c>
      <c r="AG86" t="n">
        <v>5</v>
      </c>
      <c r="AH86" t="n">
        <v>0</v>
      </c>
      <c r="AI86" t="n">
        <v>0</v>
      </c>
      <c r="AJ86" t="n">
        <v>4</v>
      </c>
      <c r="AK86" t="n">
        <v>4</v>
      </c>
      <c r="AL86" t="n">
        <v>1</v>
      </c>
      <c r="AM86" t="n">
        <v>1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HYPERLINK("https://creighton-primo.hosted.exlibrisgroup.com/primo-explore/search?tab=default_tab&amp;search_scope=EVERYTHING&amp;vid=01CRU&amp;lang=en_US&amp;offset=0&amp;query=any,contains,991004865729702656","Catalog Record")</f>
        <v/>
      </c>
      <c r="AT86">
        <f>HYPERLINK("http://www.worldcat.org/oclc/5726698","WorldCat Record")</f>
        <v/>
      </c>
      <c r="AU86" t="inlineStr">
        <is>
          <t>449146:eng</t>
        </is>
      </c>
      <c r="AV86" t="inlineStr">
        <is>
          <t>5726698</t>
        </is>
      </c>
      <c r="AW86" t="inlineStr">
        <is>
          <t>991004865729702656</t>
        </is>
      </c>
      <c r="AX86" t="inlineStr">
        <is>
          <t>991004865729702656</t>
        </is>
      </c>
      <c r="AY86" t="inlineStr">
        <is>
          <t>2263193110002656</t>
        </is>
      </c>
      <c r="AZ86" t="inlineStr">
        <is>
          <t>BOOK</t>
        </is>
      </c>
      <c r="BB86" t="inlineStr">
        <is>
          <t>9780800613815</t>
        </is>
      </c>
      <c r="BC86" t="inlineStr">
        <is>
          <t>32285000114651</t>
        </is>
      </c>
      <c r="BD86" t="inlineStr">
        <is>
          <t>893443130</t>
        </is>
      </c>
      <c r="BE86" t="inlineStr">
        <is>
          <t>S Brown</t>
        </is>
      </c>
    </row>
    <row r="87">
      <c r="A87" t="inlineStr">
        <is>
          <t>No</t>
        </is>
      </c>
      <c r="B87" t="inlineStr">
        <is>
          <t>BS2575.2 .S28 1982</t>
        </is>
      </c>
      <c r="C87" t="inlineStr">
        <is>
          <t>0                      BS 2575200S  28          1982</t>
        </is>
      </c>
      <c r="D87" t="inlineStr">
        <is>
          <t>The Father, the Son, and the Holy Spirit : the triadic phrase in Matthew 28:19b.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Schaberg, Jane.</t>
        </is>
      </c>
      <c r="L87" t="inlineStr">
        <is>
          <t>Chico, Calif. : Scholars Press, c1982.</t>
        </is>
      </c>
      <c r="M87" t="inlineStr">
        <is>
          <t>1981</t>
        </is>
      </c>
      <c r="O87" t="inlineStr">
        <is>
          <t>eng</t>
        </is>
      </c>
      <c r="P87" t="inlineStr">
        <is>
          <t>cau</t>
        </is>
      </c>
      <c r="Q87" t="inlineStr">
        <is>
          <t>Dissertation series (Society of Biblical Literature) ; no. 61</t>
        </is>
      </c>
      <c r="R87" t="inlineStr">
        <is>
          <t xml:space="preserve">BS </t>
        </is>
      </c>
      <c r="S87" t="n">
        <v>4</v>
      </c>
      <c r="T87" t="n">
        <v>4</v>
      </c>
      <c r="U87" t="inlineStr">
        <is>
          <t>1997-04-21</t>
        </is>
      </c>
      <c r="V87" t="inlineStr">
        <is>
          <t>1997-04-21</t>
        </is>
      </c>
      <c r="W87" t="inlineStr">
        <is>
          <t>1991-04-05</t>
        </is>
      </c>
      <c r="X87" t="inlineStr">
        <is>
          <t>1991-04-05</t>
        </is>
      </c>
      <c r="Y87" t="n">
        <v>155</v>
      </c>
      <c r="Z87" t="n">
        <v>118</v>
      </c>
      <c r="AA87" t="n">
        <v>216</v>
      </c>
      <c r="AB87" t="n">
        <v>1</v>
      </c>
      <c r="AC87" t="n">
        <v>2</v>
      </c>
      <c r="AD87" t="n">
        <v>5</v>
      </c>
      <c r="AE87" t="n">
        <v>17</v>
      </c>
      <c r="AF87" t="n">
        <v>0</v>
      </c>
      <c r="AG87" t="n">
        <v>5</v>
      </c>
      <c r="AH87" t="n">
        <v>3</v>
      </c>
      <c r="AI87" t="n">
        <v>4</v>
      </c>
      <c r="AJ87" t="n">
        <v>3</v>
      </c>
      <c r="AK87" t="n">
        <v>11</v>
      </c>
      <c r="AL87" t="n">
        <v>0</v>
      </c>
      <c r="AM87" t="n">
        <v>1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HYPERLINK("http://catalog.hathitrust.org/Record/000157353","HathiTrust Record")</f>
        <v/>
      </c>
      <c r="AS87">
        <f>HYPERLINK("https://creighton-primo.hosted.exlibrisgroup.com/primo-explore/search?tab=default_tab&amp;search_scope=EVERYTHING&amp;vid=01CRU&amp;lang=en_US&amp;offset=0&amp;query=any,contains,991005162269702656","Catalog Record")</f>
        <v/>
      </c>
      <c r="AT87">
        <f>HYPERLINK("http://www.worldcat.org/oclc/7796028","WorldCat Record")</f>
        <v/>
      </c>
      <c r="AU87" t="inlineStr">
        <is>
          <t>3512221:eng</t>
        </is>
      </c>
      <c r="AV87" t="inlineStr">
        <is>
          <t>7796028</t>
        </is>
      </c>
      <c r="AW87" t="inlineStr">
        <is>
          <t>991005162269702656</t>
        </is>
      </c>
      <c r="AX87" t="inlineStr">
        <is>
          <t>991005162269702656</t>
        </is>
      </c>
      <c r="AY87" t="inlineStr">
        <is>
          <t>2266352170002656</t>
        </is>
      </c>
      <c r="AZ87" t="inlineStr">
        <is>
          <t>BOOK</t>
        </is>
      </c>
      <c r="BB87" t="inlineStr">
        <is>
          <t>9780891305439</t>
        </is>
      </c>
      <c r="BC87" t="inlineStr">
        <is>
          <t>32285000557701</t>
        </is>
      </c>
      <c r="BD87" t="inlineStr">
        <is>
          <t>893248463</t>
        </is>
      </c>
      <c r="BE87" t="inlineStr">
        <is>
          <t>S Brown</t>
        </is>
      </c>
    </row>
    <row r="88">
      <c r="A88" t="inlineStr">
        <is>
          <t>No</t>
        </is>
      </c>
      <c r="B88" t="inlineStr">
        <is>
          <t>BS2585.2 .A42 1996</t>
        </is>
      </c>
      <c r="C88" t="inlineStr">
        <is>
          <t>0                      BS 2585200A  42          1996</t>
        </is>
      </c>
      <c r="D88" t="inlineStr">
        <is>
          <t>Jesus framed / George Aichele.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Aichele, George.</t>
        </is>
      </c>
      <c r="L88" t="inlineStr">
        <is>
          <t>London ; New York : Routledge, 1996.</t>
        </is>
      </c>
      <c r="M88" t="inlineStr">
        <is>
          <t>1996</t>
        </is>
      </c>
      <c r="O88" t="inlineStr">
        <is>
          <t>eng</t>
        </is>
      </c>
      <c r="P88" t="inlineStr">
        <is>
          <t>enk</t>
        </is>
      </c>
      <c r="Q88" t="inlineStr">
        <is>
          <t>Biblical limits</t>
        </is>
      </c>
      <c r="R88" t="inlineStr">
        <is>
          <t xml:space="preserve">BS </t>
        </is>
      </c>
      <c r="S88" t="n">
        <v>9</v>
      </c>
      <c r="T88" t="n">
        <v>9</v>
      </c>
      <c r="U88" t="inlineStr">
        <is>
          <t>2005-04-06</t>
        </is>
      </c>
      <c r="V88" t="inlineStr">
        <is>
          <t>2005-04-06</t>
        </is>
      </c>
      <c r="W88" t="inlineStr">
        <is>
          <t>1999-01-06</t>
        </is>
      </c>
      <c r="X88" t="inlineStr">
        <is>
          <t>1999-01-06</t>
        </is>
      </c>
      <c r="Y88" t="n">
        <v>293</v>
      </c>
      <c r="Z88" t="n">
        <v>230</v>
      </c>
      <c r="AA88" t="n">
        <v>245</v>
      </c>
      <c r="AB88" t="n">
        <v>1</v>
      </c>
      <c r="AC88" t="n">
        <v>1</v>
      </c>
      <c r="AD88" t="n">
        <v>17</v>
      </c>
      <c r="AE88" t="n">
        <v>17</v>
      </c>
      <c r="AF88" t="n">
        <v>4</v>
      </c>
      <c r="AG88" t="n">
        <v>4</v>
      </c>
      <c r="AH88" t="n">
        <v>7</v>
      </c>
      <c r="AI88" t="n">
        <v>7</v>
      </c>
      <c r="AJ88" t="n">
        <v>11</v>
      </c>
      <c r="AK88" t="n">
        <v>11</v>
      </c>
      <c r="AL88" t="n">
        <v>0</v>
      </c>
      <c r="AM88" t="n">
        <v>0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HYPERLINK("https://creighton-primo.hosted.exlibrisgroup.com/primo-explore/search?tab=default_tab&amp;search_scope=EVERYTHING&amp;vid=01CRU&amp;lang=en_US&amp;offset=0&amp;query=any,contains,991002550739702656","Catalog Record")</f>
        <v/>
      </c>
      <c r="AT88">
        <f>HYPERLINK("http://www.worldcat.org/oclc/33133013","WorldCat Record")</f>
        <v/>
      </c>
      <c r="AU88" t="inlineStr">
        <is>
          <t>8908683588:eng</t>
        </is>
      </c>
      <c r="AV88" t="inlineStr">
        <is>
          <t>33133013</t>
        </is>
      </c>
      <c r="AW88" t="inlineStr">
        <is>
          <t>991002550739702656</t>
        </is>
      </c>
      <c r="AX88" t="inlineStr">
        <is>
          <t>991002550739702656</t>
        </is>
      </c>
      <c r="AY88" t="inlineStr">
        <is>
          <t>2269335930002656</t>
        </is>
      </c>
      <c r="AZ88" t="inlineStr">
        <is>
          <t>BOOK</t>
        </is>
      </c>
      <c r="BB88" t="inlineStr">
        <is>
          <t>9780415138628</t>
        </is>
      </c>
      <c r="BC88" t="inlineStr">
        <is>
          <t>32285003509600</t>
        </is>
      </c>
      <c r="BD88" t="inlineStr">
        <is>
          <t>893262345</t>
        </is>
      </c>
      <c r="BE88" t="inlineStr">
        <is>
          <t>S Brown</t>
        </is>
      </c>
    </row>
    <row r="89">
      <c r="A89" t="inlineStr">
        <is>
          <t>No</t>
        </is>
      </c>
      <c r="B89" t="inlineStr">
        <is>
          <t>BS2585.2 .C3413 1986</t>
        </is>
      </c>
      <c r="C89" t="inlineStr">
        <is>
          <t>0                      BS 2585200C  3413        1986</t>
        </is>
      </c>
      <c r="D89" t="inlineStr">
        <is>
          <t>A poor man called Jesus : reflections on the Gospel of Mark / José Cárdenas Pallares ; translated from the Spanish by Robert R. Barr.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Cárdenas Pallares, José.</t>
        </is>
      </c>
      <c r="L89" t="inlineStr">
        <is>
          <t>Maryknoll, NY : Orbis Books, c1986.</t>
        </is>
      </c>
      <c r="M89" t="inlineStr">
        <is>
          <t>1986</t>
        </is>
      </c>
      <c r="O89" t="inlineStr">
        <is>
          <t>eng</t>
        </is>
      </c>
      <c r="P89" t="inlineStr">
        <is>
          <t>nyu</t>
        </is>
      </c>
      <c r="R89" t="inlineStr">
        <is>
          <t xml:space="preserve">BS </t>
        </is>
      </c>
      <c r="S89" t="n">
        <v>9</v>
      </c>
      <c r="T89" t="n">
        <v>9</v>
      </c>
      <c r="U89" t="inlineStr">
        <is>
          <t>2010-03-29</t>
        </is>
      </c>
      <c r="V89" t="inlineStr">
        <is>
          <t>2010-03-29</t>
        </is>
      </c>
      <c r="W89" t="inlineStr">
        <is>
          <t>1990-02-26</t>
        </is>
      </c>
      <c r="X89" t="inlineStr">
        <is>
          <t>1990-02-26</t>
        </is>
      </c>
      <c r="Y89" t="n">
        <v>255</v>
      </c>
      <c r="Z89" t="n">
        <v>206</v>
      </c>
      <c r="AA89" t="n">
        <v>206</v>
      </c>
      <c r="AB89" t="n">
        <v>1</v>
      </c>
      <c r="AC89" t="n">
        <v>1</v>
      </c>
      <c r="AD89" t="n">
        <v>15</v>
      </c>
      <c r="AE89" t="n">
        <v>15</v>
      </c>
      <c r="AF89" t="n">
        <v>5</v>
      </c>
      <c r="AG89" t="n">
        <v>5</v>
      </c>
      <c r="AH89" t="n">
        <v>4</v>
      </c>
      <c r="AI89" t="n">
        <v>4</v>
      </c>
      <c r="AJ89" t="n">
        <v>10</v>
      </c>
      <c r="AK89" t="n">
        <v>10</v>
      </c>
      <c r="AL89" t="n">
        <v>0</v>
      </c>
      <c r="AM89" t="n">
        <v>0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HYPERLINK("https://creighton-primo.hosted.exlibrisgroup.com/primo-explore/search?tab=default_tab&amp;search_scope=EVERYTHING&amp;vid=01CRU&amp;lang=en_US&amp;offset=0&amp;query=any,contains,991000669979702656","Catalog Record")</f>
        <v/>
      </c>
      <c r="AT89">
        <f>HYPERLINK("http://www.worldcat.org/oclc/12313976","WorldCat Record")</f>
        <v/>
      </c>
      <c r="AU89" t="inlineStr">
        <is>
          <t>4956465:eng</t>
        </is>
      </c>
      <c r="AV89" t="inlineStr">
        <is>
          <t>12313976</t>
        </is>
      </c>
      <c r="AW89" t="inlineStr">
        <is>
          <t>991000669979702656</t>
        </is>
      </c>
      <c r="AX89" t="inlineStr">
        <is>
          <t>991000669979702656</t>
        </is>
      </c>
      <c r="AY89" t="inlineStr">
        <is>
          <t>2271747760002656</t>
        </is>
      </c>
      <c r="AZ89" t="inlineStr">
        <is>
          <t>BOOK</t>
        </is>
      </c>
      <c r="BB89" t="inlineStr">
        <is>
          <t>9780883443989</t>
        </is>
      </c>
      <c r="BC89" t="inlineStr">
        <is>
          <t>32285000059385</t>
        </is>
      </c>
      <c r="BD89" t="inlineStr">
        <is>
          <t>893897108</t>
        </is>
      </c>
      <c r="BE89" t="inlineStr">
        <is>
          <t>S Brown</t>
        </is>
      </c>
    </row>
    <row r="90">
      <c r="A90" t="inlineStr">
        <is>
          <t>No</t>
        </is>
      </c>
      <c r="B90" t="inlineStr">
        <is>
          <t>BS2585.2 .C45 1973</t>
        </is>
      </c>
      <c r="C90" t="inlineStr">
        <is>
          <t>0                      BS 2585200C  45          1973</t>
        </is>
      </c>
      <c r="D90" t="inlineStr">
        <is>
          <t>Christology and a modern pilgrimage; a discussion with Norman Perrin. Edited by Hans Dieter Betz.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L90" t="inlineStr">
        <is>
          <t>[Missoula, Mont.] Society of Biblical Literature, 1971 [reprinted 1973, c1971]</t>
        </is>
      </c>
      <c r="M90" t="inlineStr">
        <is>
          <t>1973</t>
        </is>
      </c>
      <c r="O90" t="inlineStr">
        <is>
          <t>eng</t>
        </is>
      </c>
      <c r="P90" t="inlineStr">
        <is>
          <t>___</t>
        </is>
      </c>
      <c r="R90" t="inlineStr">
        <is>
          <t xml:space="preserve">BS </t>
        </is>
      </c>
      <c r="S90" t="n">
        <v>8</v>
      </c>
      <c r="T90" t="n">
        <v>8</v>
      </c>
      <c r="U90" t="inlineStr">
        <is>
          <t>2001-10-11</t>
        </is>
      </c>
      <c r="V90" t="inlineStr">
        <is>
          <t>2001-10-11</t>
        </is>
      </c>
      <c r="W90" t="inlineStr">
        <is>
          <t>1991-05-03</t>
        </is>
      </c>
      <c r="X90" t="inlineStr">
        <is>
          <t>1991-05-03</t>
        </is>
      </c>
      <c r="Y90" t="n">
        <v>10</v>
      </c>
      <c r="Z90" t="n">
        <v>9</v>
      </c>
      <c r="AA90" t="n">
        <v>214</v>
      </c>
      <c r="AB90" t="n">
        <v>1</v>
      </c>
      <c r="AC90" t="n">
        <v>2</v>
      </c>
      <c r="AD90" t="n">
        <v>0</v>
      </c>
      <c r="AE90" t="n">
        <v>22</v>
      </c>
      <c r="AF90" t="n">
        <v>0</v>
      </c>
      <c r="AG90" t="n">
        <v>10</v>
      </c>
      <c r="AH90" t="n">
        <v>0</v>
      </c>
      <c r="AI90" t="n">
        <v>6</v>
      </c>
      <c r="AJ90" t="n">
        <v>0</v>
      </c>
      <c r="AK90" t="n">
        <v>12</v>
      </c>
      <c r="AL90" t="n">
        <v>0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HYPERLINK("https://creighton-primo.hosted.exlibrisgroup.com/primo-explore/search?tab=default_tab&amp;search_scope=EVERYTHING&amp;vid=01CRU&amp;lang=en_US&amp;offset=0&amp;query=any,contains,991003521789702656","Catalog Record")</f>
        <v/>
      </c>
      <c r="AT90">
        <f>HYPERLINK("http://www.worldcat.org/oclc/1083681","WorldCat Record")</f>
        <v/>
      </c>
      <c r="AU90" t="inlineStr">
        <is>
          <t>365533130:eng</t>
        </is>
      </c>
      <c r="AV90" t="inlineStr">
        <is>
          <t>1083681</t>
        </is>
      </c>
      <c r="AW90" t="inlineStr">
        <is>
          <t>991003521789702656</t>
        </is>
      </c>
      <c r="AX90" t="inlineStr">
        <is>
          <t>991003521789702656</t>
        </is>
      </c>
      <c r="AY90" t="inlineStr">
        <is>
          <t>2267961830002656</t>
        </is>
      </c>
      <c r="AZ90" t="inlineStr">
        <is>
          <t>BOOK</t>
        </is>
      </c>
      <c r="BB90" t="inlineStr">
        <is>
          <t>9780884140009</t>
        </is>
      </c>
      <c r="BC90" t="inlineStr">
        <is>
          <t>32285000558048</t>
        </is>
      </c>
      <c r="BD90" t="inlineStr">
        <is>
          <t>893627629</t>
        </is>
      </c>
      <c r="BE90" t="inlineStr">
        <is>
          <t>S Brown</t>
        </is>
      </c>
    </row>
    <row r="91">
      <c r="A91" t="inlineStr">
        <is>
          <t>No</t>
        </is>
      </c>
      <c r="B91" t="inlineStr">
        <is>
          <t>BS2585.2 .F35</t>
        </is>
      </c>
      <c r="C91" t="inlineStr">
        <is>
          <t>0                      BS 2585200F  35</t>
        </is>
      </c>
      <c r="D91" t="inlineStr">
        <is>
          <t>The last twelve verses of Mark / by William R. Farmer.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Farmer, William R. (William Reuben), 1921-2000.</t>
        </is>
      </c>
      <c r="L91" t="inlineStr">
        <is>
          <t>[London, New York] : Cambridge University Press, [1974]</t>
        </is>
      </c>
      <c r="M91" t="inlineStr">
        <is>
          <t>1974</t>
        </is>
      </c>
      <c r="O91" t="inlineStr">
        <is>
          <t>eng</t>
        </is>
      </c>
      <c r="P91" t="inlineStr">
        <is>
          <t>enk</t>
        </is>
      </c>
      <c r="Q91" t="inlineStr">
        <is>
          <t>Society for New Testament Studies. Monograph series, 25</t>
        </is>
      </c>
      <c r="R91" t="inlineStr">
        <is>
          <t xml:space="preserve">BS </t>
        </is>
      </c>
      <c r="S91" t="n">
        <v>6</v>
      </c>
      <c r="T91" t="n">
        <v>6</v>
      </c>
      <c r="U91" t="inlineStr">
        <is>
          <t>2007-11-18</t>
        </is>
      </c>
      <c r="V91" t="inlineStr">
        <is>
          <t>2007-11-18</t>
        </is>
      </c>
      <c r="W91" t="inlineStr">
        <is>
          <t>1991-05-03</t>
        </is>
      </c>
      <c r="X91" t="inlineStr">
        <is>
          <t>1991-05-03</t>
        </is>
      </c>
      <c r="Y91" t="n">
        <v>507</v>
      </c>
      <c r="Z91" t="n">
        <v>391</v>
      </c>
      <c r="AA91" t="n">
        <v>399</v>
      </c>
      <c r="AB91" t="n">
        <v>4</v>
      </c>
      <c r="AC91" t="n">
        <v>4</v>
      </c>
      <c r="AD91" t="n">
        <v>28</v>
      </c>
      <c r="AE91" t="n">
        <v>28</v>
      </c>
      <c r="AF91" t="n">
        <v>9</v>
      </c>
      <c r="AG91" t="n">
        <v>9</v>
      </c>
      <c r="AH91" t="n">
        <v>5</v>
      </c>
      <c r="AI91" t="n">
        <v>5</v>
      </c>
      <c r="AJ91" t="n">
        <v>16</v>
      </c>
      <c r="AK91" t="n">
        <v>16</v>
      </c>
      <c r="AL91" t="n">
        <v>3</v>
      </c>
      <c r="AM91" t="n">
        <v>3</v>
      </c>
      <c r="AN91" t="n">
        <v>0</v>
      </c>
      <c r="AO91" t="n">
        <v>0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HYPERLINK("https://creighton-primo.hosted.exlibrisgroup.com/primo-explore/search?tab=default_tab&amp;search_scope=EVERYTHING&amp;vid=01CRU&amp;lang=en_US&amp;offset=0&amp;query=any,contains,991003444259702656","Catalog Record")</f>
        <v/>
      </c>
      <c r="AT91">
        <f>HYPERLINK("http://www.worldcat.org/oclc/980076","WorldCat Record")</f>
        <v/>
      </c>
      <c r="AU91" t="inlineStr">
        <is>
          <t>1944046:eng</t>
        </is>
      </c>
      <c r="AV91" t="inlineStr">
        <is>
          <t>980076</t>
        </is>
      </c>
      <c r="AW91" t="inlineStr">
        <is>
          <t>991003444259702656</t>
        </is>
      </c>
      <c r="AX91" t="inlineStr">
        <is>
          <t>991003444259702656</t>
        </is>
      </c>
      <c r="AY91" t="inlineStr">
        <is>
          <t>2271339520002656</t>
        </is>
      </c>
      <c r="AZ91" t="inlineStr">
        <is>
          <t>BOOK</t>
        </is>
      </c>
      <c r="BB91" t="inlineStr">
        <is>
          <t>9780521204149</t>
        </is>
      </c>
      <c r="BC91" t="inlineStr">
        <is>
          <t>32285000558089</t>
        </is>
      </c>
      <c r="BD91" t="inlineStr">
        <is>
          <t>893524814</t>
        </is>
      </c>
      <c r="BE91" t="inlineStr">
        <is>
          <t>S Brown</t>
        </is>
      </c>
    </row>
    <row r="92">
      <c r="A92" t="inlineStr">
        <is>
          <t>No</t>
        </is>
      </c>
      <c r="B92" t="inlineStr">
        <is>
          <t>BS2585.2 .M29 1982</t>
        </is>
      </c>
      <c r="C92" t="inlineStr">
        <is>
          <t>0                      BS 2585200M  29          1982</t>
        </is>
      </c>
      <c r="D92" t="inlineStr">
        <is>
          <t>The kingship of Jesus ; composition and theology in Mark 15 / Frank J. Matera.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Matera, Frank J.</t>
        </is>
      </c>
      <c r="L92" t="inlineStr">
        <is>
          <t>Chico, CA : Scholars Press, c1982.</t>
        </is>
      </c>
      <c r="M92" t="inlineStr">
        <is>
          <t>1982</t>
        </is>
      </c>
      <c r="O92" t="inlineStr">
        <is>
          <t>eng</t>
        </is>
      </c>
      <c r="P92" t="inlineStr">
        <is>
          <t>cau</t>
        </is>
      </c>
      <c r="Q92" t="inlineStr">
        <is>
          <t>Dissertation series (Society of Biblical Literature) ; no. 66</t>
        </is>
      </c>
      <c r="R92" t="inlineStr">
        <is>
          <t xml:space="preserve">BS </t>
        </is>
      </c>
      <c r="S92" t="n">
        <v>6</v>
      </c>
      <c r="T92" t="n">
        <v>6</v>
      </c>
      <c r="U92" t="inlineStr">
        <is>
          <t>2006-03-17</t>
        </is>
      </c>
      <c r="V92" t="inlineStr">
        <is>
          <t>2006-03-17</t>
        </is>
      </c>
      <c r="W92" t="inlineStr">
        <is>
          <t>1990-02-26</t>
        </is>
      </c>
      <c r="X92" t="inlineStr">
        <is>
          <t>1990-02-26</t>
        </is>
      </c>
      <c r="Y92" t="n">
        <v>279</v>
      </c>
      <c r="Z92" t="n">
        <v>205</v>
      </c>
      <c r="AA92" t="n">
        <v>212</v>
      </c>
      <c r="AB92" t="n">
        <v>2</v>
      </c>
      <c r="AC92" t="n">
        <v>2</v>
      </c>
      <c r="AD92" t="n">
        <v>15</v>
      </c>
      <c r="AE92" t="n">
        <v>15</v>
      </c>
      <c r="AF92" t="n">
        <v>4</v>
      </c>
      <c r="AG92" t="n">
        <v>4</v>
      </c>
      <c r="AH92" t="n">
        <v>6</v>
      </c>
      <c r="AI92" t="n">
        <v>6</v>
      </c>
      <c r="AJ92" t="n">
        <v>9</v>
      </c>
      <c r="AK92" t="n">
        <v>9</v>
      </c>
      <c r="AL92" t="n">
        <v>1</v>
      </c>
      <c r="AM92" t="n">
        <v>1</v>
      </c>
      <c r="AN92" t="n">
        <v>0</v>
      </c>
      <c r="AO92" t="n">
        <v>0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HYPERLINK("https://creighton-primo.hosted.exlibrisgroup.com/primo-explore/search?tab=default_tab&amp;search_scope=EVERYTHING&amp;vid=01CRU&amp;lang=en_US&amp;offset=0&amp;query=any,contains,991005211479702656","Catalog Record")</f>
        <v/>
      </c>
      <c r="AT92">
        <f>HYPERLINK("http://www.worldcat.org/oclc/8169451","WorldCat Record")</f>
        <v/>
      </c>
      <c r="AU92" t="inlineStr">
        <is>
          <t>548212:eng</t>
        </is>
      </c>
      <c r="AV92" t="inlineStr">
        <is>
          <t>8169451</t>
        </is>
      </c>
      <c r="AW92" t="inlineStr">
        <is>
          <t>991005211479702656</t>
        </is>
      </c>
      <c r="AX92" t="inlineStr">
        <is>
          <t>991005211479702656</t>
        </is>
      </c>
      <c r="AY92" t="inlineStr">
        <is>
          <t>2269610710002656</t>
        </is>
      </c>
      <c r="AZ92" t="inlineStr">
        <is>
          <t>BOOK</t>
        </is>
      </c>
      <c r="BB92" t="inlineStr">
        <is>
          <t>9780891305644</t>
        </is>
      </c>
      <c r="BC92" t="inlineStr">
        <is>
          <t>32285000070366</t>
        </is>
      </c>
      <c r="BD92" t="inlineStr">
        <is>
          <t>893625629</t>
        </is>
      </c>
      <c r="BE92" t="inlineStr">
        <is>
          <t>S Brown</t>
        </is>
      </c>
    </row>
    <row r="93">
      <c r="A93" t="inlineStr">
        <is>
          <t>No</t>
        </is>
      </c>
      <c r="B93" t="inlineStr">
        <is>
          <t>BS2585.2 .S48 1995</t>
        </is>
      </c>
      <c r="C93" t="inlineStr">
        <is>
          <t>0                      BS 2585200S  48          1995</t>
        </is>
      </c>
      <c r="D93" t="inlineStr">
        <is>
          <t>Follow me! : disciples in Markan rhetoric / Whitney Taylor Shiner.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Shiner, Whitney Taylor.</t>
        </is>
      </c>
      <c r="L93" t="inlineStr">
        <is>
          <t>Atlanta, Ga. : Scholars Press, c1995.</t>
        </is>
      </c>
      <c r="M93" t="inlineStr">
        <is>
          <t>1995</t>
        </is>
      </c>
      <c r="O93" t="inlineStr">
        <is>
          <t>eng</t>
        </is>
      </c>
      <c r="P93" t="inlineStr">
        <is>
          <t>gau</t>
        </is>
      </c>
      <c r="Q93" t="inlineStr">
        <is>
          <t>Dissertation series (Society of Biblical Literature) ; no. 145</t>
        </is>
      </c>
      <c r="R93" t="inlineStr">
        <is>
          <t xml:space="preserve">BS </t>
        </is>
      </c>
      <c r="S93" t="n">
        <v>5</v>
      </c>
      <c r="T93" t="n">
        <v>5</v>
      </c>
      <c r="U93" t="inlineStr">
        <is>
          <t>2005-03-21</t>
        </is>
      </c>
      <c r="V93" t="inlineStr">
        <is>
          <t>2005-03-21</t>
        </is>
      </c>
      <c r="W93" t="inlineStr">
        <is>
          <t>1999-01-06</t>
        </is>
      </c>
      <c r="X93" t="inlineStr">
        <is>
          <t>1999-01-06</t>
        </is>
      </c>
      <c r="Y93" t="n">
        <v>209</v>
      </c>
      <c r="Z93" t="n">
        <v>165</v>
      </c>
      <c r="AA93" t="n">
        <v>173</v>
      </c>
      <c r="AB93" t="n">
        <v>2</v>
      </c>
      <c r="AC93" t="n">
        <v>2</v>
      </c>
      <c r="AD93" t="n">
        <v>16</v>
      </c>
      <c r="AE93" t="n">
        <v>16</v>
      </c>
      <c r="AF93" t="n">
        <v>8</v>
      </c>
      <c r="AG93" t="n">
        <v>8</v>
      </c>
      <c r="AH93" t="n">
        <v>5</v>
      </c>
      <c r="AI93" t="n">
        <v>5</v>
      </c>
      <c r="AJ93" t="n">
        <v>6</v>
      </c>
      <c r="AK93" t="n">
        <v>6</v>
      </c>
      <c r="AL93" t="n">
        <v>1</v>
      </c>
      <c r="AM93" t="n">
        <v>1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HYPERLINK("https://creighton-primo.hosted.exlibrisgroup.com/primo-explore/search?tab=default_tab&amp;search_scope=EVERYTHING&amp;vid=01CRU&amp;lang=en_US&amp;offset=0&amp;query=any,contains,991002275329702656","Catalog Record")</f>
        <v/>
      </c>
      <c r="AT93">
        <f>HYPERLINK("http://www.worldcat.org/oclc/29520771","WorldCat Record")</f>
        <v/>
      </c>
      <c r="AU93" t="inlineStr">
        <is>
          <t>372402695:eng</t>
        </is>
      </c>
      <c r="AV93" t="inlineStr">
        <is>
          <t>29520771</t>
        </is>
      </c>
      <c r="AW93" t="inlineStr">
        <is>
          <t>991002275329702656</t>
        </is>
      </c>
      <c r="AX93" t="inlineStr">
        <is>
          <t>991002275329702656</t>
        </is>
      </c>
      <c r="AY93" t="inlineStr">
        <is>
          <t>2265549170002656</t>
        </is>
      </c>
      <c r="AZ93" t="inlineStr">
        <is>
          <t>BOOK</t>
        </is>
      </c>
      <c r="BB93" t="inlineStr">
        <is>
          <t>9781555409401</t>
        </is>
      </c>
      <c r="BC93" t="inlineStr">
        <is>
          <t>32285003509618</t>
        </is>
      </c>
      <c r="BD93" t="inlineStr">
        <is>
          <t>893597235</t>
        </is>
      </c>
      <c r="BE93" t="inlineStr">
        <is>
          <t>S Brown</t>
        </is>
      </c>
    </row>
    <row r="94">
      <c r="A94" t="inlineStr">
        <is>
          <t>No</t>
        </is>
      </c>
      <c r="B94" t="inlineStr">
        <is>
          <t>BS2595.2 .R43 1993</t>
        </is>
      </c>
      <c r="C94" t="inlineStr">
        <is>
          <t>0                      BS 2595200R  43          1993</t>
        </is>
      </c>
      <c r="D94" t="inlineStr">
        <is>
          <t>The transfiguration : a source- and redaction- critical study of Luke 9:28-36 / by Barbara E. Reid.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Reid, Barbara E.</t>
        </is>
      </c>
      <c r="L94" t="inlineStr">
        <is>
          <t>Paris : Gabalda, 1993.</t>
        </is>
      </c>
      <c r="M94" t="inlineStr">
        <is>
          <t>1993</t>
        </is>
      </c>
      <c r="O94" t="inlineStr">
        <is>
          <t>eng</t>
        </is>
      </c>
      <c r="P94" t="inlineStr">
        <is>
          <t xml:space="preserve">fr </t>
        </is>
      </c>
      <c r="Q94" t="inlineStr">
        <is>
          <t>Cahiers de la Revue biblique ; 32</t>
        </is>
      </c>
      <c r="R94" t="inlineStr">
        <is>
          <t xml:space="preserve">BS </t>
        </is>
      </c>
      <c r="S94" t="n">
        <v>3</v>
      </c>
      <c r="T94" t="n">
        <v>3</v>
      </c>
      <c r="U94" t="inlineStr">
        <is>
          <t>2010-12-02</t>
        </is>
      </c>
      <c r="V94" t="inlineStr">
        <is>
          <t>2010-12-02</t>
        </is>
      </c>
      <c r="W94" t="inlineStr">
        <is>
          <t>2005-08-25</t>
        </is>
      </c>
      <c r="X94" t="inlineStr">
        <is>
          <t>2005-08-25</t>
        </is>
      </c>
      <c r="Y94" t="n">
        <v>96</v>
      </c>
      <c r="Z94" t="n">
        <v>68</v>
      </c>
      <c r="AA94" t="n">
        <v>71</v>
      </c>
      <c r="AB94" t="n">
        <v>1</v>
      </c>
      <c r="AC94" t="n">
        <v>1</v>
      </c>
      <c r="AD94" t="n">
        <v>4</v>
      </c>
      <c r="AE94" t="n">
        <v>4</v>
      </c>
      <c r="AF94" t="n">
        <v>0</v>
      </c>
      <c r="AG94" t="n">
        <v>0</v>
      </c>
      <c r="AH94" t="n">
        <v>1</v>
      </c>
      <c r="AI94" t="n">
        <v>1</v>
      </c>
      <c r="AJ94" t="n">
        <v>3</v>
      </c>
      <c r="AK94" t="n">
        <v>3</v>
      </c>
      <c r="AL94" t="n">
        <v>0</v>
      </c>
      <c r="AM94" t="n">
        <v>0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HYPERLINK("http://catalog.hathitrust.org/Record/002716588","HathiTrust Record")</f>
        <v/>
      </c>
      <c r="AS94">
        <f>HYPERLINK("https://creighton-primo.hosted.exlibrisgroup.com/primo-explore/search?tab=default_tab&amp;search_scope=EVERYTHING&amp;vid=01CRU&amp;lang=en_US&amp;offset=0&amp;query=any,contains,991004634919702656","Catalog Record")</f>
        <v/>
      </c>
      <c r="AT94">
        <f>HYPERLINK("http://www.worldcat.org/oclc/28308746","WorldCat Record")</f>
        <v/>
      </c>
      <c r="AU94" t="inlineStr">
        <is>
          <t>807475333:eng</t>
        </is>
      </c>
      <c r="AV94" t="inlineStr">
        <is>
          <t>28308746</t>
        </is>
      </c>
      <c r="AW94" t="inlineStr">
        <is>
          <t>991004634919702656</t>
        </is>
      </c>
      <c r="AX94" t="inlineStr">
        <is>
          <t>991004634919702656</t>
        </is>
      </c>
      <c r="AY94" t="inlineStr">
        <is>
          <t>2270824950002656</t>
        </is>
      </c>
      <c r="AZ94" t="inlineStr">
        <is>
          <t>BOOK</t>
        </is>
      </c>
      <c r="BB94" t="inlineStr">
        <is>
          <t>9782850210617</t>
        </is>
      </c>
      <c r="BC94" t="inlineStr">
        <is>
          <t>32285001736825</t>
        </is>
      </c>
      <c r="BD94" t="inlineStr">
        <is>
          <t>893344060</t>
        </is>
      </c>
      <c r="BE94" t="inlineStr">
        <is>
          <t>S Brown</t>
        </is>
      </c>
    </row>
    <row r="95">
      <c r="A95" t="inlineStr">
        <is>
          <t>No</t>
        </is>
      </c>
      <c r="B95" t="inlineStr">
        <is>
          <t>BS2601 .C47</t>
        </is>
      </c>
      <c r="C95" t="inlineStr">
        <is>
          <t>0                      BS 2601000C  47</t>
        </is>
      </c>
      <c r="D95" t="inlineStr">
        <is>
          <t>John and Qumran [by] Raymond E. Brown [and others] edited by James H. Charlesworth.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Charlesworth, James H.</t>
        </is>
      </c>
      <c r="L95" t="inlineStr">
        <is>
          <t>London, Geoffrey Chapman Publishers, 1972.</t>
        </is>
      </c>
      <c r="M95" t="inlineStr">
        <is>
          <t>1972</t>
        </is>
      </c>
      <c r="O95" t="inlineStr">
        <is>
          <t>eng</t>
        </is>
      </c>
      <c r="P95" t="inlineStr">
        <is>
          <t>enk</t>
        </is>
      </c>
      <c r="R95" t="inlineStr">
        <is>
          <t xml:space="preserve">BS </t>
        </is>
      </c>
      <c r="S95" t="n">
        <v>9</v>
      </c>
      <c r="T95" t="n">
        <v>9</v>
      </c>
      <c r="U95" t="inlineStr">
        <is>
          <t>2000-03-27</t>
        </is>
      </c>
      <c r="V95" t="inlineStr">
        <is>
          <t>2000-03-27</t>
        </is>
      </c>
      <c r="W95" t="inlineStr">
        <is>
          <t>1991-05-07</t>
        </is>
      </c>
      <c r="X95" t="inlineStr">
        <is>
          <t>1991-05-07</t>
        </is>
      </c>
      <c r="Y95" t="n">
        <v>358</v>
      </c>
      <c r="Z95" t="n">
        <v>242</v>
      </c>
      <c r="AA95" t="n">
        <v>243</v>
      </c>
      <c r="AB95" t="n">
        <v>3</v>
      </c>
      <c r="AC95" t="n">
        <v>3</v>
      </c>
      <c r="AD95" t="n">
        <v>19</v>
      </c>
      <c r="AE95" t="n">
        <v>19</v>
      </c>
      <c r="AF95" t="n">
        <v>6</v>
      </c>
      <c r="AG95" t="n">
        <v>6</v>
      </c>
      <c r="AH95" t="n">
        <v>5</v>
      </c>
      <c r="AI95" t="n">
        <v>5</v>
      </c>
      <c r="AJ95" t="n">
        <v>12</v>
      </c>
      <c r="AK95" t="n">
        <v>12</v>
      </c>
      <c r="AL95" t="n">
        <v>1</v>
      </c>
      <c r="AM95" t="n">
        <v>1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HYPERLINK("https://creighton-primo.hosted.exlibrisgroup.com/primo-explore/search?tab=default_tab&amp;search_scope=EVERYTHING&amp;vid=01CRU&amp;lang=en_US&amp;offset=0&amp;query=any,contains,991002865829702656","Catalog Record")</f>
        <v/>
      </c>
      <c r="AT95">
        <f>HYPERLINK("http://www.worldcat.org/oclc/495676","WorldCat Record")</f>
        <v/>
      </c>
      <c r="AU95" t="inlineStr">
        <is>
          <t>346683905:eng</t>
        </is>
      </c>
      <c r="AV95" t="inlineStr">
        <is>
          <t>495676</t>
        </is>
      </c>
      <c r="AW95" t="inlineStr">
        <is>
          <t>991002865829702656</t>
        </is>
      </c>
      <c r="AX95" t="inlineStr">
        <is>
          <t>991002865829702656</t>
        </is>
      </c>
      <c r="AY95" t="inlineStr">
        <is>
          <t>2256776960002656</t>
        </is>
      </c>
      <c r="AZ95" t="inlineStr">
        <is>
          <t>BOOK</t>
        </is>
      </c>
      <c r="BB95" t="inlineStr">
        <is>
          <t>9780225661019</t>
        </is>
      </c>
      <c r="BC95" t="inlineStr">
        <is>
          <t>32285000559350</t>
        </is>
      </c>
      <c r="BD95" t="inlineStr">
        <is>
          <t>893257818</t>
        </is>
      </c>
      <c r="BE95" t="inlineStr">
        <is>
          <t>S Brown</t>
        </is>
      </c>
    </row>
    <row r="96">
      <c r="A96" t="inlineStr">
        <is>
          <t>No</t>
        </is>
      </c>
      <c r="B96" t="inlineStr">
        <is>
          <t>BS2601 .M5413</t>
        </is>
      </c>
      <c r="C96" t="inlineStr">
        <is>
          <t>0                      BS 2601000M  5413</t>
        </is>
      </c>
      <c r="D96" t="inlineStr">
        <is>
          <t>Being and the Messiah : the message of St. John / José Porfirio Miranda ; translated by John Eagleson.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Miranda, José Porfirio.</t>
        </is>
      </c>
      <c r="L96" t="inlineStr">
        <is>
          <t>Maryknoll, N.Y. : Orbis Books, c1977.</t>
        </is>
      </c>
      <c r="M96" t="inlineStr">
        <is>
          <t>1977</t>
        </is>
      </c>
      <c r="O96" t="inlineStr">
        <is>
          <t>eng</t>
        </is>
      </c>
      <c r="P96" t="inlineStr">
        <is>
          <t>nyu</t>
        </is>
      </c>
      <c r="R96" t="inlineStr">
        <is>
          <t xml:space="preserve">BS </t>
        </is>
      </c>
      <c r="S96" t="n">
        <v>3</v>
      </c>
      <c r="T96" t="n">
        <v>3</v>
      </c>
      <c r="U96" t="inlineStr">
        <is>
          <t>2009-04-16</t>
        </is>
      </c>
      <c r="V96" t="inlineStr">
        <is>
          <t>2009-04-16</t>
        </is>
      </c>
      <c r="W96" t="inlineStr">
        <is>
          <t>1991-05-07</t>
        </is>
      </c>
      <c r="X96" t="inlineStr">
        <is>
          <t>1991-05-07</t>
        </is>
      </c>
      <c r="Y96" t="n">
        <v>451</v>
      </c>
      <c r="Z96" t="n">
        <v>365</v>
      </c>
      <c r="AA96" t="n">
        <v>369</v>
      </c>
      <c r="AB96" t="n">
        <v>4</v>
      </c>
      <c r="AC96" t="n">
        <v>4</v>
      </c>
      <c r="AD96" t="n">
        <v>27</v>
      </c>
      <c r="AE96" t="n">
        <v>27</v>
      </c>
      <c r="AF96" t="n">
        <v>8</v>
      </c>
      <c r="AG96" t="n">
        <v>8</v>
      </c>
      <c r="AH96" t="n">
        <v>6</v>
      </c>
      <c r="AI96" t="n">
        <v>6</v>
      </c>
      <c r="AJ96" t="n">
        <v>18</v>
      </c>
      <c r="AK96" t="n">
        <v>18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HYPERLINK("http://catalog.hathitrust.org/Record/011801226","HathiTrust Record")</f>
        <v/>
      </c>
      <c r="AS96">
        <f>HYPERLINK("https://creighton-primo.hosted.exlibrisgroup.com/primo-explore/search?tab=default_tab&amp;search_scope=EVERYTHING&amp;vid=01CRU&amp;lang=en_US&amp;offset=0&amp;query=any,contains,991004267699702656","Catalog Record")</f>
        <v/>
      </c>
      <c r="AT96">
        <f>HYPERLINK("http://www.worldcat.org/oclc/2873344","WorldCat Record")</f>
        <v/>
      </c>
      <c r="AU96" t="inlineStr">
        <is>
          <t>1089553128:eng</t>
        </is>
      </c>
      <c r="AV96" t="inlineStr">
        <is>
          <t>2873344</t>
        </is>
      </c>
      <c r="AW96" t="inlineStr">
        <is>
          <t>991004267699702656</t>
        </is>
      </c>
      <c r="AX96" t="inlineStr">
        <is>
          <t>991004267699702656</t>
        </is>
      </c>
      <c r="AY96" t="inlineStr">
        <is>
          <t>2259403150002656</t>
        </is>
      </c>
      <c r="AZ96" t="inlineStr">
        <is>
          <t>BOOK</t>
        </is>
      </c>
      <c r="BB96" t="inlineStr">
        <is>
          <t>9780883440278</t>
        </is>
      </c>
      <c r="BC96" t="inlineStr">
        <is>
          <t>32285000559459</t>
        </is>
      </c>
      <c r="BD96" t="inlineStr">
        <is>
          <t>893782046</t>
        </is>
      </c>
      <c r="BE96" t="inlineStr">
        <is>
          <t>S Brown</t>
        </is>
      </c>
    </row>
    <row r="97">
      <c r="A97" t="inlineStr">
        <is>
          <t>No</t>
        </is>
      </c>
      <c r="B97" t="inlineStr">
        <is>
          <t>BS2615 .G27</t>
        </is>
      </c>
      <c r="C97" t="inlineStr">
        <is>
          <t>0                      BS 2615000G  27</t>
        </is>
      </c>
      <c r="D97" t="inlineStr">
        <is>
          <t>Saint John and the Synoptic gospels, by P. Gardner-Smith.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Gardner-Smith, P. (Percival), 1888-1985.</t>
        </is>
      </c>
      <c r="L97" t="inlineStr">
        <is>
          <t>Cambridge [Eng.] University Press, 1938.</t>
        </is>
      </c>
      <c r="M97" t="inlineStr">
        <is>
          <t>1938</t>
        </is>
      </c>
      <c r="O97" t="inlineStr">
        <is>
          <t>eng</t>
        </is>
      </c>
      <c r="P97" t="inlineStr">
        <is>
          <t>enk</t>
        </is>
      </c>
      <c r="R97" t="inlineStr">
        <is>
          <t xml:space="preserve">BS </t>
        </is>
      </c>
      <c r="S97" t="n">
        <v>9</v>
      </c>
      <c r="T97" t="n">
        <v>9</v>
      </c>
      <c r="U97" t="inlineStr">
        <is>
          <t>2001-10-24</t>
        </is>
      </c>
      <c r="V97" t="inlineStr">
        <is>
          <t>2001-10-24</t>
        </is>
      </c>
      <c r="W97" t="inlineStr">
        <is>
          <t>1991-05-07</t>
        </is>
      </c>
      <c r="X97" t="inlineStr">
        <is>
          <t>1991-05-07</t>
        </is>
      </c>
      <c r="Y97" t="n">
        <v>228</v>
      </c>
      <c r="Z97" t="n">
        <v>178</v>
      </c>
      <c r="AA97" t="n">
        <v>183</v>
      </c>
      <c r="AB97" t="n">
        <v>1</v>
      </c>
      <c r="AC97" t="n">
        <v>1</v>
      </c>
      <c r="AD97" t="n">
        <v>10</v>
      </c>
      <c r="AE97" t="n">
        <v>10</v>
      </c>
      <c r="AF97" t="n">
        <v>3</v>
      </c>
      <c r="AG97" t="n">
        <v>3</v>
      </c>
      <c r="AH97" t="n">
        <v>3</v>
      </c>
      <c r="AI97" t="n">
        <v>3</v>
      </c>
      <c r="AJ97" t="n">
        <v>6</v>
      </c>
      <c r="AK97" t="n">
        <v>6</v>
      </c>
      <c r="AL97" t="n">
        <v>0</v>
      </c>
      <c r="AM97" t="n">
        <v>0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HYPERLINK("https://creighton-primo.hosted.exlibrisgroup.com/primo-explore/search?tab=default_tab&amp;search_scope=EVERYTHING&amp;vid=01CRU&amp;lang=en_US&amp;offset=0&amp;query=any,contains,991004116579702656","Catalog Record")</f>
        <v/>
      </c>
      <c r="AT97">
        <f>HYPERLINK("http://www.worldcat.org/oclc/2414944","WorldCat Record")</f>
        <v/>
      </c>
      <c r="AU97" t="inlineStr">
        <is>
          <t>685185094:eng</t>
        </is>
      </c>
      <c r="AV97" t="inlineStr">
        <is>
          <t>2414944</t>
        </is>
      </c>
      <c r="AW97" t="inlineStr">
        <is>
          <t>991004116579702656</t>
        </is>
      </c>
      <c r="AX97" t="inlineStr">
        <is>
          <t>991004116579702656</t>
        </is>
      </c>
      <c r="AY97" t="inlineStr">
        <is>
          <t>2268100360002656</t>
        </is>
      </c>
      <c r="AZ97" t="inlineStr">
        <is>
          <t>BOOK</t>
        </is>
      </c>
      <c r="BC97" t="inlineStr">
        <is>
          <t>32285000559533</t>
        </is>
      </c>
      <c r="BD97" t="inlineStr">
        <is>
          <t>893806667</t>
        </is>
      </c>
      <c r="BE97" t="inlineStr">
        <is>
          <t>S Brown</t>
        </is>
      </c>
    </row>
    <row r="98">
      <c r="A98" t="inlineStr">
        <is>
          <t>No</t>
        </is>
      </c>
      <c r="B98" t="inlineStr">
        <is>
          <t>BS2615 .M374</t>
        </is>
      </c>
      <c r="C98" t="inlineStr">
        <is>
          <t>0                      BS 2615000M  374</t>
        </is>
      </c>
      <c r="D98" t="inlineStr">
        <is>
          <t>The Gospel according to Saint John. With an introd. and commentary by C. C. Martindale.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Bible. John. English. Douai. 1957.</t>
        </is>
      </c>
      <c r="L98" t="inlineStr">
        <is>
          <t>Westminster, Md., Newman Press [1957]</t>
        </is>
      </c>
      <c r="M98" t="inlineStr">
        <is>
          <t>1957</t>
        </is>
      </c>
      <c r="O98" t="inlineStr">
        <is>
          <t>eng</t>
        </is>
      </c>
      <c r="P98" t="inlineStr">
        <is>
          <t xml:space="preserve">xx </t>
        </is>
      </c>
      <c r="Q98" t="inlineStr">
        <is>
          <t>Stonyhurst Scripture manuals</t>
        </is>
      </c>
      <c r="R98" t="inlineStr">
        <is>
          <t xml:space="preserve">BS </t>
        </is>
      </c>
      <c r="S98" t="n">
        <v>4</v>
      </c>
      <c r="T98" t="n">
        <v>4</v>
      </c>
      <c r="U98" t="inlineStr">
        <is>
          <t>2001-10-02</t>
        </is>
      </c>
      <c r="V98" t="inlineStr">
        <is>
          <t>2001-10-02</t>
        </is>
      </c>
      <c r="W98" t="inlineStr">
        <is>
          <t>1991-05-08</t>
        </is>
      </c>
      <c r="X98" t="inlineStr">
        <is>
          <t>1991-05-08</t>
        </is>
      </c>
      <c r="Y98" t="n">
        <v>104</v>
      </c>
      <c r="Z98" t="n">
        <v>96</v>
      </c>
      <c r="AA98" t="n">
        <v>105</v>
      </c>
      <c r="AB98" t="n">
        <v>2</v>
      </c>
      <c r="AC98" t="n">
        <v>2</v>
      </c>
      <c r="AD98" t="n">
        <v>18</v>
      </c>
      <c r="AE98" t="n">
        <v>18</v>
      </c>
      <c r="AF98" t="n">
        <v>3</v>
      </c>
      <c r="AG98" t="n">
        <v>3</v>
      </c>
      <c r="AH98" t="n">
        <v>7</v>
      </c>
      <c r="AI98" t="n">
        <v>7</v>
      </c>
      <c r="AJ98" t="n">
        <v>15</v>
      </c>
      <c r="AK98" t="n">
        <v>15</v>
      </c>
      <c r="AL98" t="n">
        <v>0</v>
      </c>
      <c r="AM98" t="n">
        <v>0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R98">
        <f>HYPERLINK("http://catalog.hathitrust.org/Record/102580713","HathiTrust Record")</f>
        <v/>
      </c>
      <c r="AS98">
        <f>HYPERLINK("https://creighton-primo.hosted.exlibrisgroup.com/primo-explore/search?tab=default_tab&amp;search_scope=EVERYTHING&amp;vid=01CRU&amp;lang=en_US&amp;offset=0&amp;query=any,contains,991004345469702656","Catalog Record")</f>
        <v/>
      </c>
      <c r="AT98">
        <f>HYPERLINK("http://www.worldcat.org/oclc/3101386","WorldCat Record")</f>
        <v/>
      </c>
      <c r="AU98" t="inlineStr">
        <is>
          <t>3857555197:eng</t>
        </is>
      </c>
      <c r="AV98" t="inlineStr">
        <is>
          <t>3101386</t>
        </is>
      </c>
      <c r="AW98" t="inlineStr">
        <is>
          <t>991004345469702656</t>
        </is>
      </c>
      <c r="AX98" t="inlineStr">
        <is>
          <t>991004345469702656</t>
        </is>
      </c>
      <c r="AY98" t="inlineStr">
        <is>
          <t>2262759230002656</t>
        </is>
      </c>
      <c r="AZ98" t="inlineStr">
        <is>
          <t>BOOK</t>
        </is>
      </c>
      <c r="BC98" t="inlineStr">
        <is>
          <t>32285000559608</t>
        </is>
      </c>
      <c r="BD98" t="inlineStr">
        <is>
          <t>893235369</t>
        </is>
      </c>
      <c r="BE98" t="inlineStr">
        <is>
          <t>S Brown</t>
        </is>
      </c>
    </row>
    <row r="99">
      <c r="A99" t="inlineStr">
        <is>
          <t>No</t>
        </is>
      </c>
      <c r="B99" t="inlineStr">
        <is>
          <t>BS2615.2 .B33</t>
        </is>
      </c>
      <c r="C99" t="inlineStr">
        <is>
          <t>0                      BS 2615200B  33</t>
        </is>
      </c>
      <c r="D99" t="inlineStr">
        <is>
          <t>Introduction to John and the Acts of the apostles / by William Barclay.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Barclay, William, 1907-1978.</t>
        </is>
      </c>
      <c r="L99" t="inlineStr">
        <is>
          <t>Philadelphia : Westminster Press, c1976.</t>
        </is>
      </c>
      <c r="M99" t="inlineStr">
        <is>
          <t>1976</t>
        </is>
      </c>
      <c r="O99" t="inlineStr">
        <is>
          <t>eng</t>
        </is>
      </c>
      <c r="P99" t="inlineStr">
        <is>
          <t>pau</t>
        </is>
      </c>
      <c r="R99" t="inlineStr">
        <is>
          <t xml:space="preserve">BS </t>
        </is>
      </c>
      <c r="S99" t="n">
        <v>7</v>
      </c>
      <c r="T99" t="n">
        <v>7</v>
      </c>
      <c r="U99" t="inlineStr">
        <is>
          <t>2001-10-15</t>
        </is>
      </c>
      <c r="V99" t="inlineStr">
        <is>
          <t>2001-10-15</t>
        </is>
      </c>
      <c r="W99" t="inlineStr">
        <is>
          <t>1991-05-08</t>
        </is>
      </c>
      <c r="X99" t="inlineStr">
        <is>
          <t>1991-05-08</t>
        </is>
      </c>
      <c r="Y99" t="n">
        <v>475</v>
      </c>
      <c r="Z99" t="n">
        <v>445</v>
      </c>
      <c r="AA99" t="n">
        <v>447</v>
      </c>
      <c r="AB99" t="n">
        <v>3</v>
      </c>
      <c r="AC99" t="n">
        <v>3</v>
      </c>
      <c r="AD99" t="n">
        <v>22</v>
      </c>
      <c r="AE99" t="n">
        <v>22</v>
      </c>
      <c r="AF99" t="n">
        <v>9</v>
      </c>
      <c r="AG99" t="n">
        <v>9</v>
      </c>
      <c r="AH99" t="n">
        <v>6</v>
      </c>
      <c r="AI99" t="n">
        <v>6</v>
      </c>
      <c r="AJ99" t="n">
        <v>11</v>
      </c>
      <c r="AK99" t="n">
        <v>11</v>
      </c>
      <c r="AL99" t="n">
        <v>1</v>
      </c>
      <c r="AM99" t="n">
        <v>1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HYPERLINK("http://catalog.hathitrust.org/Record/009907280","HathiTrust Record")</f>
        <v/>
      </c>
      <c r="AS99">
        <f>HYPERLINK("https://creighton-primo.hosted.exlibrisgroup.com/primo-explore/search?tab=default_tab&amp;search_scope=EVERYTHING&amp;vid=01CRU&amp;lang=en_US&amp;offset=0&amp;query=any,contains,991003951669702656","Catalog Record")</f>
        <v/>
      </c>
      <c r="AT99">
        <f>HYPERLINK("http://www.worldcat.org/oclc/1958301","WorldCat Record")</f>
        <v/>
      </c>
      <c r="AU99" t="inlineStr">
        <is>
          <t>513893:eng</t>
        </is>
      </c>
      <c r="AV99" t="inlineStr">
        <is>
          <t>1958301</t>
        </is>
      </c>
      <c r="AW99" t="inlineStr">
        <is>
          <t>991003951669702656</t>
        </is>
      </c>
      <c r="AX99" t="inlineStr">
        <is>
          <t>991003951669702656</t>
        </is>
      </c>
      <c r="AY99" t="inlineStr">
        <is>
          <t>2265561970002656</t>
        </is>
      </c>
      <c r="AZ99" t="inlineStr">
        <is>
          <t>BOOK</t>
        </is>
      </c>
      <c r="BB99" t="inlineStr">
        <is>
          <t>9780664247713</t>
        </is>
      </c>
      <c r="BC99" t="inlineStr">
        <is>
          <t>32285000559707</t>
        </is>
      </c>
      <c r="BD99" t="inlineStr">
        <is>
          <t>893788106</t>
        </is>
      </c>
      <c r="BE99" t="inlineStr">
        <is>
          <t>S Brown</t>
        </is>
      </c>
    </row>
    <row r="100">
      <c r="A100" t="inlineStr">
        <is>
          <t>No</t>
        </is>
      </c>
      <c r="B100" t="inlineStr">
        <is>
          <t>BS2615.2 .B564 1988</t>
        </is>
      </c>
      <c r="C100" t="inlineStr">
        <is>
          <t>0                      BS 2615200B  564         1988</t>
        </is>
      </c>
      <c r="D100" t="inlineStr">
        <is>
          <t>Neither on this mountain nor in Jerusalem : a study of John 4 / Hendrikus Boers.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Boers, Hendrikus.</t>
        </is>
      </c>
      <c r="L100" t="inlineStr">
        <is>
          <t>Atlanta, Ga. : Scholars Press, c1988.</t>
        </is>
      </c>
      <c r="M100" t="inlineStr">
        <is>
          <t>1988</t>
        </is>
      </c>
      <c r="O100" t="inlineStr">
        <is>
          <t>eng</t>
        </is>
      </c>
      <c r="P100" t="inlineStr">
        <is>
          <t>gau</t>
        </is>
      </c>
      <c r="Q100" t="inlineStr">
        <is>
          <t>Monograph series / the Society of Biblical Literature ; no. 35</t>
        </is>
      </c>
      <c r="R100" t="inlineStr">
        <is>
          <t xml:space="preserve">BS </t>
        </is>
      </c>
      <c r="S100" t="n">
        <v>6</v>
      </c>
      <c r="T100" t="n">
        <v>6</v>
      </c>
      <c r="U100" t="inlineStr">
        <is>
          <t>2001-05-22</t>
        </is>
      </c>
      <c r="V100" t="inlineStr">
        <is>
          <t>2001-05-22</t>
        </is>
      </c>
      <c r="W100" t="inlineStr">
        <is>
          <t>1989-12-07</t>
        </is>
      </c>
      <c r="X100" t="inlineStr">
        <is>
          <t>1989-12-07</t>
        </is>
      </c>
      <c r="Y100" t="n">
        <v>281</v>
      </c>
      <c r="Z100" t="n">
        <v>208</v>
      </c>
      <c r="AA100" t="n">
        <v>213</v>
      </c>
      <c r="AB100" t="n">
        <v>2</v>
      </c>
      <c r="AC100" t="n">
        <v>2</v>
      </c>
      <c r="AD100" t="n">
        <v>15</v>
      </c>
      <c r="AE100" t="n">
        <v>15</v>
      </c>
      <c r="AF100" t="n">
        <v>4</v>
      </c>
      <c r="AG100" t="n">
        <v>4</v>
      </c>
      <c r="AH100" t="n">
        <v>4</v>
      </c>
      <c r="AI100" t="n">
        <v>4</v>
      </c>
      <c r="AJ100" t="n">
        <v>8</v>
      </c>
      <c r="AK100" t="n">
        <v>8</v>
      </c>
      <c r="AL100" t="n">
        <v>1</v>
      </c>
      <c r="AM100" t="n">
        <v>1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HYPERLINK("https://creighton-primo.hosted.exlibrisgroup.com/primo-explore/search?tab=default_tab&amp;search_scope=EVERYTHING&amp;vid=01CRU&amp;lang=en_US&amp;offset=0&amp;query=any,contains,991001234799702656","Catalog Record")</f>
        <v/>
      </c>
      <c r="AT100">
        <f>HYPERLINK("http://www.worldcat.org/oclc/17549979","WorldCat Record")</f>
        <v/>
      </c>
      <c r="AU100" t="inlineStr">
        <is>
          <t>347595971:eng</t>
        </is>
      </c>
      <c r="AV100" t="inlineStr">
        <is>
          <t>17549979</t>
        </is>
      </c>
      <c r="AW100" t="inlineStr">
        <is>
          <t>991001234799702656</t>
        </is>
      </c>
      <c r="AX100" t="inlineStr">
        <is>
          <t>991001234799702656</t>
        </is>
      </c>
      <c r="AY100" t="inlineStr">
        <is>
          <t>2270858540002656</t>
        </is>
      </c>
      <c r="AZ100" t="inlineStr">
        <is>
          <t>BOOK</t>
        </is>
      </c>
      <c r="BB100" t="inlineStr">
        <is>
          <t>9781555402211</t>
        </is>
      </c>
      <c r="BC100" t="inlineStr">
        <is>
          <t>32285000017797</t>
        </is>
      </c>
      <c r="BD100" t="inlineStr">
        <is>
          <t>893590133</t>
        </is>
      </c>
      <c r="BE100" t="inlineStr">
        <is>
          <t>S Brown</t>
        </is>
      </c>
    </row>
    <row r="101">
      <c r="A101" t="inlineStr">
        <is>
          <t>No</t>
        </is>
      </c>
      <c r="B101" t="inlineStr">
        <is>
          <t>BS2615.2 .B586 1996</t>
        </is>
      </c>
      <c r="C101" t="inlineStr">
        <is>
          <t>0                      BS 2615200B  586         1996</t>
        </is>
      </c>
      <c r="D101" t="inlineStr">
        <is>
          <t>Selected peak marking features in the Gospel of John / Steve Booth.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Booth, Steve, 1959-</t>
        </is>
      </c>
      <c r="L101" t="inlineStr">
        <is>
          <t>New York : Peter Lang, c1996.</t>
        </is>
      </c>
      <c r="M101" t="inlineStr">
        <is>
          <t>1996</t>
        </is>
      </c>
      <c r="O101" t="inlineStr">
        <is>
          <t>eng</t>
        </is>
      </c>
      <c r="P101" t="inlineStr">
        <is>
          <t>nyu</t>
        </is>
      </c>
      <c r="Q101" t="inlineStr">
        <is>
          <t>American university studies. Series VII, Theology and religion, 0740-0446 ; vol. 178</t>
        </is>
      </c>
      <c r="R101" t="inlineStr">
        <is>
          <t xml:space="preserve">BS </t>
        </is>
      </c>
      <c r="S101" t="n">
        <v>4</v>
      </c>
      <c r="T101" t="n">
        <v>4</v>
      </c>
      <c r="U101" t="inlineStr">
        <is>
          <t>2004-11-29</t>
        </is>
      </c>
      <c r="V101" t="inlineStr">
        <is>
          <t>2004-11-29</t>
        </is>
      </c>
      <c r="W101" t="inlineStr">
        <is>
          <t>1996-12-02</t>
        </is>
      </c>
      <c r="X101" t="inlineStr">
        <is>
          <t>1996-12-02</t>
        </is>
      </c>
      <c r="Y101" t="n">
        <v>108</v>
      </c>
      <c r="Z101" t="n">
        <v>84</v>
      </c>
      <c r="AA101" t="n">
        <v>84</v>
      </c>
      <c r="AB101" t="n">
        <v>1</v>
      </c>
      <c r="AC101" t="n">
        <v>1</v>
      </c>
      <c r="AD101" t="n">
        <v>6</v>
      </c>
      <c r="AE101" t="n">
        <v>6</v>
      </c>
      <c r="AF101" t="n">
        <v>0</v>
      </c>
      <c r="AG101" t="n">
        <v>0</v>
      </c>
      <c r="AH101" t="n">
        <v>3</v>
      </c>
      <c r="AI101" t="n">
        <v>3</v>
      </c>
      <c r="AJ101" t="n">
        <v>4</v>
      </c>
      <c r="AK101" t="n">
        <v>4</v>
      </c>
      <c r="AL101" t="n">
        <v>0</v>
      </c>
      <c r="AM101" t="n">
        <v>0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HYPERLINK("https://creighton-primo.hosted.exlibrisgroup.com/primo-explore/search?tab=default_tab&amp;search_scope=EVERYTHING&amp;vid=01CRU&amp;lang=en_US&amp;offset=0&amp;query=any,contains,991002574559702656","Catalog Record")</f>
        <v/>
      </c>
      <c r="AT101">
        <f>HYPERLINK("http://www.worldcat.org/oclc/33443684","WorldCat Record")</f>
        <v/>
      </c>
      <c r="AU101" t="inlineStr">
        <is>
          <t>38512547:eng</t>
        </is>
      </c>
      <c r="AV101" t="inlineStr">
        <is>
          <t>33443684</t>
        </is>
      </c>
      <c r="AW101" t="inlineStr">
        <is>
          <t>991002574559702656</t>
        </is>
      </c>
      <c r="AX101" t="inlineStr">
        <is>
          <t>991002574559702656</t>
        </is>
      </c>
      <c r="AY101" t="inlineStr">
        <is>
          <t>2268284990002656</t>
        </is>
      </c>
      <c r="AZ101" t="inlineStr">
        <is>
          <t>BOOK</t>
        </is>
      </c>
      <c r="BB101" t="inlineStr">
        <is>
          <t>9780820424743</t>
        </is>
      </c>
      <c r="BC101" t="inlineStr">
        <is>
          <t>32285002387073</t>
        </is>
      </c>
      <c r="BD101" t="inlineStr">
        <is>
          <t>893597621</t>
        </is>
      </c>
      <c r="BE101" t="inlineStr">
        <is>
          <t>S Brown</t>
        </is>
      </c>
    </row>
    <row r="102">
      <c r="A102" t="inlineStr">
        <is>
          <t>No</t>
        </is>
      </c>
      <c r="B102" t="inlineStr">
        <is>
          <t>BS2615.2 .B65</t>
        </is>
      </c>
      <c r="C102" t="inlineStr">
        <is>
          <t>0                      BS 2615200B  65</t>
        </is>
      </c>
      <c r="D102" t="inlineStr">
        <is>
          <t>The fourth Gospel and the Jews : a study in R. Akiba, Esther, and the Gospel of John / by John Bowman.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Bowman, John, 1916-2006.</t>
        </is>
      </c>
      <c r="L102" t="inlineStr">
        <is>
          <t>Pittsburgh : Pickwick Press, 1975.</t>
        </is>
      </c>
      <c r="M102" t="inlineStr">
        <is>
          <t>1975</t>
        </is>
      </c>
      <c r="O102" t="inlineStr">
        <is>
          <t>eng</t>
        </is>
      </c>
      <c r="P102" t="inlineStr">
        <is>
          <t>pau</t>
        </is>
      </c>
      <c r="Q102" t="inlineStr">
        <is>
          <t>Pittsburgh theological monograph series ; 8</t>
        </is>
      </c>
      <c r="R102" t="inlineStr">
        <is>
          <t xml:space="preserve">BS </t>
        </is>
      </c>
      <c r="S102" t="n">
        <v>7</v>
      </c>
      <c r="T102" t="n">
        <v>7</v>
      </c>
      <c r="U102" t="inlineStr">
        <is>
          <t>2001-11-26</t>
        </is>
      </c>
      <c r="V102" t="inlineStr">
        <is>
          <t>2001-11-26</t>
        </is>
      </c>
      <c r="W102" t="inlineStr">
        <is>
          <t>1991-05-08</t>
        </is>
      </c>
      <c r="X102" t="inlineStr">
        <is>
          <t>1991-05-08</t>
        </is>
      </c>
      <c r="Y102" t="n">
        <v>301</v>
      </c>
      <c r="Z102" t="n">
        <v>219</v>
      </c>
      <c r="AA102" t="n">
        <v>223</v>
      </c>
      <c r="AB102" t="n">
        <v>2</v>
      </c>
      <c r="AC102" t="n">
        <v>2</v>
      </c>
      <c r="AD102" t="n">
        <v>12</v>
      </c>
      <c r="AE102" t="n">
        <v>12</v>
      </c>
      <c r="AF102" t="n">
        <v>3</v>
      </c>
      <c r="AG102" t="n">
        <v>3</v>
      </c>
      <c r="AH102" t="n">
        <v>5</v>
      </c>
      <c r="AI102" t="n">
        <v>5</v>
      </c>
      <c r="AJ102" t="n">
        <v>7</v>
      </c>
      <c r="AK102" t="n">
        <v>7</v>
      </c>
      <c r="AL102" t="n">
        <v>1</v>
      </c>
      <c r="AM102" t="n">
        <v>1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HYPERLINK("http://catalog.hathitrust.org/Record/000710451","HathiTrust Record")</f>
        <v/>
      </c>
      <c r="AS102">
        <f>HYPERLINK("https://creighton-primo.hosted.exlibrisgroup.com/primo-explore/search?tab=default_tab&amp;search_scope=EVERYTHING&amp;vid=01CRU&amp;lang=en_US&amp;offset=0&amp;query=any,contains,991003953399702656","Catalog Record")</f>
        <v/>
      </c>
      <c r="AT102">
        <f>HYPERLINK("http://www.worldcat.org/oclc/1959556","WorldCat Record")</f>
        <v/>
      </c>
      <c r="AU102" t="inlineStr">
        <is>
          <t>905864116:eng</t>
        </is>
      </c>
      <c r="AV102" t="inlineStr">
        <is>
          <t>1959556</t>
        </is>
      </c>
      <c r="AW102" t="inlineStr">
        <is>
          <t>991003953399702656</t>
        </is>
      </c>
      <c r="AX102" t="inlineStr">
        <is>
          <t>991003953399702656</t>
        </is>
      </c>
      <c r="AY102" t="inlineStr">
        <is>
          <t>2266105970002656</t>
        </is>
      </c>
      <c r="AZ102" t="inlineStr">
        <is>
          <t>BOOK</t>
        </is>
      </c>
      <c r="BB102" t="inlineStr">
        <is>
          <t>9780915138104</t>
        </is>
      </c>
      <c r="BC102" t="inlineStr">
        <is>
          <t>32285000559772</t>
        </is>
      </c>
      <c r="BD102" t="inlineStr">
        <is>
          <t>893718277</t>
        </is>
      </c>
      <c r="BE102" t="inlineStr">
        <is>
          <t>S Brown</t>
        </is>
      </c>
    </row>
    <row r="103">
      <c r="A103" t="inlineStr">
        <is>
          <t>No</t>
        </is>
      </c>
      <c r="B103" t="inlineStr">
        <is>
          <t>BS2615.2 .B783</t>
        </is>
      </c>
      <c r="C103" t="inlineStr">
        <is>
          <t>0                      BS 2615200B  783</t>
        </is>
      </c>
      <c r="D103" t="inlineStr">
        <is>
          <t>The Christian Buddhism of St. John; new insights into the Fourth Gospel, by J. Edgar Bruns. Foreword by Gregory Baum.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Bruns, J. Edgar, 1923-</t>
        </is>
      </c>
      <c r="L103" t="inlineStr">
        <is>
          <t>New York, Paulist Press [1971]</t>
        </is>
      </c>
      <c r="M103" t="inlineStr">
        <is>
          <t>1971</t>
        </is>
      </c>
      <c r="O103" t="inlineStr">
        <is>
          <t>eng</t>
        </is>
      </c>
      <c r="P103" t="inlineStr">
        <is>
          <t>nyu</t>
        </is>
      </c>
      <c r="R103" t="inlineStr">
        <is>
          <t xml:space="preserve">BS </t>
        </is>
      </c>
      <c r="S103" t="n">
        <v>7</v>
      </c>
      <c r="T103" t="n">
        <v>7</v>
      </c>
      <c r="U103" t="inlineStr">
        <is>
          <t>2004-11-07</t>
        </is>
      </c>
      <c r="V103" t="inlineStr">
        <is>
          <t>2004-11-07</t>
        </is>
      </c>
      <c r="W103" t="inlineStr">
        <is>
          <t>1991-05-08</t>
        </is>
      </c>
      <c r="X103" t="inlineStr">
        <is>
          <t>1991-05-08</t>
        </is>
      </c>
      <c r="Y103" t="n">
        <v>237</v>
      </c>
      <c r="Z103" t="n">
        <v>206</v>
      </c>
      <c r="AA103" t="n">
        <v>206</v>
      </c>
      <c r="AB103" t="n">
        <v>4</v>
      </c>
      <c r="AC103" t="n">
        <v>4</v>
      </c>
      <c r="AD103" t="n">
        <v>26</v>
      </c>
      <c r="AE103" t="n">
        <v>26</v>
      </c>
      <c r="AF103" t="n">
        <v>7</v>
      </c>
      <c r="AG103" t="n">
        <v>7</v>
      </c>
      <c r="AH103" t="n">
        <v>7</v>
      </c>
      <c r="AI103" t="n">
        <v>7</v>
      </c>
      <c r="AJ103" t="n">
        <v>16</v>
      </c>
      <c r="AK103" t="n">
        <v>16</v>
      </c>
      <c r="AL103" t="n">
        <v>3</v>
      </c>
      <c r="AM103" t="n">
        <v>3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HYPERLINK("https://creighton-primo.hosted.exlibrisgroup.com/primo-explore/search?tab=default_tab&amp;search_scope=EVERYTHING&amp;vid=01CRU&amp;lang=en_US&amp;offset=0&amp;query=any,contains,991000816929702656","Catalog Record")</f>
        <v/>
      </c>
      <c r="AT103">
        <f>HYPERLINK("http://www.worldcat.org/oclc/142958","WorldCat Record")</f>
        <v/>
      </c>
      <c r="AU103" t="inlineStr">
        <is>
          <t>422510597:eng</t>
        </is>
      </c>
      <c r="AV103" t="inlineStr">
        <is>
          <t>142958</t>
        </is>
      </c>
      <c r="AW103" t="inlineStr">
        <is>
          <t>991000816929702656</t>
        </is>
      </c>
      <c r="AX103" t="inlineStr">
        <is>
          <t>991000816929702656</t>
        </is>
      </c>
      <c r="AY103" t="inlineStr">
        <is>
          <t>2254791670002656</t>
        </is>
      </c>
      <c r="AZ103" t="inlineStr">
        <is>
          <t>BOOK</t>
        </is>
      </c>
      <c r="BC103" t="inlineStr">
        <is>
          <t>32285000559822</t>
        </is>
      </c>
      <c r="BD103" t="inlineStr">
        <is>
          <t>893528412</t>
        </is>
      </c>
      <c r="BE103" t="inlineStr">
        <is>
          <t>S Brown</t>
        </is>
      </c>
    </row>
    <row r="104">
      <c r="A104" t="inlineStr">
        <is>
          <t>No</t>
        </is>
      </c>
      <c r="B104" t="inlineStr">
        <is>
          <t>BS2615.2 .C3</t>
        </is>
      </c>
      <c r="C104" t="inlineStr">
        <is>
          <t>0                      BS 2615200C  3</t>
        </is>
      </c>
      <c r="D104" t="inlineStr">
        <is>
          <t>The open heaven ; the revelation of God in the Johannine sayings of Jesus / [by] W. H. Cadman. Edited by G. B. Caird. --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Cadman, W. H. (William Healey)</t>
        </is>
      </c>
      <c r="L104" t="inlineStr">
        <is>
          <t>Oxford : Blackwell, 1969.</t>
        </is>
      </c>
      <c r="M104" t="inlineStr">
        <is>
          <t>1969</t>
        </is>
      </c>
      <c r="O104" t="inlineStr">
        <is>
          <t>eng</t>
        </is>
      </c>
      <c r="P104" t="inlineStr">
        <is>
          <t>enk</t>
        </is>
      </c>
      <c r="R104" t="inlineStr">
        <is>
          <t xml:space="preserve">BS </t>
        </is>
      </c>
      <c r="S104" t="n">
        <v>2</v>
      </c>
      <c r="T104" t="n">
        <v>2</v>
      </c>
      <c r="U104" t="inlineStr">
        <is>
          <t>2001-10-28</t>
        </is>
      </c>
      <c r="V104" t="inlineStr">
        <is>
          <t>2001-10-28</t>
        </is>
      </c>
      <c r="W104" t="inlineStr">
        <is>
          <t>1991-05-08</t>
        </is>
      </c>
      <c r="X104" t="inlineStr">
        <is>
          <t>1991-05-08</t>
        </is>
      </c>
      <c r="Y104" t="n">
        <v>215</v>
      </c>
      <c r="Z104" t="n">
        <v>129</v>
      </c>
      <c r="AA104" t="n">
        <v>226</v>
      </c>
      <c r="AB104" t="n">
        <v>1</v>
      </c>
      <c r="AC104" t="n">
        <v>2</v>
      </c>
      <c r="AD104" t="n">
        <v>12</v>
      </c>
      <c r="AE104" t="n">
        <v>21</v>
      </c>
      <c r="AF104" t="n">
        <v>4</v>
      </c>
      <c r="AG104" t="n">
        <v>7</v>
      </c>
      <c r="AH104" t="n">
        <v>4</v>
      </c>
      <c r="AI104" t="n">
        <v>5</v>
      </c>
      <c r="AJ104" t="n">
        <v>10</v>
      </c>
      <c r="AK104" t="n">
        <v>15</v>
      </c>
      <c r="AL104" t="n">
        <v>0</v>
      </c>
      <c r="AM104" t="n">
        <v>1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HYPERLINK("https://creighton-primo.hosted.exlibrisgroup.com/primo-explore/search?tab=default_tab&amp;search_scope=EVERYTHING&amp;vid=01CRU&amp;lang=en_US&amp;offset=0&amp;query=any,contains,991000039829702656","Catalog Record")</f>
        <v/>
      </c>
      <c r="AT104">
        <f>HYPERLINK("http://www.worldcat.org/oclc/21570","WorldCat Record")</f>
        <v/>
      </c>
      <c r="AU104" t="inlineStr">
        <is>
          <t>509025232:eng</t>
        </is>
      </c>
      <c r="AV104" t="inlineStr">
        <is>
          <t>21570</t>
        </is>
      </c>
      <c r="AW104" t="inlineStr">
        <is>
          <t>991000039829702656</t>
        </is>
      </c>
      <c r="AX104" t="inlineStr">
        <is>
          <t>991000039829702656</t>
        </is>
      </c>
      <c r="AY104" t="inlineStr">
        <is>
          <t>2261486540002656</t>
        </is>
      </c>
      <c r="AZ104" t="inlineStr">
        <is>
          <t>BOOK</t>
        </is>
      </c>
      <c r="BB104" t="inlineStr">
        <is>
          <t>9780631113300</t>
        </is>
      </c>
      <c r="BC104" t="inlineStr">
        <is>
          <t>32285000559830</t>
        </is>
      </c>
      <c r="BD104" t="inlineStr">
        <is>
          <t>893508445</t>
        </is>
      </c>
      <c r="BE104" t="inlineStr">
        <is>
          <t>S Brown</t>
        </is>
      </c>
    </row>
    <row r="105">
      <c r="A105" t="inlineStr">
        <is>
          <t>No</t>
        </is>
      </c>
      <c r="B105" t="inlineStr">
        <is>
          <t>BS2615.2 .C364 1996</t>
        </is>
      </c>
      <c r="C105" t="inlineStr">
        <is>
          <t>0                      BS 2615200C  364         1996</t>
        </is>
      </c>
      <c r="D105" t="inlineStr">
        <is>
          <t>The story of Creation : its origin and its interpretation in Philo and the Fourth Gospel / Calum M. Carmichael.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Carmichael, Calum M.</t>
        </is>
      </c>
      <c r="L105" t="inlineStr">
        <is>
          <t>Ithaca : Cornell University Press, 1996.</t>
        </is>
      </c>
      <c r="M105" t="inlineStr">
        <is>
          <t>1996</t>
        </is>
      </c>
      <c r="O105" t="inlineStr">
        <is>
          <t>eng</t>
        </is>
      </c>
      <c r="P105" t="inlineStr">
        <is>
          <t>nyu</t>
        </is>
      </c>
      <c r="R105" t="inlineStr">
        <is>
          <t xml:space="preserve">BS </t>
        </is>
      </c>
      <c r="S105" t="n">
        <v>4</v>
      </c>
      <c r="T105" t="n">
        <v>4</v>
      </c>
      <c r="U105" t="inlineStr">
        <is>
          <t>2004-12-03</t>
        </is>
      </c>
      <c r="V105" t="inlineStr">
        <is>
          <t>2004-12-03</t>
        </is>
      </c>
      <c r="W105" t="inlineStr">
        <is>
          <t>1996-12-19</t>
        </is>
      </c>
      <c r="X105" t="inlineStr">
        <is>
          <t>1996-12-19</t>
        </is>
      </c>
      <c r="Y105" t="n">
        <v>331</v>
      </c>
      <c r="Z105" t="n">
        <v>277</v>
      </c>
      <c r="AA105" t="n">
        <v>460</v>
      </c>
      <c r="AB105" t="n">
        <v>4</v>
      </c>
      <c r="AC105" t="n">
        <v>4</v>
      </c>
      <c r="AD105" t="n">
        <v>22</v>
      </c>
      <c r="AE105" t="n">
        <v>29</v>
      </c>
      <c r="AF105" t="n">
        <v>6</v>
      </c>
      <c r="AG105" t="n">
        <v>11</v>
      </c>
      <c r="AH105" t="n">
        <v>6</v>
      </c>
      <c r="AI105" t="n">
        <v>8</v>
      </c>
      <c r="AJ105" t="n">
        <v>13</v>
      </c>
      <c r="AK105" t="n">
        <v>16</v>
      </c>
      <c r="AL105" t="n">
        <v>3</v>
      </c>
      <c r="AM105" t="n">
        <v>3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HYPERLINK("http://catalog.hathitrust.org/Record/003120438","HathiTrust Record")</f>
        <v/>
      </c>
      <c r="AS105">
        <f>HYPERLINK("https://creighton-primo.hosted.exlibrisgroup.com/primo-explore/search?tab=default_tab&amp;search_scope=EVERYTHING&amp;vid=01CRU&amp;lang=en_US&amp;offset=0&amp;query=any,contains,991002612749702656","Catalog Record")</f>
        <v/>
      </c>
      <c r="AT105">
        <f>HYPERLINK("http://www.worldcat.org/oclc/34244461","WorldCat Record")</f>
        <v/>
      </c>
      <c r="AU105" t="inlineStr">
        <is>
          <t>20997419:eng</t>
        </is>
      </c>
      <c r="AV105" t="inlineStr">
        <is>
          <t>34244461</t>
        </is>
      </c>
      <c r="AW105" t="inlineStr">
        <is>
          <t>991002612749702656</t>
        </is>
      </c>
      <c r="AX105" t="inlineStr">
        <is>
          <t>991002612749702656</t>
        </is>
      </c>
      <c r="AY105" t="inlineStr">
        <is>
          <t>2272099540002656</t>
        </is>
      </c>
      <c r="AZ105" t="inlineStr">
        <is>
          <t>BOOK</t>
        </is>
      </c>
      <c r="BB105" t="inlineStr">
        <is>
          <t>9780801432613</t>
        </is>
      </c>
      <c r="BC105" t="inlineStr">
        <is>
          <t>32285002400587</t>
        </is>
      </c>
      <c r="BD105" t="inlineStr">
        <is>
          <t>893627213</t>
        </is>
      </c>
      <c r="BE105" t="inlineStr">
        <is>
          <t>S Brown</t>
        </is>
      </c>
    </row>
    <row r="106">
      <c r="A106" t="inlineStr">
        <is>
          <t>No</t>
        </is>
      </c>
      <c r="B106" t="inlineStr">
        <is>
          <t>BS2615.2 .C65 1990</t>
        </is>
      </c>
      <c r="C106" t="inlineStr">
        <is>
          <t>0                      BS 2615200C  65          1990</t>
        </is>
      </c>
      <c r="D106" t="inlineStr">
        <is>
          <t>These things have been written : studies on the Fourth Gospel / Raymond F. Collins.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Collins, Raymond F., 1935-</t>
        </is>
      </c>
      <c r="L106" t="inlineStr">
        <is>
          <t>Louvain : Peeters Press, 1990.</t>
        </is>
      </c>
      <c r="M106" t="inlineStr">
        <is>
          <t>1990</t>
        </is>
      </c>
      <c r="O106" t="inlineStr">
        <is>
          <t>eng</t>
        </is>
      </c>
      <c r="P106" t="inlineStr">
        <is>
          <t xml:space="preserve">be </t>
        </is>
      </c>
      <c r="Q106" t="inlineStr">
        <is>
          <t>Louvain theological &amp; pastoral monographs ; 2</t>
        </is>
      </c>
      <c r="R106" t="inlineStr">
        <is>
          <t xml:space="preserve">BS </t>
        </is>
      </c>
      <c r="S106" t="n">
        <v>8</v>
      </c>
      <c r="T106" t="n">
        <v>8</v>
      </c>
      <c r="U106" t="inlineStr">
        <is>
          <t>2004-12-03</t>
        </is>
      </c>
      <c r="V106" t="inlineStr">
        <is>
          <t>2004-12-03</t>
        </is>
      </c>
      <c r="W106" t="inlineStr">
        <is>
          <t>1991-03-26</t>
        </is>
      </c>
      <c r="X106" t="inlineStr">
        <is>
          <t>1991-03-26</t>
        </is>
      </c>
      <c r="Y106" t="n">
        <v>314</v>
      </c>
      <c r="Z106" t="n">
        <v>230</v>
      </c>
      <c r="AA106" t="n">
        <v>270</v>
      </c>
      <c r="AB106" t="n">
        <v>2</v>
      </c>
      <c r="AC106" t="n">
        <v>3</v>
      </c>
      <c r="AD106" t="n">
        <v>18</v>
      </c>
      <c r="AE106" t="n">
        <v>21</v>
      </c>
      <c r="AF106" t="n">
        <v>9</v>
      </c>
      <c r="AG106" t="n">
        <v>9</v>
      </c>
      <c r="AH106" t="n">
        <v>3</v>
      </c>
      <c r="AI106" t="n">
        <v>4</v>
      </c>
      <c r="AJ106" t="n">
        <v>10</v>
      </c>
      <c r="AK106" t="n">
        <v>12</v>
      </c>
      <c r="AL106" t="n">
        <v>1</v>
      </c>
      <c r="AM106" t="n">
        <v>2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HYPERLINK("http://catalog.hathitrust.org/Record/004497779","HathiTrust Record")</f>
        <v/>
      </c>
      <c r="AS106">
        <f>HYPERLINK("https://creighton-primo.hosted.exlibrisgroup.com/primo-explore/search?tab=default_tab&amp;search_scope=EVERYTHING&amp;vid=01CRU&amp;lang=en_US&amp;offset=0&amp;query=any,contains,991001847879702656","Catalog Record")</f>
        <v/>
      </c>
      <c r="AT106">
        <f>HYPERLINK("http://www.worldcat.org/oclc/23183211","WorldCat Record")</f>
        <v/>
      </c>
      <c r="AU106" t="inlineStr">
        <is>
          <t>25092814:eng</t>
        </is>
      </c>
      <c r="AV106" t="inlineStr">
        <is>
          <t>23183211</t>
        </is>
      </c>
      <c r="AW106" t="inlineStr">
        <is>
          <t>991001847879702656</t>
        </is>
      </c>
      <c r="AX106" t="inlineStr">
        <is>
          <t>991001847879702656</t>
        </is>
      </c>
      <c r="AY106" t="inlineStr">
        <is>
          <t>2261106670002656</t>
        </is>
      </c>
      <c r="AZ106" t="inlineStr">
        <is>
          <t>BOOK</t>
        </is>
      </c>
      <c r="BB106" t="inlineStr">
        <is>
          <t>9789068312096</t>
        </is>
      </c>
      <c r="BC106" t="inlineStr">
        <is>
          <t>32285000513621</t>
        </is>
      </c>
      <c r="BD106" t="inlineStr">
        <is>
          <t>893703377</t>
        </is>
      </c>
      <c r="BE106" t="inlineStr">
        <is>
          <t>S Brown</t>
        </is>
      </c>
    </row>
    <row r="107">
      <c r="A107" t="inlineStr">
        <is>
          <t>No</t>
        </is>
      </c>
      <c r="B107" t="inlineStr">
        <is>
          <t>BS2615.2 .C69 1987</t>
        </is>
      </c>
      <c r="C107" t="inlineStr">
        <is>
          <t>0                      BS 2615200C  69          1987</t>
        </is>
      </c>
      <c r="D107" t="inlineStr">
        <is>
          <t>The mystical way in the fourth Gospel : crossing over into God / L. William Countryman.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Countryman, Louis William, 1941-</t>
        </is>
      </c>
      <c r="L107" t="inlineStr">
        <is>
          <t>Philadelphia : Fortress Press, c1987.</t>
        </is>
      </c>
      <c r="M107" t="inlineStr">
        <is>
          <t>1987</t>
        </is>
      </c>
      <c r="O107" t="inlineStr">
        <is>
          <t>eng</t>
        </is>
      </c>
      <c r="P107" t="inlineStr">
        <is>
          <t>pau</t>
        </is>
      </c>
      <c r="R107" t="inlineStr">
        <is>
          <t xml:space="preserve">BS </t>
        </is>
      </c>
      <c r="S107" t="n">
        <v>7</v>
      </c>
      <c r="T107" t="n">
        <v>7</v>
      </c>
      <c r="U107" t="inlineStr">
        <is>
          <t>2008-06-30</t>
        </is>
      </c>
      <c r="V107" t="inlineStr">
        <is>
          <t>2008-06-30</t>
        </is>
      </c>
      <c r="W107" t="inlineStr">
        <is>
          <t>1990-04-23</t>
        </is>
      </c>
      <c r="X107" t="inlineStr">
        <is>
          <t>1990-04-23</t>
        </is>
      </c>
      <c r="Y107" t="n">
        <v>246</v>
      </c>
      <c r="Z107" t="n">
        <v>204</v>
      </c>
      <c r="AA107" t="n">
        <v>293</v>
      </c>
      <c r="AB107" t="n">
        <v>1</v>
      </c>
      <c r="AC107" t="n">
        <v>1</v>
      </c>
      <c r="AD107" t="n">
        <v>10</v>
      </c>
      <c r="AE107" t="n">
        <v>21</v>
      </c>
      <c r="AF107" t="n">
        <v>5</v>
      </c>
      <c r="AG107" t="n">
        <v>11</v>
      </c>
      <c r="AH107" t="n">
        <v>0</v>
      </c>
      <c r="AI107" t="n">
        <v>3</v>
      </c>
      <c r="AJ107" t="n">
        <v>6</v>
      </c>
      <c r="AK107" t="n">
        <v>14</v>
      </c>
      <c r="AL107" t="n">
        <v>0</v>
      </c>
      <c r="AM107" t="n">
        <v>0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HYPERLINK("http://catalog.hathitrust.org/Record/000852331","HathiTrust Record")</f>
        <v/>
      </c>
      <c r="AS107">
        <f>HYPERLINK("https://creighton-primo.hosted.exlibrisgroup.com/primo-explore/search?tab=default_tab&amp;search_scope=EVERYTHING&amp;vid=01CRU&amp;lang=en_US&amp;offset=0&amp;query=any,contains,991000987999702656","Catalog Record")</f>
        <v/>
      </c>
      <c r="AT107">
        <f>HYPERLINK("http://www.worldcat.org/oclc/15084048","WorldCat Record")</f>
        <v/>
      </c>
      <c r="AU107" t="inlineStr">
        <is>
          <t>9073728:eng</t>
        </is>
      </c>
      <c r="AV107" t="inlineStr">
        <is>
          <t>15084048</t>
        </is>
      </c>
      <c r="AW107" t="inlineStr">
        <is>
          <t>991000987999702656</t>
        </is>
      </c>
      <c r="AX107" t="inlineStr">
        <is>
          <t>991000987999702656</t>
        </is>
      </c>
      <c r="AY107" t="inlineStr">
        <is>
          <t>2254720290002656</t>
        </is>
      </c>
      <c r="AZ107" t="inlineStr">
        <is>
          <t>BOOK</t>
        </is>
      </c>
      <c r="BB107" t="inlineStr">
        <is>
          <t>9780800619497</t>
        </is>
      </c>
      <c r="BC107" t="inlineStr">
        <is>
          <t>32285000130657</t>
        </is>
      </c>
      <c r="BD107" t="inlineStr">
        <is>
          <t>893426231</t>
        </is>
      </c>
      <c r="BE107" t="inlineStr">
        <is>
          <t>S Brown</t>
        </is>
      </c>
    </row>
    <row r="108">
      <c r="A108" t="inlineStr">
        <is>
          <t>No</t>
        </is>
      </c>
      <c r="B108" t="inlineStr">
        <is>
          <t>BS2615.2 .F7</t>
        </is>
      </c>
      <c r="C108" t="inlineStr">
        <is>
          <t>0                      BS 2615200F  7</t>
        </is>
      </c>
      <c r="D108" t="inlineStr">
        <is>
          <t>Old Testament quotations in the Gospel of John, by Edwin D.Freed.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Freed, Edwin D.</t>
        </is>
      </c>
      <c r="L108" t="inlineStr">
        <is>
          <t>Leiden, E.J.Brill, 1965.</t>
        </is>
      </c>
      <c r="M108" t="inlineStr">
        <is>
          <t>1965</t>
        </is>
      </c>
      <c r="O108" t="inlineStr">
        <is>
          <t>eng</t>
        </is>
      </c>
      <c r="P108" t="inlineStr">
        <is>
          <t>___</t>
        </is>
      </c>
      <c r="Q108" t="inlineStr">
        <is>
          <t>Supplements to Novum Testamentum ; v. 11</t>
        </is>
      </c>
      <c r="R108" t="inlineStr">
        <is>
          <t xml:space="preserve">BS </t>
        </is>
      </c>
      <c r="S108" t="n">
        <v>5</v>
      </c>
      <c r="T108" t="n">
        <v>5</v>
      </c>
      <c r="U108" t="inlineStr">
        <is>
          <t>2010-08-13</t>
        </is>
      </c>
      <c r="V108" t="inlineStr">
        <is>
          <t>2010-08-13</t>
        </is>
      </c>
      <c r="W108" t="inlineStr">
        <is>
          <t>1991-05-08</t>
        </is>
      </c>
      <c r="X108" t="inlineStr">
        <is>
          <t>1991-05-08</t>
        </is>
      </c>
      <c r="Y108" t="n">
        <v>378</v>
      </c>
      <c r="Z108" t="n">
        <v>274</v>
      </c>
      <c r="AA108" t="n">
        <v>292</v>
      </c>
      <c r="AB108" t="n">
        <v>1</v>
      </c>
      <c r="AC108" t="n">
        <v>1</v>
      </c>
      <c r="AD108" t="n">
        <v>23</v>
      </c>
      <c r="AE108" t="n">
        <v>24</v>
      </c>
      <c r="AF108" t="n">
        <v>5</v>
      </c>
      <c r="AG108" t="n">
        <v>6</v>
      </c>
      <c r="AH108" t="n">
        <v>6</v>
      </c>
      <c r="AI108" t="n">
        <v>7</v>
      </c>
      <c r="AJ108" t="n">
        <v>15</v>
      </c>
      <c r="AK108" t="n">
        <v>15</v>
      </c>
      <c r="AL108" t="n">
        <v>0</v>
      </c>
      <c r="AM108" t="n">
        <v>0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HYPERLINK("https://creighton-primo.hosted.exlibrisgroup.com/primo-explore/search?tab=default_tab&amp;search_scope=EVERYTHING&amp;vid=01CRU&amp;lang=en_US&amp;offset=0&amp;query=any,contains,991002640609702656","Catalog Record")</f>
        <v/>
      </c>
      <c r="AT108">
        <f>HYPERLINK("http://www.worldcat.org/oclc/384177","WorldCat Record")</f>
        <v/>
      </c>
      <c r="AU108" t="inlineStr">
        <is>
          <t>16853276:eng</t>
        </is>
      </c>
      <c r="AV108" t="inlineStr">
        <is>
          <t>384177</t>
        </is>
      </c>
      <c r="AW108" t="inlineStr">
        <is>
          <t>991002640609702656</t>
        </is>
      </c>
      <c r="AX108" t="inlineStr">
        <is>
          <t>991002640609702656</t>
        </is>
      </c>
      <c r="AY108" t="inlineStr">
        <is>
          <t>2256346380002656</t>
        </is>
      </c>
      <c r="AZ108" t="inlineStr">
        <is>
          <t>BOOK</t>
        </is>
      </c>
      <c r="BC108" t="inlineStr">
        <is>
          <t>32285000559913</t>
        </is>
      </c>
      <c r="BD108" t="inlineStr">
        <is>
          <t>893409360</t>
        </is>
      </c>
      <c r="BE108" t="inlineStr">
        <is>
          <t>S Brown</t>
        </is>
      </c>
    </row>
    <row r="109">
      <c r="A109" t="inlineStr">
        <is>
          <t>No</t>
        </is>
      </c>
      <c r="B109" t="inlineStr">
        <is>
          <t>BS2615.2 .H47</t>
        </is>
      </c>
      <c r="C109" t="inlineStr">
        <is>
          <t>0                      BS 2615200H  47</t>
        </is>
      </c>
      <c r="D109" t="inlineStr">
        <is>
          <t>Liberation theology; liberation in the light of the fourth Gospel.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Herzog, Frederick.</t>
        </is>
      </c>
      <c r="L109" t="inlineStr">
        <is>
          <t>New York, Seabury Press [1972]</t>
        </is>
      </c>
      <c r="M109" t="inlineStr">
        <is>
          <t>1972</t>
        </is>
      </c>
      <c r="O109" t="inlineStr">
        <is>
          <t>eng</t>
        </is>
      </c>
      <c r="P109" t="inlineStr">
        <is>
          <t>nyu</t>
        </is>
      </c>
      <c r="R109" t="inlineStr">
        <is>
          <t xml:space="preserve">BS </t>
        </is>
      </c>
      <c r="S109" t="n">
        <v>6</v>
      </c>
      <c r="T109" t="n">
        <v>6</v>
      </c>
      <c r="U109" t="inlineStr">
        <is>
          <t>2007-10-30</t>
        </is>
      </c>
      <c r="V109" t="inlineStr">
        <is>
          <t>2007-10-30</t>
        </is>
      </c>
      <c r="W109" t="inlineStr">
        <is>
          <t>1991-05-08</t>
        </is>
      </c>
      <c r="X109" t="inlineStr">
        <is>
          <t>1991-05-08</t>
        </is>
      </c>
      <c r="Y109" t="n">
        <v>489</v>
      </c>
      <c r="Z109" t="n">
        <v>425</v>
      </c>
      <c r="AA109" t="n">
        <v>426</v>
      </c>
      <c r="AB109" t="n">
        <v>2</v>
      </c>
      <c r="AC109" t="n">
        <v>2</v>
      </c>
      <c r="AD109" t="n">
        <v>27</v>
      </c>
      <c r="AE109" t="n">
        <v>27</v>
      </c>
      <c r="AF109" t="n">
        <v>8</v>
      </c>
      <c r="AG109" t="n">
        <v>8</v>
      </c>
      <c r="AH109" t="n">
        <v>7</v>
      </c>
      <c r="AI109" t="n">
        <v>7</v>
      </c>
      <c r="AJ109" t="n">
        <v>19</v>
      </c>
      <c r="AK109" t="n">
        <v>19</v>
      </c>
      <c r="AL109" t="n">
        <v>1</v>
      </c>
      <c r="AM109" t="n">
        <v>1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HYPERLINK("https://creighton-primo.hosted.exlibrisgroup.com/primo-explore/search?tab=default_tab&amp;search_scope=EVERYTHING&amp;vid=01CRU&amp;lang=en_US&amp;offset=0&amp;query=any,contains,991002885899702656","Catalog Record")</f>
        <v/>
      </c>
      <c r="AT109">
        <f>HYPERLINK("http://www.worldcat.org/oclc/508327","WorldCat Record")</f>
        <v/>
      </c>
      <c r="AU109" t="inlineStr">
        <is>
          <t>363992048:eng</t>
        </is>
      </c>
      <c r="AV109" t="inlineStr">
        <is>
          <t>508327</t>
        </is>
      </c>
      <c r="AW109" t="inlineStr">
        <is>
          <t>991002885899702656</t>
        </is>
      </c>
      <c r="AX109" t="inlineStr">
        <is>
          <t>991002885899702656</t>
        </is>
      </c>
      <c r="AY109" t="inlineStr">
        <is>
          <t>2261026970002656</t>
        </is>
      </c>
      <c r="AZ109" t="inlineStr">
        <is>
          <t>BOOK</t>
        </is>
      </c>
      <c r="BB109" t="inlineStr">
        <is>
          <t>9780816402410</t>
        </is>
      </c>
      <c r="BC109" t="inlineStr">
        <is>
          <t>32285000559962</t>
        </is>
      </c>
      <c r="BD109" t="inlineStr">
        <is>
          <t>893710797</t>
        </is>
      </c>
      <c r="BE109" t="inlineStr">
        <is>
          <t>S Brown</t>
        </is>
      </c>
    </row>
    <row r="110">
      <c r="A110" t="inlineStr">
        <is>
          <t>No</t>
        </is>
      </c>
      <c r="B110" t="inlineStr">
        <is>
          <t>BS2615.2 .J63</t>
        </is>
      </c>
      <c r="C110" t="inlineStr">
        <is>
          <t>0                      BS 2615200J  63</t>
        </is>
      </c>
      <c r="D110" t="inlineStr">
        <is>
          <t>Jesus, stranger from heaven and Son of God : Jesus Christ and the Christians in Johannine perspective / by Marinus de Jonge ; edited and translated by John E. Steely.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Jonge, M. de (Marinus), 1925-</t>
        </is>
      </c>
      <c r="L110" t="inlineStr">
        <is>
          <t>Missoula, Mont. : Published by Scholars Press for the Society of Biblical Literature, c1977.</t>
        </is>
      </c>
      <c r="M110" t="inlineStr">
        <is>
          <t>1977</t>
        </is>
      </c>
      <c r="O110" t="inlineStr">
        <is>
          <t>eng</t>
        </is>
      </c>
      <c r="P110" t="inlineStr">
        <is>
          <t>mtu</t>
        </is>
      </c>
      <c r="Q110" t="inlineStr">
        <is>
          <t>Sources for biblical study ; no. 11</t>
        </is>
      </c>
      <c r="R110" t="inlineStr">
        <is>
          <t xml:space="preserve">BS </t>
        </is>
      </c>
      <c r="S110" t="n">
        <v>5</v>
      </c>
      <c r="T110" t="n">
        <v>5</v>
      </c>
      <c r="U110" t="inlineStr">
        <is>
          <t>2000-09-14</t>
        </is>
      </c>
      <c r="V110" t="inlineStr">
        <is>
          <t>2000-09-14</t>
        </is>
      </c>
      <c r="W110" t="inlineStr">
        <is>
          <t>1991-05-08</t>
        </is>
      </c>
      <c r="X110" t="inlineStr">
        <is>
          <t>1991-05-08</t>
        </is>
      </c>
      <c r="Y110" t="n">
        <v>297</v>
      </c>
      <c r="Z110" t="n">
        <v>223</v>
      </c>
      <c r="AA110" t="n">
        <v>224</v>
      </c>
      <c r="AB110" t="n">
        <v>1</v>
      </c>
      <c r="AC110" t="n">
        <v>1</v>
      </c>
      <c r="AD110" t="n">
        <v>14</v>
      </c>
      <c r="AE110" t="n">
        <v>15</v>
      </c>
      <c r="AF110" t="n">
        <v>4</v>
      </c>
      <c r="AG110" t="n">
        <v>4</v>
      </c>
      <c r="AH110" t="n">
        <v>5</v>
      </c>
      <c r="AI110" t="n">
        <v>5</v>
      </c>
      <c r="AJ110" t="n">
        <v>9</v>
      </c>
      <c r="AK110" t="n">
        <v>10</v>
      </c>
      <c r="AL110" t="n">
        <v>0</v>
      </c>
      <c r="AM110" t="n">
        <v>0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HYPERLINK("https://creighton-primo.hosted.exlibrisgroup.com/primo-explore/search?tab=default_tab&amp;search_scope=EVERYTHING&amp;vid=01CRU&amp;lang=en_US&amp;offset=0&amp;query=any,contains,991004335129702656","Catalog Record")</f>
        <v/>
      </c>
      <c r="AT110">
        <f>HYPERLINK("http://www.worldcat.org/oclc/3072432","WorldCat Record")</f>
        <v/>
      </c>
      <c r="AU110" t="inlineStr">
        <is>
          <t>7073746:eng</t>
        </is>
      </c>
      <c r="AV110" t="inlineStr">
        <is>
          <t>3072432</t>
        </is>
      </c>
      <c r="AW110" t="inlineStr">
        <is>
          <t>991004335129702656</t>
        </is>
      </c>
      <c r="AX110" t="inlineStr">
        <is>
          <t>991004335129702656</t>
        </is>
      </c>
      <c r="AY110" t="inlineStr">
        <is>
          <t>2265316240002656</t>
        </is>
      </c>
      <c r="AZ110" t="inlineStr">
        <is>
          <t>BOOK</t>
        </is>
      </c>
      <c r="BB110" t="inlineStr">
        <is>
          <t>9780891301349</t>
        </is>
      </c>
      <c r="BC110" t="inlineStr">
        <is>
          <t>32285000560002</t>
        </is>
      </c>
      <c r="BD110" t="inlineStr">
        <is>
          <t>893800867</t>
        </is>
      </c>
      <c r="BE110" t="inlineStr">
        <is>
          <t>S Brown</t>
        </is>
      </c>
    </row>
    <row r="111">
      <c r="A111" t="inlineStr">
        <is>
          <t>No</t>
        </is>
      </c>
      <c r="B111" t="inlineStr">
        <is>
          <t>BS2615.2 .K2813 1968</t>
        </is>
      </c>
      <c r="C111" t="inlineStr">
        <is>
          <t>0                      BS 2615200K  2813        1968</t>
        </is>
      </c>
      <c r="D111" t="inlineStr">
        <is>
          <t>The testament of Jesus : a study of the Gospel of John in the light of chapter 17 / Ernst Käsemann ; [translated by Gerhard Krodel from the German].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Käsemann, Ernst.</t>
        </is>
      </c>
      <c r="L111" t="inlineStr">
        <is>
          <t>Philadelphia : Fortress Press, 1968.</t>
        </is>
      </c>
      <c r="M111" t="inlineStr">
        <is>
          <t>1976</t>
        </is>
      </c>
      <c r="O111" t="inlineStr">
        <is>
          <t>eng</t>
        </is>
      </c>
      <c r="P111" t="inlineStr">
        <is>
          <t>miu</t>
        </is>
      </c>
      <c r="R111" t="inlineStr">
        <is>
          <t xml:space="preserve">BS </t>
        </is>
      </c>
      <c r="S111" t="n">
        <v>4</v>
      </c>
      <c r="T111" t="n">
        <v>4</v>
      </c>
      <c r="U111" t="inlineStr">
        <is>
          <t>2001-10-25</t>
        </is>
      </c>
      <c r="V111" t="inlineStr">
        <is>
          <t>2001-10-25</t>
        </is>
      </c>
      <c r="W111" t="inlineStr">
        <is>
          <t>1991-05-13</t>
        </is>
      </c>
      <c r="X111" t="inlineStr">
        <is>
          <t>1991-05-13</t>
        </is>
      </c>
      <c r="Y111" t="n">
        <v>9</v>
      </c>
      <c r="Z111" t="n">
        <v>8</v>
      </c>
      <c r="AA111" t="n">
        <v>538</v>
      </c>
      <c r="AB111" t="n">
        <v>1</v>
      </c>
      <c r="AC111" t="n">
        <v>5</v>
      </c>
      <c r="AD111" t="n">
        <v>0</v>
      </c>
      <c r="AE111" t="n">
        <v>43</v>
      </c>
      <c r="AF111" t="n">
        <v>0</v>
      </c>
      <c r="AG111" t="n">
        <v>20</v>
      </c>
      <c r="AH111" t="n">
        <v>0</v>
      </c>
      <c r="AI111" t="n">
        <v>8</v>
      </c>
      <c r="AJ111" t="n">
        <v>0</v>
      </c>
      <c r="AK111" t="n">
        <v>24</v>
      </c>
      <c r="AL111" t="n">
        <v>0</v>
      </c>
      <c r="AM111" t="n">
        <v>4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HYPERLINK("https://creighton-primo.hosted.exlibrisgroup.com/primo-explore/search?tab=default_tab&amp;search_scope=EVERYTHING&amp;vid=01CRU&amp;lang=en_US&amp;offset=0&amp;query=any,contains,991004683049702656","Catalog Record")</f>
        <v/>
      </c>
      <c r="AT111">
        <f>HYPERLINK("http://www.worldcat.org/oclc/4579316","WorldCat Record")</f>
        <v/>
      </c>
      <c r="AU111" t="inlineStr">
        <is>
          <t>1138472:eng</t>
        </is>
      </c>
      <c r="AV111" t="inlineStr">
        <is>
          <t>4579316</t>
        </is>
      </c>
      <c r="AW111" t="inlineStr">
        <is>
          <t>991004683049702656</t>
        </is>
      </c>
      <c r="AX111" t="inlineStr">
        <is>
          <t>991004683049702656</t>
        </is>
      </c>
      <c r="AY111" t="inlineStr">
        <is>
          <t>2260884560002656</t>
        </is>
      </c>
      <c r="AZ111" t="inlineStr">
        <is>
          <t>BOOK</t>
        </is>
      </c>
      <c r="BC111" t="inlineStr">
        <is>
          <t>32285000625011</t>
        </is>
      </c>
      <c r="BD111" t="inlineStr">
        <is>
          <t>893719224</t>
        </is>
      </c>
      <c r="BE111" t="inlineStr">
        <is>
          <t>S Brown</t>
        </is>
      </c>
    </row>
    <row r="112">
      <c r="A112" t="inlineStr">
        <is>
          <t>No</t>
        </is>
      </c>
      <c r="B112" t="inlineStr">
        <is>
          <t>BS2615.2 .K9</t>
        </is>
      </c>
      <c r="C112" t="inlineStr">
        <is>
          <t>0                      BS 2615200K  9</t>
        </is>
      </c>
      <c r="D112" t="inlineStr">
        <is>
          <t>The fourth evangelist and his Gospel : an examination of contemporary scholarship / Robert Kysar.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Kysar, Robert.</t>
        </is>
      </c>
      <c r="L112" t="inlineStr">
        <is>
          <t>Minneapolis : Augsburg Pub. House, c1975.</t>
        </is>
      </c>
      <c r="M112" t="inlineStr">
        <is>
          <t>1975</t>
        </is>
      </c>
      <c r="O112" t="inlineStr">
        <is>
          <t>eng</t>
        </is>
      </c>
      <c r="P112" t="inlineStr">
        <is>
          <t>mnu</t>
        </is>
      </c>
      <c r="R112" t="inlineStr">
        <is>
          <t xml:space="preserve">BS </t>
        </is>
      </c>
      <c r="S112" t="n">
        <v>5</v>
      </c>
      <c r="T112" t="n">
        <v>5</v>
      </c>
      <c r="U112" t="inlineStr">
        <is>
          <t>2006-04-02</t>
        </is>
      </c>
      <c r="V112" t="inlineStr">
        <is>
          <t>2006-04-02</t>
        </is>
      </c>
      <c r="W112" t="inlineStr">
        <is>
          <t>1991-05-13</t>
        </is>
      </c>
      <c r="X112" t="inlineStr">
        <is>
          <t>1991-05-13</t>
        </is>
      </c>
      <c r="Y112" t="n">
        <v>531</v>
      </c>
      <c r="Z112" t="n">
        <v>424</v>
      </c>
      <c r="AA112" t="n">
        <v>427</v>
      </c>
      <c r="AB112" t="n">
        <v>5</v>
      </c>
      <c r="AC112" t="n">
        <v>5</v>
      </c>
      <c r="AD112" t="n">
        <v>35</v>
      </c>
      <c r="AE112" t="n">
        <v>35</v>
      </c>
      <c r="AF112" t="n">
        <v>12</v>
      </c>
      <c r="AG112" t="n">
        <v>12</v>
      </c>
      <c r="AH112" t="n">
        <v>7</v>
      </c>
      <c r="AI112" t="n">
        <v>7</v>
      </c>
      <c r="AJ112" t="n">
        <v>20</v>
      </c>
      <c r="AK112" t="n">
        <v>20</v>
      </c>
      <c r="AL112" t="n">
        <v>4</v>
      </c>
      <c r="AM112" t="n">
        <v>4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HYPERLINK("http://catalog.hathitrust.org/Record/000697696","HathiTrust Record")</f>
        <v/>
      </c>
      <c r="AS112">
        <f>HYPERLINK("https://creighton-primo.hosted.exlibrisgroup.com/primo-explore/search?tab=default_tab&amp;search_scope=EVERYTHING&amp;vid=01CRU&amp;lang=en_US&amp;offset=0&amp;query=any,contains,991003917359702656","Catalog Record")</f>
        <v/>
      </c>
      <c r="AT112">
        <f>HYPERLINK("http://www.worldcat.org/oclc/1863373","WorldCat Record")</f>
        <v/>
      </c>
      <c r="AU112" t="inlineStr">
        <is>
          <t>375539960:eng</t>
        </is>
      </c>
      <c r="AV112" t="inlineStr">
        <is>
          <t>1863373</t>
        </is>
      </c>
      <c r="AW112" t="inlineStr">
        <is>
          <t>991003917359702656</t>
        </is>
      </c>
      <c r="AX112" t="inlineStr">
        <is>
          <t>991003917359702656</t>
        </is>
      </c>
      <c r="AY112" t="inlineStr">
        <is>
          <t>2263217820002656</t>
        </is>
      </c>
      <c r="AZ112" t="inlineStr">
        <is>
          <t>BOOK</t>
        </is>
      </c>
      <c r="BB112" t="inlineStr">
        <is>
          <t>9780806615042</t>
        </is>
      </c>
      <c r="BC112" t="inlineStr">
        <is>
          <t>32285000625029</t>
        </is>
      </c>
      <c r="BD112" t="inlineStr">
        <is>
          <t>893693315</t>
        </is>
      </c>
      <c r="BE112" t="inlineStr">
        <is>
          <t>S Brown</t>
        </is>
      </c>
    </row>
    <row r="113">
      <c r="A113" t="inlineStr">
        <is>
          <t>No</t>
        </is>
      </c>
      <c r="B113" t="inlineStr">
        <is>
          <t>BS2615.2 .M333 1985</t>
        </is>
      </c>
      <c r="C113" t="inlineStr">
        <is>
          <t>0                      BS 2615200M  333         1985</t>
        </is>
      </c>
      <c r="D113" t="inlineStr">
        <is>
          <t>The Gospel of John in sociolinguistic perspective : protocol of the forty-eighth colloquy, 11 March 1984 / Bruce J. Malina ; H.C. Waetjen, editor.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Malina, Bruce J.</t>
        </is>
      </c>
      <c r="L113" t="inlineStr">
        <is>
          <t>Berkeley, CA, USA : Center for Hermeneutical Studies in Hellenistic and Modern Culture, c1985.</t>
        </is>
      </c>
      <c r="M113" t="inlineStr">
        <is>
          <t>1985</t>
        </is>
      </c>
      <c r="O113" t="inlineStr">
        <is>
          <t>eng</t>
        </is>
      </c>
      <c r="P113" t="inlineStr">
        <is>
          <t>cau</t>
        </is>
      </c>
      <c r="Q113" t="inlineStr">
        <is>
          <t>Colloquy, 0098-0900 ; 48</t>
        </is>
      </c>
      <c r="R113" t="inlineStr">
        <is>
          <t xml:space="preserve">BS </t>
        </is>
      </c>
      <c r="S113" t="n">
        <v>7</v>
      </c>
      <c r="T113" t="n">
        <v>7</v>
      </c>
      <c r="U113" t="inlineStr">
        <is>
          <t>1999-06-10</t>
        </is>
      </c>
      <c r="V113" t="inlineStr">
        <is>
          <t>1999-06-10</t>
        </is>
      </c>
      <c r="W113" t="inlineStr">
        <is>
          <t>1991-05-13</t>
        </is>
      </c>
      <c r="X113" t="inlineStr">
        <is>
          <t>1991-05-13</t>
        </is>
      </c>
      <c r="Y113" t="n">
        <v>116</v>
      </c>
      <c r="Z113" t="n">
        <v>96</v>
      </c>
      <c r="AA113" t="n">
        <v>99</v>
      </c>
      <c r="AB113" t="n">
        <v>1</v>
      </c>
      <c r="AC113" t="n">
        <v>1</v>
      </c>
      <c r="AD113" t="n">
        <v>4</v>
      </c>
      <c r="AE113" t="n">
        <v>4</v>
      </c>
      <c r="AF113" t="n">
        <v>2</v>
      </c>
      <c r="AG113" t="n">
        <v>2</v>
      </c>
      <c r="AH113" t="n">
        <v>2</v>
      </c>
      <c r="AI113" t="n">
        <v>2</v>
      </c>
      <c r="AJ113" t="n">
        <v>4</v>
      </c>
      <c r="AK113" t="n">
        <v>4</v>
      </c>
      <c r="AL113" t="n">
        <v>0</v>
      </c>
      <c r="AM113" t="n">
        <v>0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HYPERLINK("https://creighton-primo.hosted.exlibrisgroup.com/primo-explore/search?tab=default_tab&amp;search_scope=EVERYTHING&amp;vid=01CRU&amp;lang=en_US&amp;offset=0&amp;query=any,contains,991000673239702656","Catalog Record")</f>
        <v/>
      </c>
      <c r="AT113">
        <f>HYPERLINK("http://www.worldcat.org/oclc/12341983","WorldCat Record")</f>
        <v/>
      </c>
      <c r="AU113" t="inlineStr">
        <is>
          <t>890508825:eng</t>
        </is>
      </c>
      <c r="AV113" t="inlineStr">
        <is>
          <t>12341983</t>
        </is>
      </c>
      <c r="AW113" t="inlineStr">
        <is>
          <t>991000673239702656</t>
        </is>
      </c>
      <c r="AX113" t="inlineStr">
        <is>
          <t>991000673239702656</t>
        </is>
      </c>
      <c r="AY113" t="inlineStr">
        <is>
          <t>2266730380002656</t>
        </is>
      </c>
      <c r="AZ113" t="inlineStr">
        <is>
          <t>BOOK</t>
        </is>
      </c>
      <c r="BB113" t="inlineStr">
        <is>
          <t>9780892420483</t>
        </is>
      </c>
      <c r="BC113" t="inlineStr">
        <is>
          <t>32285000625094</t>
        </is>
      </c>
      <c r="BD113" t="inlineStr">
        <is>
          <t>893515499</t>
        </is>
      </c>
      <c r="BE113" t="inlineStr">
        <is>
          <t>S Brown</t>
        </is>
      </c>
    </row>
    <row r="114">
      <c r="A114" t="inlineStr">
        <is>
          <t>No</t>
        </is>
      </c>
      <c r="B114" t="inlineStr">
        <is>
          <t>BS2615.2 .M37</t>
        </is>
      </c>
      <c r="C114" t="inlineStr">
        <is>
          <t>0                      BS 2615200M  37</t>
        </is>
      </c>
      <c r="D114" t="inlineStr">
        <is>
          <t>The prophet-king. Moses traditions and the Johannine Christology, by Wayne A. Meeks.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Meeks, Wayne A.</t>
        </is>
      </c>
      <c r="L114" t="inlineStr">
        <is>
          <t>Leiden, E. J. Brill, 1967.</t>
        </is>
      </c>
      <c r="M114" t="inlineStr">
        <is>
          <t>1967</t>
        </is>
      </c>
      <c r="O114" t="inlineStr">
        <is>
          <t>eng</t>
        </is>
      </c>
      <c r="P114" t="inlineStr">
        <is>
          <t xml:space="preserve">ne </t>
        </is>
      </c>
      <c r="Q114" t="inlineStr">
        <is>
          <t>Supplements to Novum Testamentum ; v. 14</t>
        </is>
      </c>
      <c r="R114" t="inlineStr">
        <is>
          <t xml:space="preserve">BS </t>
        </is>
      </c>
      <c r="S114" t="n">
        <v>4</v>
      </c>
      <c r="T114" t="n">
        <v>4</v>
      </c>
      <c r="U114" t="inlineStr">
        <is>
          <t>2009-10-12</t>
        </is>
      </c>
      <c r="V114" t="inlineStr">
        <is>
          <t>2009-10-12</t>
        </is>
      </c>
      <c r="W114" t="inlineStr">
        <is>
          <t>1991-05-13</t>
        </is>
      </c>
      <c r="X114" t="inlineStr">
        <is>
          <t>1991-05-13</t>
        </is>
      </c>
      <c r="Y114" t="n">
        <v>377</v>
      </c>
      <c r="Z114" t="n">
        <v>284</v>
      </c>
      <c r="AA114" t="n">
        <v>307</v>
      </c>
      <c r="AB114" t="n">
        <v>2</v>
      </c>
      <c r="AC114" t="n">
        <v>2</v>
      </c>
      <c r="AD114" t="n">
        <v>26</v>
      </c>
      <c r="AE114" t="n">
        <v>26</v>
      </c>
      <c r="AF114" t="n">
        <v>8</v>
      </c>
      <c r="AG114" t="n">
        <v>8</v>
      </c>
      <c r="AH114" t="n">
        <v>7</v>
      </c>
      <c r="AI114" t="n">
        <v>7</v>
      </c>
      <c r="AJ114" t="n">
        <v>16</v>
      </c>
      <c r="AK114" t="n">
        <v>16</v>
      </c>
      <c r="AL114" t="n">
        <v>1</v>
      </c>
      <c r="AM114" t="n">
        <v>1</v>
      </c>
      <c r="AN114" t="n">
        <v>0</v>
      </c>
      <c r="AO114" t="n">
        <v>0</v>
      </c>
      <c r="AP114" t="inlineStr">
        <is>
          <t>No</t>
        </is>
      </c>
      <c r="AQ114" t="inlineStr">
        <is>
          <t>No</t>
        </is>
      </c>
      <c r="AS114">
        <f>HYPERLINK("https://creighton-primo.hosted.exlibrisgroup.com/primo-explore/search?tab=default_tab&amp;search_scope=EVERYTHING&amp;vid=01CRU&amp;lang=en_US&amp;offset=0&amp;query=any,contains,991001084659702656","Catalog Record")</f>
        <v/>
      </c>
      <c r="AT114">
        <f>HYPERLINK("http://www.worldcat.org/oclc/179833","WorldCat Record")</f>
        <v/>
      </c>
      <c r="AU114" t="inlineStr">
        <is>
          <t>889333648:eng</t>
        </is>
      </c>
      <c r="AV114" t="inlineStr">
        <is>
          <t>179833</t>
        </is>
      </c>
      <c r="AW114" t="inlineStr">
        <is>
          <t>991001084659702656</t>
        </is>
      </c>
      <c r="AX114" t="inlineStr">
        <is>
          <t>991001084659702656</t>
        </is>
      </c>
      <c r="AY114" t="inlineStr">
        <is>
          <t>2264866810002656</t>
        </is>
      </c>
      <c r="AZ114" t="inlineStr">
        <is>
          <t>BOOK</t>
        </is>
      </c>
      <c r="BC114" t="inlineStr">
        <is>
          <t>32285000625136</t>
        </is>
      </c>
      <c r="BD114" t="inlineStr">
        <is>
          <t>893231691</t>
        </is>
      </c>
      <c r="BE114" t="inlineStr">
        <is>
          <t>S Brown</t>
        </is>
      </c>
    </row>
    <row r="115">
      <c r="A115" t="inlineStr">
        <is>
          <t>No</t>
        </is>
      </c>
      <c r="B115" t="inlineStr">
        <is>
          <t>BS2615.2 .M377</t>
        </is>
      </c>
      <c r="C115" t="inlineStr">
        <is>
          <t>0                      BS 2615200M  377</t>
        </is>
      </c>
      <c r="D115" t="inlineStr">
        <is>
          <t>The Ignatian exercises in the light of St. John / Carlo M. Martini ; translated by Joseph Gill ; foreword by Karl Rahner.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Martini, Carlo Maria, 1927-2012.</t>
        </is>
      </c>
      <c r="L115" t="inlineStr">
        <is>
          <t>Anand, India : Gujarat Sahitya Prakash, 1981.</t>
        </is>
      </c>
      <c r="M115" t="inlineStr">
        <is>
          <t>1981</t>
        </is>
      </c>
      <c r="O115" t="inlineStr">
        <is>
          <t>eng</t>
        </is>
      </c>
      <c r="P115" t="inlineStr">
        <is>
          <t xml:space="preserve">ii </t>
        </is>
      </c>
      <c r="R115" t="inlineStr">
        <is>
          <t xml:space="preserve">BS </t>
        </is>
      </c>
      <c r="S115" t="n">
        <v>2</v>
      </c>
      <c r="T115" t="n">
        <v>2</v>
      </c>
      <c r="U115" t="inlineStr">
        <is>
          <t>2000-07-07</t>
        </is>
      </c>
      <c r="V115" t="inlineStr">
        <is>
          <t>2000-07-07</t>
        </is>
      </c>
      <c r="W115" t="inlineStr">
        <is>
          <t>1990-04-30</t>
        </is>
      </c>
      <c r="X115" t="inlineStr">
        <is>
          <t>1990-04-30</t>
        </is>
      </c>
      <c r="Y115" t="n">
        <v>29</v>
      </c>
      <c r="Z115" t="n">
        <v>15</v>
      </c>
      <c r="AA115" t="n">
        <v>15</v>
      </c>
      <c r="AB115" t="n">
        <v>1</v>
      </c>
      <c r="AC115" t="n">
        <v>1</v>
      </c>
      <c r="AD115" t="n">
        <v>7</v>
      </c>
      <c r="AE115" t="n">
        <v>7</v>
      </c>
      <c r="AF115" t="n">
        <v>2</v>
      </c>
      <c r="AG115" t="n">
        <v>2</v>
      </c>
      <c r="AH115" t="n">
        <v>0</v>
      </c>
      <c r="AI115" t="n">
        <v>0</v>
      </c>
      <c r="AJ115" t="n">
        <v>7</v>
      </c>
      <c r="AK115" t="n">
        <v>7</v>
      </c>
      <c r="AL115" t="n">
        <v>0</v>
      </c>
      <c r="AM115" t="n">
        <v>0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HYPERLINK("https://creighton-primo.hosted.exlibrisgroup.com/primo-explore/search?tab=default_tab&amp;search_scope=EVERYTHING&amp;vid=01CRU&amp;lang=en_US&amp;offset=0&amp;query=any,contains,991000143279702656","Catalog Record")</f>
        <v/>
      </c>
      <c r="AT115">
        <f>HYPERLINK("http://www.worldcat.org/oclc/9176689","WorldCat Record")</f>
        <v/>
      </c>
      <c r="AU115" t="inlineStr">
        <is>
          <t>8913807303:eng</t>
        </is>
      </c>
      <c r="AV115" t="inlineStr">
        <is>
          <t>9176689</t>
        </is>
      </c>
      <c r="AW115" t="inlineStr">
        <is>
          <t>991000143279702656</t>
        </is>
      </c>
      <c r="AX115" t="inlineStr">
        <is>
          <t>991000143279702656</t>
        </is>
      </c>
      <c r="AY115" t="inlineStr">
        <is>
          <t>2263809850002656</t>
        </is>
      </c>
      <c r="AZ115" t="inlineStr">
        <is>
          <t>BOOK</t>
        </is>
      </c>
      <c r="BC115" t="inlineStr">
        <is>
          <t>32285000128107</t>
        </is>
      </c>
      <c r="BD115" t="inlineStr">
        <is>
          <t>893495959</t>
        </is>
      </c>
      <c r="BE115" t="inlineStr">
        <is>
          <t>S Brown</t>
        </is>
      </c>
    </row>
    <row r="116">
      <c r="A116" t="inlineStr">
        <is>
          <t>No</t>
        </is>
      </c>
      <c r="B116" t="inlineStr">
        <is>
          <t>BS2615.2 .M6 1964</t>
        </is>
      </c>
      <c r="C116" t="inlineStr">
        <is>
          <t>0                      BS 2615200M  6           1964</t>
        </is>
      </c>
      <c r="D116" t="inlineStr">
        <is>
          <t>The New Testament and the Jewish lectionaries.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Morris, Leon.</t>
        </is>
      </c>
      <c r="L116" t="inlineStr">
        <is>
          <t>London, Tyndale Press [1964]</t>
        </is>
      </c>
      <c r="M116" t="inlineStr">
        <is>
          <t>1964</t>
        </is>
      </c>
      <c r="N116" t="inlineStr">
        <is>
          <t>[1st ed.]</t>
        </is>
      </c>
      <c r="O116" t="inlineStr">
        <is>
          <t>eng</t>
        </is>
      </c>
      <c r="P116" t="inlineStr">
        <is>
          <t>___</t>
        </is>
      </c>
      <c r="R116" t="inlineStr">
        <is>
          <t xml:space="preserve">BS </t>
        </is>
      </c>
      <c r="S116" t="n">
        <v>0</v>
      </c>
      <c r="T116" t="n">
        <v>0</v>
      </c>
      <c r="U116" t="inlineStr">
        <is>
          <t>2009-10-09</t>
        </is>
      </c>
      <c r="V116" t="inlineStr">
        <is>
          <t>2009-10-09</t>
        </is>
      </c>
      <c r="W116" t="inlineStr">
        <is>
          <t>1991-05-13</t>
        </is>
      </c>
      <c r="X116" t="inlineStr">
        <is>
          <t>1991-05-13</t>
        </is>
      </c>
      <c r="Y116" t="n">
        <v>196</v>
      </c>
      <c r="Z116" t="n">
        <v>119</v>
      </c>
      <c r="AA116" t="n">
        <v>119</v>
      </c>
      <c r="AB116" t="n">
        <v>1</v>
      </c>
      <c r="AC116" t="n">
        <v>1</v>
      </c>
      <c r="AD116" t="n">
        <v>6</v>
      </c>
      <c r="AE116" t="n">
        <v>6</v>
      </c>
      <c r="AF116" t="n">
        <v>2</v>
      </c>
      <c r="AG116" t="n">
        <v>2</v>
      </c>
      <c r="AH116" t="n">
        <v>1</v>
      </c>
      <c r="AI116" t="n">
        <v>1</v>
      </c>
      <c r="AJ116" t="n">
        <v>3</v>
      </c>
      <c r="AK116" t="n">
        <v>3</v>
      </c>
      <c r="AL116" t="n">
        <v>0</v>
      </c>
      <c r="AM116" t="n">
        <v>0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HYPERLINK("http://catalog.hathitrust.org/Record/007308578","HathiTrust Record")</f>
        <v/>
      </c>
      <c r="AS116">
        <f>HYPERLINK("https://creighton-primo.hosted.exlibrisgroup.com/primo-explore/search?tab=default_tab&amp;search_scope=EVERYTHING&amp;vid=01CRU&amp;lang=en_US&amp;offset=0&amp;query=any,contains,991003308909702656","Catalog Record")</f>
        <v/>
      </c>
      <c r="AT116">
        <f>HYPERLINK("http://www.worldcat.org/oclc/832513","WorldCat Record")</f>
        <v/>
      </c>
      <c r="AU116" t="inlineStr">
        <is>
          <t>148333260:eng</t>
        </is>
      </c>
      <c r="AV116" t="inlineStr">
        <is>
          <t>832513</t>
        </is>
      </c>
      <c r="AW116" t="inlineStr">
        <is>
          <t>991003308909702656</t>
        </is>
      </c>
      <c r="AX116" t="inlineStr">
        <is>
          <t>991003308909702656</t>
        </is>
      </c>
      <c r="AY116" t="inlineStr">
        <is>
          <t>2272515070002656</t>
        </is>
      </c>
      <c r="AZ116" t="inlineStr">
        <is>
          <t>BOOK</t>
        </is>
      </c>
      <c r="BC116" t="inlineStr">
        <is>
          <t>32285000625151</t>
        </is>
      </c>
      <c r="BD116" t="inlineStr">
        <is>
          <t>893227925</t>
        </is>
      </c>
      <c r="BE116" t="inlineStr">
        <is>
          <t>S Brown</t>
        </is>
      </c>
    </row>
    <row r="117">
      <c r="A117" t="inlineStr">
        <is>
          <t>No</t>
        </is>
      </c>
      <c r="B117" t="inlineStr">
        <is>
          <t>BS2615.2 .M62 1969</t>
        </is>
      </c>
      <c r="C117" t="inlineStr">
        <is>
          <t>0                      BS 2615200M  62          1969</t>
        </is>
      </c>
      <c r="D117" t="inlineStr">
        <is>
          <t>Studies in the fourth Gospel.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Morris, Leon, 1914-2006.</t>
        </is>
      </c>
      <c r="L117" t="inlineStr">
        <is>
          <t>Grand Rapids, W. B. Eerdmans Pub. Co. [1969]</t>
        </is>
      </c>
      <c r="M117" t="inlineStr">
        <is>
          <t>1969</t>
        </is>
      </c>
      <c r="O117" t="inlineStr">
        <is>
          <t>eng</t>
        </is>
      </c>
      <c r="P117" t="inlineStr">
        <is>
          <t>miu</t>
        </is>
      </c>
      <c r="R117" t="inlineStr">
        <is>
          <t xml:space="preserve">BS </t>
        </is>
      </c>
      <c r="S117" t="n">
        <v>7</v>
      </c>
      <c r="T117" t="n">
        <v>7</v>
      </c>
      <c r="U117" t="inlineStr">
        <is>
          <t>2001-10-11</t>
        </is>
      </c>
      <c r="V117" t="inlineStr">
        <is>
          <t>2001-10-11</t>
        </is>
      </c>
      <c r="W117" t="inlineStr">
        <is>
          <t>1991-05-13</t>
        </is>
      </c>
      <c r="X117" t="inlineStr">
        <is>
          <t>1991-05-13</t>
        </is>
      </c>
      <c r="Y117" t="n">
        <v>478</v>
      </c>
      <c r="Z117" t="n">
        <v>431</v>
      </c>
      <c r="AA117" t="n">
        <v>462</v>
      </c>
      <c r="AB117" t="n">
        <v>4</v>
      </c>
      <c r="AC117" t="n">
        <v>4</v>
      </c>
      <c r="AD117" t="n">
        <v>24</v>
      </c>
      <c r="AE117" t="n">
        <v>25</v>
      </c>
      <c r="AF117" t="n">
        <v>10</v>
      </c>
      <c r="AG117" t="n">
        <v>11</v>
      </c>
      <c r="AH117" t="n">
        <v>4</v>
      </c>
      <c r="AI117" t="n">
        <v>4</v>
      </c>
      <c r="AJ117" t="n">
        <v>13</v>
      </c>
      <c r="AK117" t="n">
        <v>14</v>
      </c>
      <c r="AL117" t="n">
        <v>3</v>
      </c>
      <c r="AM117" t="n">
        <v>3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HYPERLINK("http://catalog.hathitrust.org/Record/001411179","HathiTrust Record")</f>
        <v/>
      </c>
      <c r="AS117">
        <f>HYPERLINK("https://creighton-primo.hosted.exlibrisgroup.com/primo-explore/search?tab=default_tab&amp;search_scope=EVERYTHING&amp;vid=01CRU&amp;lang=en_US&amp;offset=0&amp;query=any,contains,991000038709702656","Catalog Record")</f>
        <v/>
      </c>
      <c r="AT117">
        <f>HYPERLINK("http://www.worldcat.org/oclc/21321","WorldCat Record")</f>
        <v/>
      </c>
      <c r="AU117" t="inlineStr">
        <is>
          <t>57808998:eng</t>
        </is>
      </c>
      <c r="AV117" t="inlineStr">
        <is>
          <t>21321</t>
        </is>
      </c>
      <c r="AW117" t="inlineStr">
        <is>
          <t>991000038709702656</t>
        </is>
      </c>
      <c r="AX117" t="inlineStr">
        <is>
          <t>991000038709702656</t>
        </is>
      </c>
      <c r="AY117" t="inlineStr">
        <is>
          <t>2261540790002656</t>
        </is>
      </c>
      <c r="AZ117" t="inlineStr">
        <is>
          <t>BOOK</t>
        </is>
      </c>
      <c r="BC117" t="inlineStr">
        <is>
          <t>32285000625169</t>
        </is>
      </c>
      <c r="BD117" t="inlineStr">
        <is>
          <t>893320759</t>
        </is>
      </c>
      <c r="BE117" t="inlineStr">
        <is>
          <t>S Brown</t>
        </is>
      </c>
    </row>
    <row r="118">
      <c r="A118" t="inlineStr">
        <is>
          <t>No</t>
        </is>
      </c>
      <c r="B118" t="inlineStr">
        <is>
          <t>BS2615.2 .N48 1983</t>
        </is>
      </c>
      <c r="C118" t="inlineStr">
        <is>
          <t>0                      BS 2615200N  48          1983</t>
        </is>
      </c>
      <c r="D118" t="inlineStr">
        <is>
          <t>Death as departure : the Johannine descent-ascent schema / Godfrey C. Nicholson.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Nicholson, Godfrey C. (Godfrey Carruthers)</t>
        </is>
      </c>
      <c r="L118" t="inlineStr">
        <is>
          <t>Chico, Calif. : Scholars Press, c1983.</t>
        </is>
      </c>
      <c r="M118" t="inlineStr">
        <is>
          <t>1983</t>
        </is>
      </c>
      <c r="O118" t="inlineStr">
        <is>
          <t>eng</t>
        </is>
      </c>
      <c r="P118" t="inlineStr">
        <is>
          <t>cau</t>
        </is>
      </c>
      <c r="Q118" t="inlineStr">
        <is>
          <t>Dissertation series (Society of Biblical Literature) ; no. 63</t>
        </is>
      </c>
      <c r="R118" t="inlineStr">
        <is>
          <t xml:space="preserve">BS </t>
        </is>
      </c>
      <c r="S118" t="n">
        <v>4</v>
      </c>
      <c r="T118" t="n">
        <v>4</v>
      </c>
      <c r="U118" t="inlineStr">
        <is>
          <t>2004-11-29</t>
        </is>
      </c>
      <c r="V118" t="inlineStr">
        <is>
          <t>2004-11-29</t>
        </is>
      </c>
      <c r="W118" t="inlineStr">
        <is>
          <t>1990-02-08</t>
        </is>
      </c>
      <c r="X118" t="inlineStr">
        <is>
          <t>1990-02-08</t>
        </is>
      </c>
      <c r="Y118" t="n">
        <v>311</v>
      </c>
      <c r="Z118" t="n">
        <v>219</v>
      </c>
      <c r="AA118" t="n">
        <v>221</v>
      </c>
      <c r="AB118" t="n">
        <v>2</v>
      </c>
      <c r="AC118" t="n">
        <v>2</v>
      </c>
      <c r="AD118" t="n">
        <v>13</v>
      </c>
      <c r="AE118" t="n">
        <v>13</v>
      </c>
      <c r="AF118" t="n">
        <v>5</v>
      </c>
      <c r="AG118" t="n">
        <v>5</v>
      </c>
      <c r="AH118" t="n">
        <v>4</v>
      </c>
      <c r="AI118" t="n">
        <v>4</v>
      </c>
      <c r="AJ118" t="n">
        <v>7</v>
      </c>
      <c r="AK118" t="n">
        <v>7</v>
      </c>
      <c r="AL118" t="n">
        <v>1</v>
      </c>
      <c r="AM118" t="n">
        <v>1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HYPERLINK("http://catalog.hathitrust.org/Record/000114326","HathiTrust Record")</f>
        <v/>
      </c>
      <c r="AS118">
        <f>HYPERLINK("https://creighton-primo.hosted.exlibrisgroup.com/primo-explore/search?tab=default_tab&amp;search_scope=EVERYTHING&amp;vid=01CRU&amp;lang=en_US&amp;offset=0&amp;query=any,contains,991005176959702656","Catalog Record")</f>
        <v/>
      </c>
      <c r="AT118">
        <f>HYPERLINK("http://www.worldcat.org/oclc/7924281","WorldCat Record")</f>
        <v/>
      </c>
      <c r="AU118" t="inlineStr">
        <is>
          <t>30282594:eng</t>
        </is>
      </c>
      <c r="AV118" t="inlineStr">
        <is>
          <t>7924281</t>
        </is>
      </c>
      <c r="AW118" t="inlineStr">
        <is>
          <t>991005176959702656</t>
        </is>
      </c>
      <c r="AX118" t="inlineStr">
        <is>
          <t>991005176959702656</t>
        </is>
      </c>
      <c r="AY118" t="inlineStr">
        <is>
          <t>2269301230002656</t>
        </is>
      </c>
      <c r="AZ118" t="inlineStr">
        <is>
          <t>BOOK</t>
        </is>
      </c>
      <c r="BB118" t="inlineStr">
        <is>
          <t>9780891305552</t>
        </is>
      </c>
      <c r="BC118" t="inlineStr">
        <is>
          <t>32285000034396</t>
        </is>
      </c>
      <c r="BD118" t="inlineStr">
        <is>
          <t>893353745</t>
        </is>
      </c>
      <c r="BE118" t="inlineStr">
        <is>
          <t>S Brown</t>
        </is>
      </c>
    </row>
    <row r="119">
      <c r="A119" t="inlineStr">
        <is>
          <t>No</t>
        </is>
      </c>
      <c r="B119" t="inlineStr">
        <is>
          <t>BS2615.2 .O28 1986</t>
        </is>
      </c>
      <c r="C119" t="inlineStr">
        <is>
          <t>0                      BS 2615200O  28          1986</t>
        </is>
      </c>
      <c r="D119" t="inlineStr">
        <is>
          <t>Revelation in the fourth Gospel : narrative mode and theological claim / Gail R. O'Day.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O'Day, Gail R., 1954-</t>
        </is>
      </c>
      <c r="L119" t="inlineStr">
        <is>
          <t>Philadelphia : Fortress Press, c1986.</t>
        </is>
      </c>
      <c r="M119" t="inlineStr">
        <is>
          <t>1986</t>
        </is>
      </c>
      <c r="O119" t="inlineStr">
        <is>
          <t>eng</t>
        </is>
      </c>
      <c r="P119" t="inlineStr">
        <is>
          <t>pau</t>
        </is>
      </c>
      <c r="R119" t="inlineStr">
        <is>
          <t xml:space="preserve">BS </t>
        </is>
      </c>
      <c r="S119" t="n">
        <v>9</v>
      </c>
      <c r="T119" t="n">
        <v>9</v>
      </c>
      <c r="U119" t="inlineStr">
        <is>
          <t>2004-11-24</t>
        </is>
      </c>
      <c r="V119" t="inlineStr">
        <is>
          <t>2004-11-24</t>
        </is>
      </c>
      <c r="W119" t="inlineStr">
        <is>
          <t>1990-05-07</t>
        </is>
      </c>
      <c r="X119" t="inlineStr">
        <is>
          <t>1990-05-07</t>
        </is>
      </c>
      <c r="Y119" t="n">
        <v>360</v>
      </c>
      <c r="Z119" t="n">
        <v>274</v>
      </c>
      <c r="AA119" t="n">
        <v>280</v>
      </c>
      <c r="AB119" t="n">
        <v>1</v>
      </c>
      <c r="AC119" t="n">
        <v>1</v>
      </c>
      <c r="AD119" t="n">
        <v>24</v>
      </c>
      <c r="AE119" t="n">
        <v>24</v>
      </c>
      <c r="AF119" t="n">
        <v>11</v>
      </c>
      <c r="AG119" t="n">
        <v>11</v>
      </c>
      <c r="AH119" t="n">
        <v>6</v>
      </c>
      <c r="AI119" t="n">
        <v>6</v>
      </c>
      <c r="AJ119" t="n">
        <v>14</v>
      </c>
      <c r="AK119" t="n">
        <v>14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HYPERLINK("https://creighton-primo.hosted.exlibrisgroup.com/primo-explore/search?tab=default_tab&amp;search_scope=EVERYTHING&amp;vid=01CRU&amp;lang=en_US&amp;offset=0&amp;query=any,contains,991000826169702656","Catalog Record")</f>
        <v/>
      </c>
      <c r="AT119">
        <f>HYPERLINK("http://www.worldcat.org/oclc/13423470","WorldCat Record")</f>
        <v/>
      </c>
      <c r="AU119" t="inlineStr">
        <is>
          <t>7242053:eng</t>
        </is>
      </c>
      <c r="AV119" t="inlineStr">
        <is>
          <t>13423470</t>
        </is>
      </c>
      <c r="AW119" t="inlineStr">
        <is>
          <t>991000826169702656</t>
        </is>
      </c>
      <c r="AX119" t="inlineStr">
        <is>
          <t>991000826169702656</t>
        </is>
      </c>
      <c r="AY119" t="inlineStr">
        <is>
          <t>2266085060002656</t>
        </is>
      </c>
      <c r="AZ119" t="inlineStr">
        <is>
          <t>BOOK</t>
        </is>
      </c>
      <c r="BB119" t="inlineStr">
        <is>
          <t>9780800619336</t>
        </is>
      </c>
      <c r="BC119" t="inlineStr">
        <is>
          <t>32285000150416</t>
        </is>
      </c>
      <c r="BD119" t="inlineStr">
        <is>
          <t>893339926</t>
        </is>
      </c>
      <c r="BE119" t="inlineStr">
        <is>
          <t>S Brown</t>
        </is>
      </c>
    </row>
    <row r="120">
      <c r="A120" t="inlineStr">
        <is>
          <t>No</t>
        </is>
      </c>
      <c r="B120" t="inlineStr">
        <is>
          <t>BS2615.2 .P6713 1989</t>
        </is>
      </c>
      <c r="C120" t="inlineStr">
        <is>
          <t>0                      BS 2615200P  6713        1989</t>
        </is>
      </c>
      <c r="D120" t="inlineStr">
        <is>
          <t>The hour of Jesus : the passion and the resurrection of Jesus according to John : text and spirit / Ignace de la Potterie.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La Potterie, Ignace de, 1914-2003.</t>
        </is>
      </c>
      <c r="L120" t="inlineStr">
        <is>
          <t>Middlegreen, Slough : St. Paul, c1989.</t>
        </is>
      </c>
      <c r="M120" t="inlineStr">
        <is>
          <t>1989</t>
        </is>
      </c>
      <c r="O120" t="inlineStr">
        <is>
          <t>eng</t>
        </is>
      </c>
      <c r="P120" t="inlineStr">
        <is>
          <t>enk</t>
        </is>
      </c>
      <c r="R120" t="inlineStr">
        <is>
          <t xml:space="preserve">BS </t>
        </is>
      </c>
      <c r="S120" t="n">
        <v>7</v>
      </c>
      <c r="T120" t="n">
        <v>7</v>
      </c>
      <c r="U120" t="inlineStr">
        <is>
          <t>2003-06-17</t>
        </is>
      </c>
      <c r="V120" t="inlineStr">
        <is>
          <t>2003-06-17</t>
        </is>
      </c>
      <c r="W120" t="inlineStr">
        <is>
          <t>1990-01-18</t>
        </is>
      </c>
      <c r="X120" t="inlineStr">
        <is>
          <t>1990-01-18</t>
        </is>
      </c>
      <c r="Y120" t="n">
        <v>44</v>
      </c>
      <c r="Z120" t="n">
        <v>30</v>
      </c>
      <c r="AA120" t="n">
        <v>30</v>
      </c>
      <c r="AB120" t="n">
        <v>1</v>
      </c>
      <c r="AC120" t="n">
        <v>1</v>
      </c>
      <c r="AD120" t="n">
        <v>4</v>
      </c>
      <c r="AE120" t="n">
        <v>4</v>
      </c>
      <c r="AF120" t="n">
        <v>1</v>
      </c>
      <c r="AG120" t="n">
        <v>1</v>
      </c>
      <c r="AH120" t="n">
        <v>1</v>
      </c>
      <c r="AI120" t="n">
        <v>1</v>
      </c>
      <c r="AJ120" t="n">
        <v>4</v>
      </c>
      <c r="AK120" t="n">
        <v>4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HYPERLINK("https://creighton-primo.hosted.exlibrisgroup.com/primo-explore/search?tab=default_tab&amp;search_scope=EVERYTHING&amp;vid=01CRU&amp;lang=en_US&amp;offset=0&amp;query=any,contains,991001556879702656","Catalog Record")</f>
        <v/>
      </c>
      <c r="AT120">
        <f>HYPERLINK("http://www.worldcat.org/oclc/20272200","WorldCat Record")</f>
        <v/>
      </c>
      <c r="AU120" t="inlineStr">
        <is>
          <t>432751878:eng</t>
        </is>
      </c>
      <c r="AV120" t="inlineStr">
        <is>
          <t>20272200</t>
        </is>
      </c>
      <c r="AW120" t="inlineStr">
        <is>
          <t>991001556879702656</t>
        </is>
      </c>
      <c r="AX120" t="inlineStr">
        <is>
          <t>991001556879702656</t>
        </is>
      </c>
      <c r="AY120" t="inlineStr">
        <is>
          <t>2260416360002656</t>
        </is>
      </c>
      <c r="AZ120" t="inlineStr">
        <is>
          <t>BOOK</t>
        </is>
      </c>
      <c r="BB120" t="inlineStr">
        <is>
          <t>9780854392858</t>
        </is>
      </c>
      <c r="BC120" t="inlineStr">
        <is>
          <t>32285000029446</t>
        </is>
      </c>
      <c r="BD120" t="inlineStr">
        <is>
          <t>893866309</t>
        </is>
      </c>
      <c r="BE120" t="inlineStr">
        <is>
          <t>S Brown</t>
        </is>
      </c>
    </row>
    <row r="121">
      <c r="A121" t="inlineStr">
        <is>
          <t>No</t>
        </is>
      </c>
      <c r="B121" t="inlineStr">
        <is>
          <t>BS2615.2 .R39 1988</t>
        </is>
      </c>
      <c r="C121" t="inlineStr">
        <is>
          <t>0                      BS 2615200R  39          1988</t>
        </is>
      </c>
      <c r="D121" t="inlineStr">
        <is>
          <t>Johannine faith and liberating community / David Rensberger.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Rensberger, David K.</t>
        </is>
      </c>
      <c r="L121" t="inlineStr">
        <is>
          <t>Philadelphia : Westminster Press, c1988.</t>
        </is>
      </c>
      <c r="M121" t="inlineStr">
        <is>
          <t>1988</t>
        </is>
      </c>
      <c r="N121" t="inlineStr">
        <is>
          <t>1st ed.</t>
        </is>
      </c>
      <c r="O121" t="inlineStr">
        <is>
          <t>eng</t>
        </is>
      </c>
      <c r="P121" t="inlineStr">
        <is>
          <t>pau</t>
        </is>
      </c>
      <c r="R121" t="inlineStr">
        <is>
          <t xml:space="preserve">BS </t>
        </is>
      </c>
      <c r="S121" t="n">
        <v>5</v>
      </c>
      <c r="T121" t="n">
        <v>5</v>
      </c>
      <c r="U121" t="inlineStr">
        <is>
          <t>2007-05-22</t>
        </is>
      </c>
      <c r="V121" t="inlineStr">
        <is>
          <t>2007-05-22</t>
        </is>
      </c>
      <c r="W121" t="inlineStr">
        <is>
          <t>1991-05-13</t>
        </is>
      </c>
      <c r="X121" t="inlineStr">
        <is>
          <t>1991-05-13</t>
        </is>
      </c>
      <c r="Y121" t="n">
        <v>454</v>
      </c>
      <c r="Z121" t="n">
        <v>370</v>
      </c>
      <c r="AA121" t="n">
        <v>371</v>
      </c>
      <c r="AB121" t="n">
        <v>3</v>
      </c>
      <c r="AC121" t="n">
        <v>3</v>
      </c>
      <c r="AD121" t="n">
        <v>27</v>
      </c>
      <c r="AE121" t="n">
        <v>27</v>
      </c>
      <c r="AF121" t="n">
        <v>11</v>
      </c>
      <c r="AG121" t="n">
        <v>11</v>
      </c>
      <c r="AH121" t="n">
        <v>6</v>
      </c>
      <c r="AI121" t="n">
        <v>6</v>
      </c>
      <c r="AJ121" t="n">
        <v>17</v>
      </c>
      <c r="AK121" t="n">
        <v>17</v>
      </c>
      <c r="AL121" t="n">
        <v>2</v>
      </c>
      <c r="AM121" t="n">
        <v>2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HYPERLINK("https://creighton-primo.hosted.exlibrisgroup.com/primo-explore/search?tab=default_tab&amp;search_scope=EVERYTHING&amp;vid=01CRU&amp;lang=en_US&amp;offset=0&amp;query=any,contains,991001265829702656","Catalog Record")</f>
        <v/>
      </c>
      <c r="AT121">
        <f>HYPERLINK("http://www.worldcat.org/oclc/17805573","WorldCat Record")</f>
        <v/>
      </c>
      <c r="AU121" t="inlineStr">
        <is>
          <t>2673060:eng</t>
        </is>
      </c>
      <c r="AV121" t="inlineStr">
        <is>
          <t>17805573</t>
        </is>
      </c>
      <c r="AW121" t="inlineStr">
        <is>
          <t>991001265829702656</t>
        </is>
      </c>
      <c r="AX121" t="inlineStr">
        <is>
          <t>991001265829702656</t>
        </is>
      </c>
      <c r="AY121" t="inlineStr">
        <is>
          <t>2266029810002656</t>
        </is>
      </c>
      <c r="AZ121" t="inlineStr">
        <is>
          <t>BOOK</t>
        </is>
      </c>
      <c r="BB121" t="inlineStr">
        <is>
          <t>9780664250416</t>
        </is>
      </c>
      <c r="BC121" t="inlineStr">
        <is>
          <t>32285000625250</t>
        </is>
      </c>
      <c r="BD121" t="inlineStr">
        <is>
          <t>893231849</t>
        </is>
      </c>
      <c r="BE121" t="inlineStr">
        <is>
          <t>S Brown</t>
        </is>
      </c>
    </row>
    <row r="122">
      <c r="A122" t="inlineStr">
        <is>
          <t>No</t>
        </is>
      </c>
      <c r="B122" t="inlineStr">
        <is>
          <t>BS2615.2 .S35 1992</t>
        </is>
      </c>
      <c r="C122" t="inlineStr">
        <is>
          <t>0                      BS 2615200S  35          1992</t>
        </is>
      </c>
      <c r="D122" t="inlineStr">
        <is>
          <t>Scripture within scripture : the interrelationship of form and function in the explicit Old Testament citations in the Gospel of John / Bruce G. Schuchard.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Schuchard, Bruce G. (Bruce Gordon)</t>
        </is>
      </c>
      <c r="L122" t="inlineStr">
        <is>
          <t>Atlanta, Ga. : Scholars Press, c1992.</t>
        </is>
      </c>
      <c r="M122" t="inlineStr">
        <is>
          <t>1992</t>
        </is>
      </c>
      <c r="O122" t="inlineStr">
        <is>
          <t>eng</t>
        </is>
      </c>
      <c r="P122" t="inlineStr">
        <is>
          <t>gau</t>
        </is>
      </c>
      <c r="Q122" t="inlineStr">
        <is>
          <t>Dissertation series (Society of Biblical Literature) ; no. 133</t>
        </is>
      </c>
      <c r="R122" t="inlineStr">
        <is>
          <t xml:space="preserve">BS </t>
        </is>
      </c>
      <c r="S122" t="n">
        <v>7</v>
      </c>
      <c r="T122" t="n">
        <v>7</v>
      </c>
      <c r="U122" t="inlineStr">
        <is>
          <t>1998-04-04</t>
        </is>
      </c>
      <c r="V122" t="inlineStr">
        <is>
          <t>1998-04-04</t>
        </is>
      </c>
      <c r="W122" t="inlineStr">
        <is>
          <t>1994-08-22</t>
        </is>
      </c>
      <c r="X122" t="inlineStr">
        <is>
          <t>1994-08-22</t>
        </is>
      </c>
      <c r="Y122" t="n">
        <v>218</v>
      </c>
      <c r="Z122" t="n">
        <v>154</v>
      </c>
      <c r="AA122" t="n">
        <v>156</v>
      </c>
      <c r="AB122" t="n">
        <v>1</v>
      </c>
      <c r="AC122" t="n">
        <v>1</v>
      </c>
      <c r="AD122" t="n">
        <v>10</v>
      </c>
      <c r="AE122" t="n">
        <v>10</v>
      </c>
      <c r="AF122" t="n">
        <v>3</v>
      </c>
      <c r="AG122" t="n">
        <v>3</v>
      </c>
      <c r="AH122" t="n">
        <v>3</v>
      </c>
      <c r="AI122" t="n">
        <v>3</v>
      </c>
      <c r="AJ122" t="n">
        <v>6</v>
      </c>
      <c r="AK122" t="n">
        <v>6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HYPERLINK("https://creighton-primo.hosted.exlibrisgroup.com/primo-explore/search?tab=default_tab&amp;search_scope=EVERYTHING&amp;vid=01CRU&amp;lang=en_US&amp;offset=0&amp;query=any,contains,991002076649702656","Catalog Record")</f>
        <v/>
      </c>
      <c r="AT122">
        <f>HYPERLINK("http://www.worldcat.org/oclc/26632380","WorldCat Record")</f>
        <v/>
      </c>
      <c r="AU122" t="inlineStr">
        <is>
          <t>24946460:eng</t>
        </is>
      </c>
      <c r="AV122" t="inlineStr">
        <is>
          <t>26632380</t>
        </is>
      </c>
      <c r="AW122" t="inlineStr">
        <is>
          <t>991002076649702656</t>
        </is>
      </c>
      <c r="AX122" t="inlineStr">
        <is>
          <t>991002076649702656</t>
        </is>
      </c>
      <c r="AY122" t="inlineStr">
        <is>
          <t>2255127640002656</t>
        </is>
      </c>
      <c r="AZ122" t="inlineStr">
        <is>
          <t>BOOK</t>
        </is>
      </c>
      <c r="BB122" t="inlineStr">
        <is>
          <t>9781555407117</t>
        </is>
      </c>
      <c r="BC122" t="inlineStr">
        <is>
          <t>32285001943389</t>
        </is>
      </c>
      <c r="BD122" t="inlineStr">
        <is>
          <t>893879475</t>
        </is>
      </c>
      <c r="BE122" t="inlineStr">
        <is>
          <t>S Brown</t>
        </is>
      </c>
    </row>
    <row r="123">
      <c r="A123" t="inlineStr">
        <is>
          <t>No</t>
        </is>
      </c>
      <c r="B123" t="inlineStr">
        <is>
          <t>BS2615.2 .S433 1991</t>
        </is>
      </c>
      <c r="C123" t="inlineStr">
        <is>
          <t>0                      BS 2615200S  433         1991</t>
        </is>
      </c>
      <c r="D123" t="inlineStr">
        <is>
          <t>The farewell of the word : the Johannine call to abide / Fernando F. Segovia.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Segovia, Fernando F.</t>
        </is>
      </c>
      <c r="L123" t="inlineStr">
        <is>
          <t>Minneapolis : Fortress Press, c1991.</t>
        </is>
      </c>
      <c r="M123" t="inlineStr">
        <is>
          <t>1991</t>
        </is>
      </c>
      <c r="O123" t="inlineStr">
        <is>
          <t>eng</t>
        </is>
      </c>
      <c r="P123" t="inlineStr">
        <is>
          <t>mnu</t>
        </is>
      </c>
      <c r="R123" t="inlineStr">
        <is>
          <t xml:space="preserve">BS </t>
        </is>
      </c>
      <c r="S123" t="n">
        <v>4</v>
      </c>
      <c r="T123" t="n">
        <v>4</v>
      </c>
      <c r="U123" t="inlineStr">
        <is>
          <t>2007-04-23</t>
        </is>
      </c>
      <c r="V123" t="inlineStr">
        <is>
          <t>2007-04-23</t>
        </is>
      </c>
      <c r="W123" t="inlineStr">
        <is>
          <t>1993-12-16</t>
        </is>
      </c>
      <c r="X123" t="inlineStr">
        <is>
          <t>1993-12-16</t>
        </is>
      </c>
      <c r="Y123" t="n">
        <v>297</v>
      </c>
      <c r="Z123" t="n">
        <v>229</v>
      </c>
      <c r="AA123" t="n">
        <v>232</v>
      </c>
      <c r="AB123" t="n">
        <v>2</v>
      </c>
      <c r="AC123" t="n">
        <v>2</v>
      </c>
      <c r="AD123" t="n">
        <v>19</v>
      </c>
      <c r="AE123" t="n">
        <v>19</v>
      </c>
      <c r="AF123" t="n">
        <v>9</v>
      </c>
      <c r="AG123" t="n">
        <v>9</v>
      </c>
      <c r="AH123" t="n">
        <v>4</v>
      </c>
      <c r="AI123" t="n">
        <v>4</v>
      </c>
      <c r="AJ123" t="n">
        <v>12</v>
      </c>
      <c r="AK123" t="n">
        <v>12</v>
      </c>
      <c r="AL123" t="n">
        <v>1</v>
      </c>
      <c r="AM123" t="n">
        <v>1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HYPERLINK("http://catalog.hathitrust.org/Record/002512858","HathiTrust Record")</f>
        <v/>
      </c>
      <c r="AS123">
        <f>HYPERLINK("https://creighton-primo.hosted.exlibrisgroup.com/primo-explore/search?tab=default_tab&amp;search_scope=EVERYTHING&amp;vid=01CRU&amp;lang=en_US&amp;offset=0&amp;query=any,contains,991001914269702656","Catalog Record")</f>
        <v/>
      </c>
      <c r="AT123">
        <f>HYPERLINK("http://www.worldcat.org/oclc/24173840","WorldCat Record")</f>
        <v/>
      </c>
      <c r="AU123" t="inlineStr">
        <is>
          <t>365386885:eng</t>
        </is>
      </c>
      <c r="AV123" t="inlineStr">
        <is>
          <t>24173840</t>
        </is>
      </c>
      <c r="AW123" t="inlineStr">
        <is>
          <t>991001914269702656</t>
        </is>
      </c>
      <c r="AX123" t="inlineStr">
        <is>
          <t>991001914269702656</t>
        </is>
      </c>
      <c r="AY123" t="inlineStr">
        <is>
          <t>2268936360002656</t>
        </is>
      </c>
      <c r="AZ123" t="inlineStr">
        <is>
          <t>BOOK</t>
        </is>
      </c>
      <c r="BB123" t="inlineStr">
        <is>
          <t>9780800624866</t>
        </is>
      </c>
      <c r="BC123" t="inlineStr">
        <is>
          <t>32285001816361</t>
        </is>
      </c>
      <c r="BD123" t="inlineStr">
        <is>
          <t>893408465</t>
        </is>
      </c>
      <c r="BE123" t="inlineStr">
        <is>
          <t>S Brown</t>
        </is>
      </c>
    </row>
    <row r="124">
      <c r="A124" t="inlineStr">
        <is>
          <t>No</t>
        </is>
      </c>
      <c r="B124" t="inlineStr">
        <is>
          <t>BS2615.2 .S58</t>
        </is>
      </c>
      <c r="C124" t="inlineStr">
        <is>
          <t>0                      BS 2615200S  58</t>
        </is>
      </c>
      <c r="D124" t="inlineStr">
        <is>
          <t>John, evangelist and interpreter / Stephen S. Smalley.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Smalley, Stephen S.</t>
        </is>
      </c>
      <c r="L124" t="inlineStr">
        <is>
          <t>Exeter [Eng.] : Paternoster Press, 1978.</t>
        </is>
      </c>
      <c r="M124" t="inlineStr">
        <is>
          <t>1978</t>
        </is>
      </c>
      <c r="O124" t="inlineStr">
        <is>
          <t>eng</t>
        </is>
      </c>
      <c r="P124" t="inlineStr">
        <is>
          <t>enk</t>
        </is>
      </c>
      <c r="R124" t="inlineStr">
        <is>
          <t xml:space="preserve">BS </t>
        </is>
      </c>
      <c r="S124" t="n">
        <v>8</v>
      </c>
      <c r="T124" t="n">
        <v>8</v>
      </c>
      <c r="U124" t="inlineStr">
        <is>
          <t>1998-04-21</t>
        </is>
      </c>
      <c r="V124" t="inlineStr">
        <is>
          <t>1998-04-21</t>
        </is>
      </c>
      <c r="W124" t="inlineStr">
        <is>
          <t>1991-05-13</t>
        </is>
      </c>
      <c r="X124" t="inlineStr">
        <is>
          <t>1991-05-13</t>
        </is>
      </c>
      <c r="Y124" t="n">
        <v>297</v>
      </c>
      <c r="Z124" t="n">
        <v>175</v>
      </c>
      <c r="AA124" t="n">
        <v>303</v>
      </c>
      <c r="AB124" t="n">
        <v>2</v>
      </c>
      <c r="AC124" t="n">
        <v>3</v>
      </c>
      <c r="AD124" t="n">
        <v>10</v>
      </c>
      <c r="AE124" t="n">
        <v>19</v>
      </c>
      <c r="AF124" t="n">
        <v>4</v>
      </c>
      <c r="AG124" t="n">
        <v>8</v>
      </c>
      <c r="AH124" t="n">
        <v>1</v>
      </c>
      <c r="AI124" t="n">
        <v>4</v>
      </c>
      <c r="AJ124" t="n">
        <v>7</v>
      </c>
      <c r="AK124" t="n">
        <v>11</v>
      </c>
      <c r="AL124" t="n">
        <v>1</v>
      </c>
      <c r="AM124" t="n">
        <v>2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HYPERLINK("https://creighton-primo.hosted.exlibrisgroup.com/primo-explore/search?tab=default_tab&amp;search_scope=EVERYTHING&amp;vid=01CRU&amp;lang=en_US&amp;offset=0&amp;query=any,contains,991004571469702656","Catalog Record")</f>
        <v/>
      </c>
      <c r="AT124">
        <f>HYPERLINK("http://www.worldcat.org/oclc/4034870","WorldCat Record")</f>
        <v/>
      </c>
      <c r="AU124" t="inlineStr">
        <is>
          <t>510339:eng</t>
        </is>
      </c>
      <c r="AV124" t="inlineStr">
        <is>
          <t>4034870</t>
        </is>
      </c>
      <c r="AW124" t="inlineStr">
        <is>
          <t>991004571469702656</t>
        </is>
      </c>
      <c r="AX124" t="inlineStr">
        <is>
          <t>991004571469702656</t>
        </is>
      </c>
      <c r="AY124" t="inlineStr">
        <is>
          <t>2270049840002656</t>
        </is>
      </c>
      <c r="AZ124" t="inlineStr">
        <is>
          <t>BOOK</t>
        </is>
      </c>
      <c r="BB124" t="inlineStr">
        <is>
          <t>9780853642145</t>
        </is>
      </c>
      <c r="BC124" t="inlineStr">
        <is>
          <t>32285000625268</t>
        </is>
      </c>
      <c r="BD124" t="inlineStr">
        <is>
          <t>893532545</t>
        </is>
      </c>
      <c r="BE124" t="inlineStr">
        <is>
          <t>S Brown</t>
        </is>
      </c>
    </row>
    <row r="125">
      <c r="A125" t="inlineStr">
        <is>
          <t>No</t>
        </is>
      </c>
      <c r="B125" t="inlineStr">
        <is>
          <t>BS2615.2 .S6</t>
        </is>
      </c>
      <c r="C125" t="inlineStr">
        <is>
          <t>0                      BS 2615200S  6</t>
        </is>
      </c>
      <c r="D125" t="inlineStr">
        <is>
          <t>The composition and order of the fourth Gospel; Bultmann's literary theory.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Smith, D. Moody (Dwight Moody)</t>
        </is>
      </c>
      <c r="L125" t="inlineStr">
        <is>
          <t>New haven, Yale University Press, 1965.</t>
        </is>
      </c>
      <c r="M125" t="inlineStr">
        <is>
          <t>1965</t>
        </is>
      </c>
      <c r="O125" t="inlineStr">
        <is>
          <t>eng</t>
        </is>
      </c>
      <c r="P125" t="inlineStr">
        <is>
          <t>___</t>
        </is>
      </c>
      <c r="Q125" t="inlineStr">
        <is>
          <t>Yale publications in religion ; 10</t>
        </is>
      </c>
      <c r="R125" t="inlineStr">
        <is>
          <t xml:space="preserve">BS </t>
        </is>
      </c>
      <c r="S125" t="n">
        <v>9</v>
      </c>
      <c r="T125" t="n">
        <v>9</v>
      </c>
      <c r="U125" t="inlineStr">
        <is>
          <t>2002-04-28</t>
        </is>
      </c>
      <c r="V125" t="inlineStr">
        <is>
          <t>2002-04-28</t>
        </is>
      </c>
      <c r="W125" t="inlineStr">
        <is>
          <t>1991-05-13</t>
        </is>
      </c>
      <c r="X125" t="inlineStr">
        <is>
          <t>1991-05-13</t>
        </is>
      </c>
      <c r="Y125" t="n">
        <v>495</v>
      </c>
      <c r="Z125" t="n">
        <v>416</v>
      </c>
      <c r="AA125" t="n">
        <v>423</v>
      </c>
      <c r="AB125" t="n">
        <v>3</v>
      </c>
      <c r="AC125" t="n">
        <v>3</v>
      </c>
      <c r="AD125" t="n">
        <v>29</v>
      </c>
      <c r="AE125" t="n">
        <v>29</v>
      </c>
      <c r="AF125" t="n">
        <v>12</v>
      </c>
      <c r="AG125" t="n">
        <v>12</v>
      </c>
      <c r="AH125" t="n">
        <v>7</v>
      </c>
      <c r="AI125" t="n">
        <v>7</v>
      </c>
      <c r="AJ125" t="n">
        <v>17</v>
      </c>
      <c r="AK125" t="n">
        <v>17</v>
      </c>
      <c r="AL125" t="n">
        <v>2</v>
      </c>
      <c r="AM125" t="n">
        <v>2</v>
      </c>
      <c r="AN125" t="n">
        <v>0</v>
      </c>
      <c r="AO125" t="n">
        <v>0</v>
      </c>
      <c r="AP125" t="inlineStr">
        <is>
          <t>No</t>
        </is>
      </c>
      <c r="AQ125" t="inlineStr">
        <is>
          <t>No</t>
        </is>
      </c>
      <c r="AS125">
        <f>HYPERLINK("https://creighton-primo.hosted.exlibrisgroup.com/primo-explore/search?tab=default_tab&amp;search_scope=EVERYTHING&amp;vid=01CRU&amp;lang=en_US&amp;offset=0&amp;query=any,contains,991002668269702656","Catalog Record")</f>
        <v/>
      </c>
      <c r="AT125">
        <f>HYPERLINK("http://www.worldcat.org/oclc/394272","WorldCat Record")</f>
        <v/>
      </c>
      <c r="AU125" t="inlineStr">
        <is>
          <t>1535391:eng</t>
        </is>
      </c>
      <c r="AV125" t="inlineStr">
        <is>
          <t>394272</t>
        </is>
      </c>
      <c r="AW125" t="inlineStr">
        <is>
          <t>991002668269702656</t>
        </is>
      </c>
      <c r="AX125" t="inlineStr">
        <is>
          <t>991002668269702656</t>
        </is>
      </c>
      <c r="AY125" t="inlineStr">
        <is>
          <t>2260103730002656</t>
        </is>
      </c>
      <c r="AZ125" t="inlineStr">
        <is>
          <t>BOOK</t>
        </is>
      </c>
      <c r="BC125" t="inlineStr">
        <is>
          <t>32285000625276</t>
        </is>
      </c>
      <c r="BD125" t="inlineStr">
        <is>
          <t>893335563</t>
        </is>
      </c>
      <c r="BE125" t="inlineStr">
        <is>
          <t>S Brown</t>
        </is>
      </c>
    </row>
    <row r="126">
      <c r="A126" t="inlineStr">
        <is>
          <t>No</t>
        </is>
      </c>
      <c r="B126" t="inlineStr">
        <is>
          <t>BS2615.2 .S62 1986</t>
        </is>
      </c>
      <c r="C126" t="inlineStr">
        <is>
          <t>0                      BS 2615200S  62          1986</t>
        </is>
      </c>
      <c r="D126" t="inlineStr">
        <is>
          <t>John / D. Moody Smith.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Yes</t>
        </is>
      </c>
      <c r="J126" t="inlineStr">
        <is>
          <t>0</t>
        </is>
      </c>
      <c r="K126" t="inlineStr">
        <is>
          <t>Smith, D. Moody (Dwight Moody)</t>
        </is>
      </c>
      <c r="L126" t="inlineStr">
        <is>
          <t>Philadelphia : Fortress Press, 1986.</t>
        </is>
      </c>
      <c r="M126" t="inlineStr">
        <is>
          <t>1986</t>
        </is>
      </c>
      <c r="N126" t="inlineStr">
        <is>
          <t>2nd ed., rev. and enlarged.</t>
        </is>
      </c>
      <c r="O126" t="inlineStr">
        <is>
          <t>eng</t>
        </is>
      </c>
      <c r="P126" t="inlineStr">
        <is>
          <t>pau</t>
        </is>
      </c>
      <c r="Q126" t="inlineStr">
        <is>
          <t>Proclamation commentaries</t>
        </is>
      </c>
      <c r="R126" t="inlineStr">
        <is>
          <t xml:space="preserve">BS </t>
        </is>
      </c>
      <c r="S126" t="n">
        <v>7</v>
      </c>
      <c r="T126" t="n">
        <v>7</v>
      </c>
      <c r="U126" t="inlineStr">
        <is>
          <t>2001-11-26</t>
        </is>
      </c>
      <c r="V126" t="inlineStr">
        <is>
          <t>2001-11-26</t>
        </is>
      </c>
      <c r="W126" t="inlineStr">
        <is>
          <t>1995-01-25</t>
        </is>
      </c>
      <c r="X126" t="inlineStr">
        <is>
          <t>1995-01-25</t>
        </is>
      </c>
      <c r="Y126" t="n">
        <v>281</v>
      </c>
      <c r="Z126" t="n">
        <v>237</v>
      </c>
      <c r="AA126" t="n">
        <v>596</v>
      </c>
      <c r="AB126" t="n">
        <v>4</v>
      </c>
      <c r="AC126" t="n">
        <v>8</v>
      </c>
      <c r="AD126" t="n">
        <v>18</v>
      </c>
      <c r="AE126" t="n">
        <v>38</v>
      </c>
      <c r="AF126" t="n">
        <v>8</v>
      </c>
      <c r="AG126" t="n">
        <v>14</v>
      </c>
      <c r="AH126" t="n">
        <v>4</v>
      </c>
      <c r="AI126" t="n">
        <v>5</v>
      </c>
      <c r="AJ126" t="n">
        <v>8</v>
      </c>
      <c r="AK126" t="n">
        <v>20</v>
      </c>
      <c r="AL126" t="n">
        <v>2</v>
      </c>
      <c r="AM126" t="n">
        <v>6</v>
      </c>
      <c r="AN126" t="n">
        <v>0</v>
      </c>
      <c r="AO126" t="n">
        <v>1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HYPERLINK("https://creighton-primo.hosted.exlibrisgroup.com/primo-explore/search?tab=default_tab&amp;search_scope=EVERYTHING&amp;vid=01CRU&amp;lang=en_US&amp;offset=0&amp;query=any,contains,991000777979702656","Catalog Record")</f>
        <v/>
      </c>
      <c r="AT126">
        <f>HYPERLINK("http://www.worldcat.org/oclc/13092633","WorldCat Record")</f>
        <v/>
      </c>
      <c r="AU126" t="inlineStr">
        <is>
          <t>2686967:eng</t>
        </is>
      </c>
      <c r="AV126" t="inlineStr">
        <is>
          <t>13092633</t>
        </is>
      </c>
      <c r="AW126" t="inlineStr">
        <is>
          <t>991000777979702656</t>
        </is>
      </c>
      <c r="AX126" t="inlineStr">
        <is>
          <t>991000777979702656</t>
        </is>
      </c>
      <c r="AY126" t="inlineStr">
        <is>
          <t>2271275600002656</t>
        </is>
      </c>
      <c r="AZ126" t="inlineStr">
        <is>
          <t>BOOK</t>
        </is>
      </c>
      <c r="BB126" t="inlineStr">
        <is>
          <t>9780800619176</t>
        </is>
      </c>
      <c r="BC126" t="inlineStr">
        <is>
          <t>32285001779072</t>
        </is>
      </c>
      <c r="BD126" t="inlineStr">
        <is>
          <t>893345968</t>
        </is>
      </c>
      <c r="BE126" t="inlineStr">
        <is>
          <t>S Brown</t>
        </is>
      </c>
    </row>
    <row r="127">
      <c r="A127" t="inlineStr">
        <is>
          <t>No</t>
        </is>
      </c>
      <c r="B127" t="inlineStr">
        <is>
          <t>BS2615.2 .S72 1988</t>
        </is>
      </c>
      <c r="C127" t="inlineStr">
        <is>
          <t>0                      BS 2615200S  72          1988</t>
        </is>
      </c>
      <c r="D127" t="inlineStr">
        <is>
          <t>The print's first kiss : a rhetorical investigation of the implied reader in the Fourth Gospel / Jeffrey Lloyd Staley.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Staley, Jeffrey Lloyd, 1951-</t>
        </is>
      </c>
      <c r="L127" t="inlineStr">
        <is>
          <t>Atlanta, Ga. : Scholars Press, c1988.</t>
        </is>
      </c>
      <c r="M127" t="inlineStr">
        <is>
          <t>1988</t>
        </is>
      </c>
      <c r="O127" t="inlineStr">
        <is>
          <t>eng</t>
        </is>
      </c>
      <c r="P127" t="inlineStr">
        <is>
          <t>gau</t>
        </is>
      </c>
      <c r="Q127" t="inlineStr">
        <is>
          <t>Dissertation series (Society of Biblical Literature) ; no. 82</t>
        </is>
      </c>
      <c r="R127" t="inlineStr">
        <is>
          <t xml:space="preserve">BS </t>
        </is>
      </c>
      <c r="S127" t="n">
        <v>1</v>
      </c>
      <c r="T127" t="n">
        <v>1</v>
      </c>
      <c r="U127" t="inlineStr">
        <is>
          <t>1992-10-16</t>
        </is>
      </c>
      <c r="V127" t="inlineStr">
        <is>
          <t>1992-10-16</t>
        </is>
      </c>
      <c r="W127" t="inlineStr">
        <is>
          <t>1991-01-25</t>
        </is>
      </c>
      <c r="X127" t="inlineStr">
        <is>
          <t>1991-01-25</t>
        </is>
      </c>
      <c r="Y127" t="n">
        <v>280</v>
      </c>
      <c r="Z127" t="n">
        <v>201</v>
      </c>
      <c r="AA127" t="n">
        <v>204</v>
      </c>
      <c r="AB127" t="n">
        <v>2</v>
      </c>
      <c r="AC127" t="n">
        <v>2</v>
      </c>
      <c r="AD127" t="n">
        <v>14</v>
      </c>
      <c r="AE127" t="n">
        <v>14</v>
      </c>
      <c r="AF127" t="n">
        <v>6</v>
      </c>
      <c r="AG127" t="n">
        <v>6</v>
      </c>
      <c r="AH127" t="n">
        <v>2</v>
      </c>
      <c r="AI127" t="n">
        <v>2</v>
      </c>
      <c r="AJ127" t="n">
        <v>7</v>
      </c>
      <c r="AK127" t="n">
        <v>7</v>
      </c>
      <c r="AL127" t="n">
        <v>1</v>
      </c>
      <c r="AM127" t="n">
        <v>1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HYPERLINK("https://creighton-primo.hosted.exlibrisgroup.com/primo-explore/search?tab=default_tab&amp;search_scope=EVERYTHING&amp;vid=01CRU&amp;lang=en_US&amp;offset=0&amp;query=any,contains,991000755559702656","Catalog Record")</f>
        <v/>
      </c>
      <c r="AT127">
        <f>HYPERLINK("http://www.worldcat.org/oclc/12946909","WorldCat Record")</f>
        <v/>
      </c>
      <c r="AU127" t="inlineStr">
        <is>
          <t>5867573:eng</t>
        </is>
      </c>
      <c r="AV127" t="inlineStr">
        <is>
          <t>12946909</t>
        </is>
      </c>
      <c r="AW127" t="inlineStr">
        <is>
          <t>991000755559702656</t>
        </is>
      </c>
      <c r="AX127" t="inlineStr">
        <is>
          <t>991000755559702656</t>
        </is>
      </c>
      <c r="AY127" t="inlineStr">
        <is>
          <t>2271088780002656</t>
        </is>
      </c>
      <c r="AZ127" t="inlineStr">
        <is>
          <t>BOOK</t>
        </is>
      </c>
      <c r="BB127" t="inlineStr">
        <is>
          <t>9780891309475</t>
        </is>
      </c>
      <c r="BC127" t="inlineStr">
        <is>
          <t>32285000460955</t>
        </is>
      </c>
      <c r="BD127" t="inlineStr">
        <is>
          <t>893243545</t>
        </is>
      </c>
      <c r="BE127" t="inlineStr">
        <is>
          <t>S Brown</t>
        </is>
      </c>
    </row>
    <row r="128">
      <c r="A128" t="inlineStr">
        <is>
          <t>No</t>
        </is>
      </c>
      <c r="B128" t="inlineStr">
        <is>
          <t>BS2615.52 .K96 1976</t>
        </is>
      </c>
      <c r="C128" t="inlineStr">
        <is>
          <t>0                      BS 2615520K  96          1976</t>
        </is>
      </c>
      <c r="D128" t="inlineStr">
        <is>
          <t>John, the maverick Gospel / Robert Kysar.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Yes</t>
        </is>
      </c>
      <c r="J128" t="inlineStr">
        <is>
          <t>0</t>
        </is>
      </c>
      <c r="K128" t="inlineStr">
        <is>
          <t>Kysar, Robert.</t>
        </is>
      </c>
      <c r="L128" t="inlineStr">
        <is>
          <t>Atlanta : John Knox Press, c1976.</t>
        </is>
      </c>
      <c r="M128" t="inlineStr">
        <is>
          <t>1976</t>
        </is>
      </c>
      <c r="O128" t="inlineStr">
        <is>
          <t>eng</t>
        </is>
      </c>
      <c r="P128" t="inlineStr">
        <is>
          <t>gau</t>
        </is>
      </c>
      <c r="R128" t="inlineStr">
        <is>
          <t xml:space="preserve">BS </t>
        </is>
      </c>
      <c r="S128" t="n">
        <v>5</v>
      </c>
      <c r="T128" t="n">
        <v>5</v>
      </c>
      <c r="U128" t="inlineStr">
        <is>
          <t>2006-11-07</t>
        </is>
      </c>
      <c r="V128" t="inlineStr">
        <is>
          <t>2006-11-07</t>
        </is>
      </c>
      <c r="W128" t="inlineStr">
        <is>
          <t>1991-05-14</t>
        </is>
      </c>
      <c r="X128" t="inlineStr">
        <is>
          <t>1991-05-14</t>
        </is>
      </c>
      <c r="Y128" t="n">
        <v>591</v>
      </c>
      <c r="Z128" t="n">
        <v>514</v>
      </c>
      <c r="AA128" t="n">
        <v>934</v>
      </c>
      <c r="AB128" t="n">
        <v>8</v>
      </c>
      <c r="AC128" t="n">
        <v>8</v>
      </c>
      <c r="AD128" t="n">
        <v>31</v>
      </c>
      <c r="AE128" t="n">
        <v>44</v>
      </c>
      <c r="AF128" t="n">
        <v>13</v>
      </c>
      <c r="AG128" t="n">
        <v>19</v>
      </c>
      <c r="AH128" t="n">
        <v>3</v>
      </c>
      <c r="AI128" t="n">
        <v>8</v>
      </c>
      <c r="AJ128" t="n">
        <v>17</v>
      </c>
      <c r="AK128" t="n">
        <v>23</v>
      </c>
      <c r="AL128" t="n">
        <v>6</v>
      </c>
      <c r="AM128" t="n">
        <v>6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HYPERLINK("http://catalog.hathitrust.org/Record/101932675","HathiTrust Record")</f>
        <v/>
      </c>
      <c r="AS128">
        <f>HYPERLINK("https://creighton-primo.hosted.exlibrisgroup.com/primo-explore/search?tab=default_tab&amp;search_scope=EVERYTHING&amp;vid=01CRU&amp;lang=en_US&amp;offset=0&amp;query=any,contains,991004119789702656","Catalog Record")</f>
        <v/>
      </c>
      <c r="AT128">
        <f>HYPERLINK("http://www.worldcat.org/oclc/2424454","WorldCat Record")</f>
        <v/>
      </c>
      <c r="AU128" t="inlineStr">
        <is>
          <t>345348:eng</t>
        </is>
      </c>
      <c r="AV128" t="inlineStr">
        <is>
          <t>2424454</t>
        </is>
      </c>
      <c r="AW128" t="inlineStr">
        <is>
          <t>991004119789702656</t>
        </is>
      </c>
      <c r="AX128" t="inlineStr">
        <is>
          <t>991004119789702656</t>
        </is>
      </c>
      <c r="AY128" t="inlineStr">
        <is>
          <t>2265044510002656</t>
        </is>
      </c>
      <c r="AZ128" t="inlineStr">
        <is>
          <t>BOOK</t>
        </is>
      </c>
      <c r="BB128" t="inlineStr">
        <is>
          <t>9780804203029</t>
        </is>
      </c>
      <c r="BC128" t="inlineStr">
        <is>
          <t>32285000625037</t>
        </is>
      </c>
      <c r="BD128" t="inlineStr">
        <is>
          <t>893318815</t>
        </is>
      </c>
      <c r="BE128" t="inlineStr">
        <is>
          <t>S Brown</t>
        </is>
      </c>
    </row>
    <row r="129">
      <c r="A129" t="inlineStr">
        <is>
          <t>No</t>
        </is>
      </c>
      <c r="B129" t="inlineStr">
        <is>
          <t>BS2615.6.S57 P38 1991</t>
        </is>
      </c>
      <c r="C129" t="inlineStr">
        <is>
          <t>0                      BS 2615600S  57                 P  38          1991</t>
        </is>
      </c>
      <c r="D129" t="inlineStr">
        <is>
          <t>The Son of man : a metaphor for Jesus in the Fourth Gospel / by Mary Margaret Pazdan.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Pazdan, Mary Margaret, 1942-</t>
        </is>
      </c>
      <c r="L129" t="inlineStr">
        <is>
          <t>Collegeville, Minn. : Liturgical Press, c1991.</t>
        </is>
      </c>
      <c r="M129" t="inlineStr">
        <is>
          <t>1991</t>
        </is>
      </c>
      <c r="O129" t="inlineStr">
        <is>
          <t>eng</t>
        </is>
      </c>
      <c r="P129" t="inlineStr">
        <is>
          <t>mnu</t>
        </is>
      </c>
      <c r="Q129" t="inlineStr">
        <is>
          <t>Zacchaeus studies. New Testament</t>
        </is>
      </c>
      <c r="R129" t="inlineStr">
        <is>
          <t xml:space="preserve">BS </t>
        </is>
      </c>
      <c r="S129" t="n">
        <v>7</v>
      </c>
      <c r="T129" t="n">
        <v>7</v>
      </c>
      <c r="U129" t="inlineStr">
        <is>
          <t>2001-03-22</t>
        </is>
      </c>
      <c r="V129" t="inlineStr">
        <is>
          <t>2001-03-22</t>
        </is>
      </c>
      <c r="W129" t="inlineStr">
        <is>
          <t>1992-08-25</t>
        </is>
      </c>
      <c r="X129" t="inlineStr">
        <is>
          <t>1992-08-25</t>
        </is>
      </c>
      <c r="Y129" t="n">
        <v>163</v>
      </c>
      <c r="Z129" t="n">
        <v>139</v>
      </c>
      <c r="AA129" t="n">
        <v>145</v>
      </c>
      <c r="AB129" t="n">
        <v>1</v>
      </c>
      <c r="AC129" t="n">
        <v>1</v>
      </c>
      <c r="AD129" t="n">
        <v>16</v>
      </c>
      <c r="AE129" t="n">
        <v>16</v>
      </c>
      <c r="AF129" t="n">
        <v>9</v>
      </c>
      <c r="AG129" t="n">
        <v>9</v>
      </c>
      <c r="AH129" t="n">
        <v>2</v>
      </c>
      <c r="AI129" t="n">
        <v>2</v>
      </c>
      <c r="AJ129" t="n">
        <v>11</v>
      </c>
      <c r="AK129" t="n">
        <v>11</v>
      </c>
      <c r="AL129" t="n">
        <v>0</v>
      </c>
      <c r="AM129" t="n">
        <v>0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HYPERLINK("http://catalog.hathitrust.org/Record/004523326","HathiTrust Record")</f>
        <v/>
      </c>
      <c r="AS129">
        <f>HYPERLINK("https://creighton-primo.hosted.exlibrisgroup.com/primo-explore/search?tab=default_tab&amp;search_scope=EVERYTHING&amp;vid=01CRU&amp;lang=en_US&amp;offset=0&amp;query=any,contains,991001910369702656","Catalog Record")</f>
        <v/>
      </c>
      <c r="AT129">
        <f>HYPERLINK("http://www.worldcat.org/oclc/24141667","WorldCat Record")</f>
        <v/>
      </c>
      <c r="AU129" t="inlineStr">
        <is>
          <t>26058803:eng</t>
        </is>
      </c>
      <c r="AV129" t="inlineStr">
        <is>
          <t>24141667</t>
        </is>
      </c>
      <c r="AW129" t="inlineStr">
        <is>
          <t>991001910369702656</t>
        </is>
      </c>
      <c r="AX129" t="inlineStr">
        <is>
          <t>991001910369702656</t>
        </is>
      </c>
      <c r="AY129" t="inlineStr">
        <is>
          <t>2262887860002656</t>
        </is>
      </c>
      <c r="AZ129" t="inlineStr">
        <is>
          <t>BOOK</t>
        </is>
      </c>
      <c r="BC129" t="inlineStr">
        <is>
          <t>32285001198638</t>
        </is>
      </c>
      <c r="BD129" t="inlineStr">
        <is>
          <t>893408458</t>
        </is>
      </c>
      <c r="BE129" t="inlineStr">
        <is>
          <t>S Brown</t>
        </is>
      </c>
    </row>
    <row r="130">
      <c r="A130" t="inlineStr">
        <is>
          <t>No</t>
        </is>
      </c>
      <c r="B130" t="inlineStr">
        <is>
          <t>BS2617.5 .D7 1982</t>
        </is>
      </c>
      <c r="C130" t="inlineStr">
        <is>
          <t>0                      BS 2617500D  7           1982</t>
        </is>
      </c>
      <c r="D130" t="inlineStr">
        <is>
          <t>Early Christians / John W. Drane.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Drane, John William.</t>
        </is>
      </c>
      <c r="L130" t="inlineStr">
        <is>
          <t>San Francisco : Harper &amp; Row, c1982.</t>
        </is>
      </c>
      <c r="M130" t="inlineStr">
        <is>
          <t>1982</t>
        </is>
      </c>
      <c r="N130" t="inlineStr">
        <is>
          <t>1st U.S. ed.</t>
        </is>
      </c>
      <c r="O130" t="inlineStr">
        <is>
          <t>eng</t>
        </is>
      </c>
      <c r="P130" t="inlineStr">
        <is>
          <t>cau</t>
        </is>
      </c>
      <c r="R130" t="inlineStr">
        <is>
          <t xml:space="preserve">BS </t>
        </is>
      </c>
      <c r="S130" t="n">
        <v>8</v>
      </c>
      <c r="T130" t="n">
        <v>8</v>
      </c>
      <c r="U130" t="inlineStr">
        <is>
          <t>2001-04-02</t>
        </is>
      </c>
      <c r="V130" t="inlineStr">
        <is>
          <t>2001-04-02</t>
        </is>
      </c>
      <c r="W130" t="inlineStr">
        <is>
          <t>1990-04-26</t>
        </is>
      </c>
      <c r="X130" t="inlineStr">
        <is>
          <t>1990-04-26</t>
        </is>
      </c>
      <c r="Y130" t="n">
        <v>364</v>
      </c>
      <c r="Z130" t="n">
        <v>338</v>
      </c>
      <c r="AA130" t="n">
        <v>343</v>
      </c>
      <c r="AB130" t="n">
        <v>4</v>
      </c>
      <c r="AC130" t="n">
        <v>4</v>
      </c>
      <c r="AD130" t="n">
        <v>23</v>
      </c>
      <c r="AE130" t="n">
        <v>23</v>
      </c>
      <c r="AF130" t="n">
        <v>7</v>
      </c>
      <c r="AG130" t="n">
        <v>7</v>
      </c>
      <c r="AH130" t="n">
        <v>5</v>
      </c>
      <c r="AI130" t="n">
        <v>5</v>
      </c>
      <c r="AJ130" t="n">
        <v>12</v>
      </c>
      <c r="AK130" t="n">
        <v>12</v>
      </c>
      <c r="AL130" t="n">
        <v>2</v>
      </c>
      <c r="AM130" t="n">
        <v>2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HYPERLINK("https://creighton-primo.hosted.exlibrisgroup.com/primo-explore/search?tab=default_tab&amp;search_scope=EVERYTHING&amp;vid=01CRU&amp;lang=en_US&amp;offset=0&amp;query=any,contains,991005162519702656","Catalog Record")</f>
        <v/>
      </c>
      <c r="AT130">
        <f>HYPERLINK("http://www.worldcat.org/oclc/7796743","WorldCat Record")</f>
        <v/>
      </c>
      <c r="AU130" t="inlineStr">
        <is>
          <t>3944224174:eng</t>
        </is>
      </c>
      <c r="AV130" t="inlineStr">
        <is>
          <t>7796743</t>
        </is>
      </c>
      <c r="AW130" t="inlineStr">
        <is>
          <t>991005162519702656</t>
        </is>
      </c>
      <c r="AX130" t="inlineStr">
        <is>
          <t>991005162519702656</t>
        </is>
      </c>
      <c r="AY130" t="inlineStr">
        <is>
          <t>2266213230002656</t>
        </is>
      </c>
      <c r="AZ130" t="inlineStr">
        <is>
          <t>BOOK</t>
        </is>
      </c>
      <c r="BB130" t="inlineStr">
        <is>
          <t>9780060620677</t>
        </is>
      </c>
      <c r="BC130" t="inlineStr">
        <is>
          <t>32285000133842</t>
        </is>
      </c>
      <c r="BD130" t="inlineStr">
        <is>
          <t>893501426</t>
        </is>
      </c>
      <c r="BE130" t="inlineStr">
        <is>
          <t>S Brown</t>
        </is>
      </c>
    </row>
    <row r="131">
      <c r="A131" t="inlineStr">
        <is>
          <t>No</t>
        </is>
      </c>
      <c r="B131" t="inlineStr">
        <is>
          <t>BS2625.2 .J63 1983</t>
        </is>
      </c>
      <c r="C131" t="inlineStr">
        <is>
          <t>0                      BS 2625200J  63          1983</t>
        </is>
      </c>
      <c r="D131" t="inlineStr">
        <is>
          <t>Decision making in the church : a biblical model / Luke T. Johnson.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Johnson, Luke Timothy.</t>
        </is>
      </c>
      <c r="L131" t="inlineStr">
        <is>
          <t>Philadelphia : Fortress Press, c1983.</t>
        </is>
      </c>
      <c r="M131" t="inlineStr">
        <is>
          <t>1983</t>
        </is>
      </c>
      <c r="O131" t="inlineStr">
        <is>
          <t>eng</t>
        </is>
      </c>
      <c r="P131" t="inlineStr">
        <is>
          <t>pau</t>
        </is>
      </c>
      <c r="R131" t="inlineStr">
        <is>
          <t xml:space="preserve">BS </t>
        </is>
      </c>
      <c r="S131" t="n">
        <v>2</v>
      </c>
      <c r="T131" t="n">
        <v>2</v>
      </c>
      <c r="U131" t="inlineStr">
        <is>
          <t>2001-02-07</t>
        </is>
      </c>
      <c r="V131" t="inlineStr">
        <is>
          <t>2001-02-07</t>
        </is>
      </c>
      <c r="W131" t="inlineStr">
        <is>
          <t>1991-05-14</t>
        </is>
      </c>
      <c r="X131" t="inlineStr">
        <is>
          <t>1991-05-14</t>
        </is>
      </c>
      <c r="Y131" t="n">
        <v>276</v>
      </c>
      <c r="Z131" t="n">
        <v>236</v>
      </c>
      <c r="AA131" t="n">
        <v>237</v>
      </c>
      <c r="AB131" t="n">
        <v>3</v>
      </c>
      <c r="AC131" t="n">
        <v>3</v>
      </c>
      <c r="AD131" t="n">
        <v>18</v>
      </c>
      <c r="AE131" t="n">
        <v>18</v>
      </c>
      <c r="AF131" t="n">
        <v>5</v>
      </c>
      <c r="AG131" t="n">
        <v>5</v>
      </c>
      <c r="AH131" t="n">
        <v>5</v>
      </c>
      <c r="AI131" t="n">
        <v>5</v>
      </c>
      <c r="AJ131" t="n">
        <v>11</v>
      </c>
      <c r="AK131" t="n">
        <v>11</v>
      </c>
      <c r="AL131" t="n">
        <v>1</v>
      </c>
      <c r="AM131" t="n">
        <v>1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HYPERLINK("http://catalog.hathitrust.org/Record/006019979","HathiTrust Record")</f>
        <v/>
      </c>
      <c r="AS131">
        <f>HYPERLINK("https://creighton-primo.hosted.exlibrisgroup.com/primo-explore/search?tab=default_tab&amp;search_scope=EVERYTHING&amp;vid=01CRU&amp;lang=en_US&amp;offset=0&amp;query=any,contains,991000071209702656","Catalog Record")</f>
        <v/>
      </c>
      <c r="AT131">
        <f>HYPERLINK("http://www.worldcat.org/oclc/8785165","WorldCat Record")</f>
        <v/>
      </c>
      <c r="AU131" t="inlineStr">
        <is>
          <t>43172354:eng</t>
        </is>
      </c>
      <c r="AV131" t="inlineStr">
        <is>
          <t>8785165</t>
        </is>
      </c>
      <c r="AW131" t="inlineStr">
        <is>
          <t>991000071209702656</t>
        </is>
      </c>
      <c r="AX131" t="inlineStr">
        <is>
          <t>991000071209702656</t>
        </is>
      </c>
      <c r="AY131" t="inlineStr">
        <is>
          <t>2266807570002656</t>
        </is>
      </c>
      <c r="AZ131" t="inlineStr">
        <is>
          <t>BOOK</t>
        </is>
      </c>
      <c r="BB131" t="inlineStr">
        <is>
          <t>9780800616946</t>
        </is>
      </c>
      <c r="BC131" t="inlineStr">
        <is>
          <t>32285000625771</t>
        </is>
      </c>
      <c r="BD131" t="inlineStr">
        <is>
          <t>893613851</t>
        </is>
      </c>
      <c r="BE131" t="inlineStr">
        <is>
          <t>S Brown</t>
        </is>
      </c>
    </row>
    <row r="132">
      <c r="A132" t="inlineStr">
        <is>
          <t>No</t>
        </is>
      </c>
      <c r="B132" t="inlineStr">
        <is>
          <t>BS2650.2 .H66 1980</t>
        </is>
      </c>
      <c r="C132" t="inlineStr">
        <is>
          <t>0                      BS 2650200H  66          1980</t>
        </is>
      </c>
      <c r="D132" t="inlineStr">
        <is>
          <t>A preface to Paul / Morna D. Hooker.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Hooker, Morna Dorothy.</t>
        </is>
      </c>
      <c r="L132" t="inlineStr">
        <is>
          <t>New York : Oxford University Press, 1980, c1979.</t>
        </is>
      </c>
      <c r="M132" t="inlineStr">
        <is>
          <t>1980</t>
        </is>
      </c>
      <c r="O132" t="inlineStr">
        <is>
          <t>eng</t>
        </is>
      </c>
      <c r="P132" t="inlineStr">
        <is>
          <t>nyu</t>
        </is>
      </c>
      <c r="R132" t="inlineStr">
        <is>
          <t xml:space="preserve">BS </t>
        </is>
      </c>
      <c r="S132" t="n">
        <v>3</v>
      </c>
      <c r="T132" t="n">
        <v>3</v>
      </c>
      <c r="U132" t="inlineStr">
        <is>
          <t>1998-09-27</t>
        </is>
      </c>
      <c r="V132" t="inlineStr">
        <is>
          <t>1998-09-27</t>
        </is>
      </c>
      <c r="W132" t="inlineStr">
        <is>
          <t>1991-05-17</t>
        </is>
      </c>
      <c r="X132" t="inlineStr">
        <is>
          <t>1991-05-17</t>
        </is>
      </c>
      <c r="Y132" t="n">
        <v>338</v>
      </c>
      <c r="Z132" t="n">
        <v>310</v>
      </c>
      <c r="AA132" t="n">
        <v>311</v>
      </c>
      <c r="AB132" t="n">
        <v>3</v>
      </c>
      <c r="AC132" t="n">
        <v>3</v>
      </c>
      <c r="AD132" t="n">
        <v>19</v>
      </c>
      <c r="AE132" t="n">
        <v>19</v>
      </c>
      <c r="AF132" t="n">
        <v>8</v>
      </c>
      <c r="AG132" t="n">
        <v>8</v>
      </c>
      <c r="AH132" t="n">
        <v>3</v>
      </c>
      <c r="AI132" t="n">
        <v>3</v>
      </c>
      <c r="AJ132" t="n">
        <v>12</v>
      </c>
      <c r="AK132" t="n">
        <v>12</v>
      </c>
      <c r="AL132" t="n">
        <v>1</v>
      </c>
      <c r="AM132" t="n">
        <v>1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HYPERLINK("http://catalog.hathitrust.org/Record/007887397","HathiTrust Record")</f>
        <v/>
      </c>
      <c r="AS132">
        <f>HYPERLINK("https://creighton-primo.hosted.exlibrisgroup.com/primo-explore/search?tab=default_tab&amp;search_scope=EVERYTHING&amp;vid=01CRU&amp;lang=en_US&amp;offset=0&amp;query=any,contains,991004883989702656","Catalog Record")</f>
        <v/>
      </c>
      <c r="AT132">
        <f>HYPERLINK("http://www.worldcat.org/oclc/5830596","WorldCat Record")</f>
        <v/>
      </c>
      <c r="AU132" t="inlineStr">
        <is>
          <t>1812366107:eng</t>
        </is>
      </c>
      <c r="AV132" t="inlineStr">
        <is>
          <t>5830596</t>
        </is>
      </c>
      <c r="AW132" t="inlineStr">
        <is>
          <t>991004883989702656</t>
        </is>
      </c>
      <c r="AX132" t="inlineStr">
        <is>
          <t>991004883989702656</t>
        </is>
      </c>
      <c r="AY132" t="inlineStr">
        <is>
          <t>2260848060002656</t>
        </is>
      </c>
      <c r="AZ132" t="inlineStr">
        <is>
          <t>BOOK</t>
        </is>
      </c>
      <c r="BB132" t="inlineStr">
        <is>
          <t>9780195201888</t>
        </is>
      </c>
      <c r="BC132" t="inlineStr">
        <is>
          <t>32285000626258</t>
        </is>
      </c>
      <c r="BD132" t="inlineStr">
        <is>
          <t>893700783</t>
        </is>
      </c>
      <c r="BE132" t="inlineStr">
        <is>
          <t>S Brown</t>
        </is>
      </c>
    </row>
    <row r="133">
      <c r="A133" t="inlineStr">
        <is>
          <t>No</t>
        </is>
      </c>
      <c r="B133" t="inlineStr">
        <is>
          <t>BS2651 .D3 1967</t>
        </is>
      </c>
      <c r="C133" t="inlineStr">
        <is>
          <t>0                      BS 2651000D  3           1967</t>
        </is>
      </c>
      <c r="D133" t="inlineStr">
        <is>
          <t>Paul and rabbinic Judaism; some rabbinic elements in Pauline theology.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Davies, W. D. (William David), 1911-2001.</t>
        </is>
      </c>
      <c r="L133" t="inlineStr">
        <is>
          <t>Harper &amp; Row [1967,c1948]</t>
        </is>
      </c>
      <c r="N133" t="inlineStr">
        <is>
          <t>[Rev. ed.]</t>
        </is>
      </c>
      <c r="O133" t="inlineStr">
        <is>
          <t>eng</t>
        </is>
      </c>
      <c r="P133" t="inlineStr">
        <is>
          <t>___</t>
        </is>
      </c>
      <c r="Q133" t="inlineStr">
        <is>
          <t>Harper torchbooks ; 146</t>
        </is>
      </c>
      <c r="R133" t="inlineStr">
        <is>
          <t xml:space="preserve">BS </t>
        </is>
      </c>
      <c r="S133" t="n">
        <v>9</v>
      </c>
      <c r="T133" t="n">
        <v>9</v>
      </c>
      <c r="U133" t="inlineStr">
        <is>
          <t>2000-04-06</t>
        </is>
      </c>
      <c r="V133" t="inlineStr">
        <is>
          <t>2000-04-06</t>
        </is>
      </c>
      <c r="W133" t="inlineStr">
        <is>
          <t>1991-05-24</t>
        </is>
      </c>
      <c r="X133" t="inlineStr">
        <is>
          <t>1991-05-24</t>
        </is>
      </c>
      <c r="Y133" t="n">
        <v>248</v>
      </c>
      <c r="Z133" t="n">
        <v>232</v>
      </c>
      <c r="AA133" t="n">
        <v>232</v>
      </c>
      <c r="AB133" t="n">
        <v>3</v>
      </c>
      <c r="AC133" t="n">
        <v>3</v>
      </c>
      <c r="AD133" t="n">
        <v>14</v>
      </c>
      <c r="AE133" t="n">
        <v>14</v>
      </c>
      <c r="AF133" t="n">
        <v>8</v>
      </c>
      <c r="AG133" t="n">
        <v>8</v>
      </c>
      <c r="AH133" t="n">
        <v>4</v>
      </c>
      <c r="AI133" t="n">
        <v>4</v>
      </c>
      <c r="AJ133" t="n">
        <v>5</v>
      </c>
      <c r="AK133" t="n">
        <v>5</v>
      </c>
      <c r="AL133" t="n">
        <v>2</v>
      </c>
      <c r="AM133" t="n">
        <v>2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HYPERLINK("https://creighton-primo.hosted.exlibrisgroup.com/primo-explore/search?tab=default_tab&amp;search_scope=EVERYTHING&amp;vid=01CRU&amp;lang=en_US&amp;offset=0&amp;query=any,contains,991001398399702656","Catalog Record")</f>
        <v/>
      </c>
      <c r="AT133">
        <f>HYPERLINK("http://www.worldcat.org/oclc/6780058","WorldCat Record")</f>
        <v/>
      </c>
      <c r="AU133" t="inlineStr">
        <is>
          <t>10792394820:eng</t>
        </is>
      </c>
      <c r="AV133" t="inlineStr">
        <is>
          <t>6780058</t>
        </is>
      </c>
      <c r="AW133" t="inlineStr">
        <is>
          <t>991001398399702656</t>
        </is>
      </c>
      <c r="AX133" t="inlineStr">
        <is>
          <t>991001398399702656</t>
        </is>
      </c>
      <c r="AY133" t="inlineStr">
        <is>
          <t>2256912060002656</t>
        </is>
      </c>
      <c r="AZ133" t="inlineStr">
        <is>
          <t>BOOK</t>
        </is>
      </c>
      <c r="BC133" t="inlineStr">
        <is>
          <t>32285000626761</t>
        </is>
      </c>
      <c r="BD133" t="inlineStr">
        <is>
          <t>893432837</t>
        </is>
      </c>
      <c r="BE133" t="inlineStr">
        <is>
          <t>S Brown</t>
        </is>
      </c>
    </row>
    <row r="134">
      <c r="A134" t="inlineStr">
        <is>
          <t>No</t>
        </is>
      </c>
      <c r="B134" t="inlineStr">
        <is>
          <t>BS2651 .M38 1997</t>
        </is>
      </c>
      <c r="C134" t="inlineStr">
        <is>
          <t>0                      BS 2651000M  38          1997</t>
        </is>
      </c>
      <c r="D134" t="inlineStr">
        <is>
          <t>Theological issues in the letters of Paul / J. Louis Martyn.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Martyn, J. Louis (James Louis), 1925-2015.</t>
        </is>
      </c>
      <c r="L134" t="inlineStr">
        <is>
          <t>Nashville, TN : Abingdon Press, 1997.</t>
        </is>
      </c>
      <c r="M134" t="inlineStr">
        <is>
          <t>1997</t>
        </is>
      </c>
      <c r="O134" t="inlineStr">
        <is>
          <t>eng</t>
        </is>
      </c>
      <c r="P134" t="inlineStr">
        <is>
          <t>tnu</t>
        </is>
      </c>
      <c r="R134" t="inlineStr">
        <is>
          <t xml:space="preserve">BS </t>
        </is>
      </c>
      <c r="S134" t="n">
        <v>8</v>
      </c>
      <c r="T134" t="n">
        <v>8</v>
      </c>
      <c r="U134" t="inlineStr">
        <is>
          <t>2005-11-29</t>
        </is>
      </c>
      <c r="V134" t="inlineStr">
        <is>
          <t>2005-11-29</t>
        </is>
      </c>
      <c r="W134" t="inlineStr">
        <is>
          <t>1998-08-18</t>
        </is>
      </c>
      <c r="X134" t="inlineStr">
        <is>
          <t>1998-08-18</t>
        </is>
      </c>
      <c r="Y134" t="n">
        <v>360</v>
      </c>
      <c r="Z134" t="n">
        <v>308</v>
      </c>
      <c r="AA134" t="n">
        <v>339</v>
      </c>
      <c r="AB134" t="n">
        <v>1</v>
      </c>
      <c r="AC134" t="n">
        <v>1</v>
      </c>
      <c r="AD134" t="n">
        <v>23</v>
      </c>
      <c r="AE134" t="n">
        <v>25</v>
      </c>
      <c r="AF134" t="n">
        <v>12</v>
      </c>
      <c r="AG134" t="n">
        <v>12</v>
      </c>
      <c r="AH134" t="n">
        <v>4</v>
      </c>
      <c r="AI134" t="n">
        <v>6</v>
      </c>
      <c r="AJ134" t="n">
        <v>14</v>
      </c>
      <c r="AK134" t="n">
        <v>15</v>
      </c>
      <c r="AL134" t="n">
        <v>0</v>
      </c>
      <c r="AM134" t="n">
        <v>0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HYPERLINK("https://creighton-primo.hosted.exlibrisgroup.com/primo-explore/search?tab=default_tab&amp;search_scope=EVERYTHING&amp;vid=01CRU&amp;lang=en_US&amp;offset=0&amp;query=any,contains,991002812419702656","Catalog Record")</f>
        <v/>
      </c>
      <c r="AT134">
        <f>HYPERLINK("http://www.worldcat.org/oclc/36949626","WorldCat Record")</f>
        <v/>
      </c>
      <c r="AU134" t="inlineStr">
        <is>
          <t>573412:eng</t>
        </is>
      </c>
      <c r="AV134" t="inlineStr">
        <is>
          <t>36949626</t>
        </is>
      </c>
      <c r="AW134" t="inlineStr">
        <is>
          <t>991002812419702656</t>
        </is>
      </c>
      <c r="AX134" t="inlineStr">
        <is>
          <t>991002812419702656</t>
        </is>
      </c>
      <c r="AY134" t="inlineStr">
        <is>
          <t>2264844170002656</t>
        </is>
      </c>
      <c r="AZ134" t="inlineStr">
        <is>
          <t>BOOK</t>
        </is>
      </c>
      <c r="BB134" t="inlineStr">
        <is>
          <t>9780687056224</t>
        </is>
      </c>
      <c r="BC134" t="inlineStr">
        <is>
          <t>32285003453775</t>
        </is>
      </c>
      <c r="BD134" t="inlineStr">
        <is>
          <t>893498565</t>
        </is>
      </c>
      <c r="BE134" t="inlineStr">
        <is>
          <t>S Brown</t>
        </is>
      </c>
    </row>
    <row r="135">
      <c r="A135" t="inlineStr">
        <is>
          <t>No</t>
        </is>
      </c>
      <c r="B135" t="inlineStr">
        <is>
          <t>BS2655.E7 B44 1982</t>
        </is>
      </c>
      <c r="C135" t="inlineStr">
        <is>
          <t>0                      BS 2655000E  7                  B  44          1982</t>
        </is>
      </c>
      <c r="D135" t="inlineStr">
        <is>
          <t>Paul's apocalyptic gospel : the coming triumph of God / J. Christiaan Beker.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Beker, Johan Christiaan, 1924-</t>
        </is>
      </c>
      <c r="L135" t="inlineStr">
        <is>
          <t>Philadelphia, PA : Fortress Press, c1982.</t>
        </is>
      </c>
      <c r="M135" t="inlineStr">
        <is>
          <t>1982</t>
        </is>
      </c>
      <c r="O135" t="inlineStr">
        <is>
          <t>eng</t>
        </is>
      </c>
      <c r="P135" t="inlineStr">
        <is>
          <t>pau</t>
        </is>
      </c>
      <c r="R135" t="inlineStr">
        <is>
          <t xml:space="preserve">BS </t>
        </is>
      </c>
      <c r="S135" t="n">
        <v>12</v>
      </c>
      <c r="T135" t="n">
        <v>12</v>
      </c>
      <c r="U135" t="inlineStr">
        <is>
          <t>2004-12-16</t>
        </is>
      </c>
      <c r="V135" t="inlineStr">
        <is>
          <t>2004-12-16</t>
        </is>
      </c>
      <c r="W135" t="inlineStr">
        <is>
          <t>1991-05-28</t>
        </is>
      </c>
      <c r="X135" t="inlineStr">
        <is>
          <t>1991-05-28</t>
        </is>
      </c>
      <c r="Y135" t="n">
        <v>485</v>
      </c>
      <c r="Z135" t="n">
        <v>394</v>
      </c>
      <c r="AA135" t="n">
        <v>403</v>
      </c>
      <c r="AB135" t="n">
        <v>3</v>
      </c>
      <c r="AC135" t="n">
        <v>3</v>
      </c>
      <c r="AD135" t="n">
        <v>29</v>
      </c>
      <c r="AE135" t="n">
        <v>30</v>
      </c>
      <c r="AF135" t="n">
        <v>15</v>
      </c>
      <c r="AG135" t="n">
        <v>16</v>
      </c>
      <c r="AH135" t="n">
        <v>8</v>
      </c>
      <c r="AI135" t="n">
        <v>8</v>
      </c>
      <c r="AJ135" t="n">
        <v>17</v>
      </c>
      <c r="AK135" t="n">
        <v>18</v>
      </c>
      <c r="AL135" t="n">
        <v>0</v>
      </c>
      <c r="AM135" t="n">
        <v>0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HYPERLINK("http://catalog.hathitrust.org/Record/000230209","HathiTrust Record")</f>
        <v/>
      </c>
      <c r="AS135">
        <f>HYPERLINK("https://creighton-primo.hosted.exlibrisgroup.com/primo-explore/search?tab=default_tab&amp;search_scope=EVERYTHING&amp;vid=01CRU&amp;lang=en_US&amp;offset=0&amp;query=any,contains,991005249139702656","Catalog Record")</f>
        <v/>
      </c>
      <c r="AT135">
        <f>HYPERLINK("http://www.worldcat.org/oclc/8476178","WorldCat Record")</f>
        <v/>
      </c>
      <c r="AU135" t="inlineStr">
        <is>
          <t>449239:eng</t>
        </is>
      </c>
      <c r="AV135" t="inlineStr">
        <is>
          <t>8476178</t>
        </is>
      </c>
      <c r="AW135" t="inlineStr">
        <is>
          <t>991005249139702656</t>
        </is>
      </c>
      <c r="AX135" t="inlineStr">
        <is>
          <t>991005249139702656</t>
        </is>
      </c>
      <c r="AY135" t="inlineStr">
        <is>
          <t>2257797610002656</t>
        </is>
      </c>
      <c r="AZ135" t="inlineStr">
        <is>
          <t>BOOK</t>
        </is>
      </c>
      <c r="BB135" t="inlineStr">
        <is>
          <t>9780800616496</t>
        </is>
      </c>
      <c r="BC135" t="inlineStr">
        <is>
          <t>32285000627249</t>
        </is>
      </c>
      <c r="BD135" t="inlineStr">
        <is>
          <t>893594721</t>
        </is>
      </c>
      <c r="BE135" t="inlineStr">
        <is>
          <t>S Brown</t>
        </is>
      </c>
    </row>
    <row r="136">
      <c r="A136" t="inlineStr">
        <is>
          <t>No</t>
        </is>
      </c>
      <c r="B136" t="inlineStr">
        <is>
          <t>BS2655.J4 H375 1992</t>
        </is>
      </c>
      <c r="C136" t="inlineStr">
        <is>
          <t>0                      BS 2655000J  4                  H  375         1992</t>
        </is>
      </c>
      <c r="D136" t="inlineStr">
        <is>
          <t>Paul on the mystery of Israel / Daniel J. Harrington.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Harrington, Daniel J.</t>
        </is>
      </c>
      <c r="L136" t="inlineStr">
        <is>
          <t>Collegeville, MN : Liturgical Press, c1992.</t>
        </is>
      </c>
      <c r="M136" t="inlineStr">
        <is>
          <t>1992</t>
        </is>
      </c>
      <c r="O136" t="inlineStr">
        <is>
          <t>eng</t>
        </is>
      </c>
      <c r="P136" t="inlineStr">
        <is>
          <t>mnu</t>
        </is>
      </c>
      <c r="Q136" t="inlineStr">
        <is>
          <t>Zacchaeus studies. New Testament</t>
        </is>
      </c>
      <c r="R136" t="inlineStr">
        <is>
          <t xml:space="preserve">BS </t>
        </is>
      </c>
      <c r="S136" t="n">
        <v>5</v>
      </c>
      <c r="T136" t="n">
        <v>5</v>
      </c>
      <c r="U136" t="inlineStr">
        <is>
          <t>1996-11-09</t>
        </is>
      </c>
      <c r="V136" t="inlineStr">
        <is>
          <t>1996-11-09</t>
        </is>
      </c>
      <c r="W136" t="inlineStr">
        <is>
          <t>1992-11-12</t>
        </is>
      </c>
      <c r="X136" t="inlineStr">
        <is>
          <t>1992-11-12</t>
        </is>
      </c>
      <c r="Y136" t="n">
        <v>215</v>
      </c>
      <c r="Z136" t="n">
        <v>167</v>
      </c>
      <c r="AA136" t="n">
        <v>167</v>
      </c>
      <c r="AB136" t="n">
        <v>1</v>
      </c>
      <c r="AC136" t="n">
        <v>1</v>
      </c>
      <c r="AD136" t="n">
        <v>22</v>
      </c>
      <c r="AE136" t="n">
        <v>22</v>
      </c>
      <c r="AF136" t="n">
        <v>11</v>
      </c>
      <c r="AG136" t="n">
        <v>11</v>
      </c>
      <c r="AH136" t="n">
        <v>5</v>
      </c>
      <c r="AI136" t="n">
        <v>5</v>
      </c>
      <c r="AJ136" t="n">
        <v>14</v>
      </c>
      <c r="AK136" t="n">
        <v>14</v>
      </c>
      <c r="AL136" t="n">
        <v>0</v>
      </c>
      <c r="AM136" t="n">
        <v>0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HYPERLINK("https://creighton-primo.hosted.exlibrisgroup.com/primo-explore/search?tab=default_tab&amp;search_scope=EVERYTHING&amp;vid=01CRU&amp;lang=en_US&amp;offset=0&amp;query=any,contains,991002036699702656","Catalog Record")</f>
        <v/>
      </c>
      <c r="AT136">
        <f>HYPERLINK("http://www.worldcat.org/oclc/25964911","WorldCat Record")</f>
        <v/>
      </c>
      <c r="AU136" t="inlineStr">
        <is>
          <t>28534335:eng</t>
        </is>
      </c>
      <c r="AV136" t="inlineStr">
        <is>
          <t>25964911</t>
        </is>
      </c>
      <c r="AW136" t="inlineStr">
        <is>
          <t>991002036699702656</t>
        </is>
      </c>
      <c r="AX136" t="inlineStr">
        <is>
          <t>991002036699702656</t>
        </is>
      </c>
      <c r="AY136" t="inlineStr">
        <is>
          <t>2260462410002656</t>
        </is>
      </c>
      <c r="AZ136" t="inlineStr">
        <is>
          <t>BOOK</t>
        </is>
      </c>
      <c r="BB136" t="inlineStr">
        <is>
          <t>9780814650356</t>
        </is>
      </c>
      <c r="BC136" t="inlineStr">
        <is>
          <t>32285001361822</t>
        </is>
      </c>
      <c r="BD136" t="inlineStr">
        <is>
          <t>893250735</t>
        </is>
      </c>
      <c r="BE136" t="inlineStr">
        <is>
          <t>S Brown</t>
        </is>
      </c>
    </row>
    <row r="137">
      <c r="A137" t="inlineStr">
        <is>
          <t>No</t>
        </is>
      </c>
      <c r="B137" t="inlineStr">
        <is>
          <t>BS2655.L42 D66 1984</t>
        </is>
      </c>
      <c r="C137" t="inlineStr">
        <is>
          <t>0                      BS 2655000L  42                 D  66          1984</t>
        </is>
      </c>
      <c r="D137" t="inlineStr">
        <is>
          <t>Leadership in Paul / by Helen Doohan.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Doohan, Helen.</t>
        </is>
      </c>
      <c r="L137" t="inlineStr">
        <is>
          <t>Wilmington, Del. : M. Glazier, 1984.</t>
        </is>
      </c>
      <c r="M137" t="inlineStr">
        <is>
          <t>1984</t>
        </is>
      </c>
      <c r="O137" t="inlineStr">
        <is>
          <t>eng</t>
        </is>
      </c>
      <c r="P137" t="inlineStr">
        <is>
          <t>deu</t>
        </is>
      </c>
      <c r="Q137" t="inlineStr">
        <is>
          <t>Good news studies ; v. 11</t>
        </is>
      </c>
      <c r="R137" t="inlineStr">
        <is>
          <t xml:space="preserve">BS </t>
        </is>
      </c>
      <c r="S137" t="n">
        <v>6</v>
      </c>
      <c r="T137" t="n">
        <v>6</v>
      </c>
      <c r="U137" t="inlineStr">
        <is>
          <t>1998-09-20</t>
        </is>
      </c>
      <c r="V137" t="inlineStr">
        <is>
          <t>1998-09-20</t>
        </is>
      </c>
      <c r="W137" t="inlineStr">
        <is>
          <t>1996-08-15</t>
        </is>
      </c>
      <c r="X137" t="inlineStr">
        <is>
          <t>1996-08-15</t>
        </is>
      </c>
      <c r="Y137" t="n">
        <v>257</v>
      </c>
      <c r="Z137" t="n">
        <v>203</v>
      </c>
      <c r="AA137" t="n">
        <v>210</v>
      </c>
      <c r="AB137" t="n">
        <v>2</v>
      </c>
      <c r="AC137" t="n">
        <v>2</v>
      </c>
      <c r="AD137" t="n">
        <v>20</v>
      </c>
      <c r="AE137" t="n">
        <v>20</v>
      </c>
      <c r="AF137" t="n">
        <v>7</v>
      </c>
      <c r="AG137" t="n">
        <v>7</v>
      </c>
      <c r="AH137" t="n">
        <v>5</v>
      </c>
      <c r="AI137" t="n">
        <v>5</v>
      </c>
      <c r="AJ137" t="n">
        <v>13</v>
      </c>
      <c r="AK137" t="n">
        <v>13</v>
      </c>
      <c r="AL137" t="n">
        <v>0</v>
      </c>
      <c r="AM137" t="n">
        <v>0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HYPERLINK("http://catalog.hathitrust.org/Record/000622034","HathiTrust Record")</f>
        <v/>
      </c>
      <c r="AS137">
        <f>HYPERLINK("https://creighton-primo.hosted.exlibrisgroup.com/primo-explore/search?tab=default_tab&amp;search_scope=EVERYTHING&amp;vid=01CRU&amp;lang=en_US&amp;offset=0&amp;query=any,contains,991000489079702656","Catalog Record")</f>
        <v/>
      </c>
      <c r="AT137">
        <f>HYPERLINK("http://www.worldcat.org/oclc/11091068","WorldCat Record")</f>
        <v/>
      </c>
      <c r="AU137" t="inlineStr">
        <is>
          <t>4099049:eng</t>
        </is>
      </c>
      <c r="AV137" t="inlineStr">
        <is>
          <t>11091068</t>
        </is>
      </c>
      <c r="AW137" t="inlineStr">
        <is>
          <t>991000489079702656</t>
        </is>
      </c>
      <c r="AX137" t="inlineStr">
        <is>
          <t>991000489079702656</t>
        </is>
      </c>
      <c r="AY137" t="inlineStr">
        <is>
          <t>2270807860002656</t>
        </is>
      </c>
      <c r="AZ137" t="inlineStr">
        <is>
          <t>BOOK</t>
        </is>
      </c>
      <c r="BB137" t="inlineStr">
        <is>
          <t>9780894534355</t>
        </is>
      </c>
      <c r="BC137" t="inlineStr">
        <is>
          <t>32285002121563</t>
        </is>
      </c>
      <c r="BD137" t="inlineStr">
        <is>
          <t>893890728</t>
        </is>
      </c>
      <c r="BE137" t="inlineStr">
        <is>
          <t>S Brown</t>
        </is>
      </c>
    </row>
    <row r="138">
      <c r="A138" t="inlineStr">
        <is>
          <t>No</t>
        </is>
      </c>
      <c r="B138" t="inlineStr">
        <is>
          <t>BS2655.M9 L56</t>
        </is>
      </c>
      <c r="C138" t="inlineStr">
        <is>
          <t>0                      BS 2655000M  9                  L  56</t>
        </is>
      </c>
      <c r="D138" t="inlineStr">
        <is>
          <t>Paradise now and not yet : studies in the role of the heavenly dimension in Paul's thought with special reference to his eschatology / Andrew T. Lincoln.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Lincoln, Andrew T.</t>
        </is>
      </c>
      <c r="L138" t="inlineStr">
        <is>
          <t>London ; New York : Cambridge University Press, 1981.</t>
        </is>
      </c>
      <c r="M138" t="inlineStr">
        <is>
          <t>1981</t>
        </is>
      </c>
      <c r="O138" t="inlineStr">
        <is>
          <t>eng</t>
        </is>
      </c>
      <c r="P138" t="inlineStr">
        <is>
          <t>enk</t>
        </is>
      </c>
      <c r="Q138" t="inlineStr">
        <is>
          <t>Society for New Testament Studies Monograph Series ; 43</t>
        </is>
      </c>
      <c r="R138" t="inlineStr">
        <is>
          <t xml:space="preserve">BS </t>
        </is>
      </c>
      <c r="S138" t="n">
        <v>9</v>
      </c>
      <c r="T138" t="n">
        <v>9</v>
      </c>
      <c r="U138" t="inlineStr">
        <is>
          <t>1999-09-20</t>
        </is>
      </c>
      <c r="V138" t="inlineStr">
        <is>
          <t>1999-09-20</t>
        </is>
      </c>
      <c r="W138" t="inlineStr">
        <is>
          <t>1991-11-07</t>
        </is>
      </c>
      <c r="X138" t="inlineStr">
        <is>
          <t>1991-11-07</t>
        </is>
      </c>
      <c r="Y138" t="n">
        <v>442</v>
      </c>
      <c r="Z138" t="n">
        <v>313</v>
      </c>
      <c r="AA138" t="n">
        <v>365</v>
      </c>
      <c r="AB138" t="n">
        <v>1</v>
      </c>
      <c r="AC138" t="n">
        <v>2</v>
      </c>
      <c r="AD138" t="n">
        <v>21</v>
      </c>
      <c r="AE138" t="n">
        <v>24</v>
      </c>
      <c r="AF138" t="n">
        <v>8</v>
      </c>
      <c r="AG138" t="n">
        <v>9</v>
      </c>
      <c r="AH138" t="n">
        <v>5</v>
      </c>
      <c r="AI138" t="n">
        <v>6</v>
      </c>
      <c r="AJ138" t="n">
        <v>15</v>
      </c>
      <c r="AK138" t="n">
        <v>15</v>
      </c>
      <c r="AL138" t="n">
        <v>0</v>
      </c>
      <c r="AM138" t="n">
        <v>1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HYPERLINK("https://creighton-primo.hosted.exlibrisgroup.com/primo-explore/search?tab=default_tab&amp;search_scope=EVERYTHING&amp;vid=01CRU&amp;lang=en_US&amp;offset=0&amp;query=any,contains,991005173789702656","Catalog Record")</f>
        <v/>
      </c>
      <c r="AT138">
        <f>HYPERLINK("http://www.worldcat.org/oclc/8626461","WorldCat Record")</f>
        <v/>
      </c>
      <c r="AU138" t="inlineStr">
        <is>
          <t>807351597:eng</t>
        </is>
      </c>
      <c r="AV138" t="inlineStr">
        <is>
          <t>8626461</t>
        </is>
      </c>
      <c r="AW138" t="inlineStr">
        <is>
          <t>991005173789702656</t>
        </is>
      </c>
      <c r="AX138" t="inlineStr">
        <is>
          <t>991005173789702656</t>
        </is>
      </c>
      <c r="AY138" t="inlineStr">
        <is>
          <t>2263649030002656</t>
        </is>
      </c>
      <c r="AZ138" t="inlineStr">
        <is>
          <t>BOOK</t>
        </is>
      </c>
      <c r="BB138" t="inlineStr">
        <is>
          <t>9780521229449</t>
        </is>
      </c>
      <c r="BC138" t="inlineStr">
        <is>
          <t>32285000825744</t>
        </is>
      </c>
      <c r="BD138" t="inlineStr">
        <is>
          <t>893688713</t>
        </is>
      </c>
      <c r="BE138" t="inlineStr">
        <is>
          <t>S Brown</t>
        </is>
      </c>
    </row>
    <row r="139">
      <c r="A139" t="inlineStr">
        <is>
          <t>No</t>
        </is>
      </c>
      <c r="B139" t="inlineStr">
        <is>
          <t>BS2655.P89 M37 1984</t>
        </is>
      </c>
      <c r="C139" t="inlineStr">
        <is>
          <t>0                      BS 2655000P  89                 M  37          1984</t>
        </is>
      </c>
      <c r="D139" t="inlineStr">
        <is>
          <t>The spirit and the congregation : studies in 1 Corinthians 12-15 / Ralph P. Martin.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Martin, Ralph P.</t>
        </is>
      </c>
      <c r="L139" t="inlineStr">
        <is>
          <t>Grand Rapids, Mich. : W.B. Eerdmans Pub. Co., c1984.</t>
        </is>
      </c>
      <c r="M139" t="inlineStr">
        <is>
          <t>1984</t>
        </is>
      </c>
      <c r="O139" t="inlineStr">
        <is>
          <t>eng</t>
        </is>
      </c>
      <c r="P139" t="inlineStr">
        <is>
          <t>miu</t>
        </is>
      </c>
      <c r="R139" t="inlineStr">
        <is>
          <t xml:space="preserve">BS </t>
        </is>
      </c>
      <c r="S139" t="n">
        <v>6</v>
      </c>
      <c r="T139" t="n">
        <v>6</v>
      </c>
      <c r="U139" t="inlineStr">
        <is>
          <t>2000-03-15</t>
        </is>
      </c>
      <c r="V139" t="inlineStr">
        <is>
          <t>2000-03-15</t>
        </is>
      </c>
      <c r="W139" t="inlineStr">
        <is>
          <t>1991-05-28</t>
        </is>
      </c>
      <c r="X139" t="inlineStr">
        <is>
          <t>1991-05-28</t>
        </is>
      </c>
      <c r="Y139" t="n">
        <v>356</v>
      </c>
      <c r="Z139" t="n">
        <v>261</v>
      </c>
      <c r="AA139" t="n">
        <v>267</v>
      </c>
      <c r="AB139" t="n">
        <v>2</v>
      </c>
      <c r="AC139" t="n">
        <v>2</v>
      </c>
      <c r="AD139" t="n">
        <v>14</v>
      </c>
      <c r="AE139" t="n">
        <v>14</v>
      </c>
      <c r="AF139" t="n">
        <v>3</v>
      </c>
      <c r="AG139" t="n">
        <v>3</v>
      </c>
      <c r="AH139" t="n">
        <v>4</v>
      </c>
      <c r="AI139" t="n">
        <v>4</v>
      </c>
      <c r="AJ139" t="n">
        <v>9</v>
      </c>
      <c r="AK139" t="n">
        <v>9</v>
      </c>
      <c r="AL139" t="n">
        <v>1</v>
      </c>
      <c r="AM139" t="n">
        <v>1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HYPERLINK("https://creighton-primo.hosted.exlibrisgroup.com/primo-explore/search?tab=default_tab&amp;search_scope=EVERYTHING&amp;vid=01CRU&amp;lang=en_US&amp;offset=0&amp;query=any,contains,991000438229702656","Catalog Record")</f>
        <v/>
      </c>
      <c r="AT139">
        <f>HYPERLINK("http://www.worldcat.org/oclc/10800492","WorldCat Record")</f>
        <v/>
      </c>
      <c r="AU139" t="inlineStr">
        <is>
          <t>2844978:eng</t>
        </is>
      </c>
      <c r="AV139" t="inlineStr">
        <is>
          <t>10800492</t>
        </is>
      </c>
      <c r="AW139" t="inlineStr">
        <is>
          <t>991000438229702656</t>
        </is>
      </c>
      <c r="AX139" t="inlineStr">
        <is>
          <t>991000438229702656</t>
        </is>
      </c>
      <c r="AY139" t="inlineStr">
        <is>
          <t>2270643730002656</t>
        </is>
      </c>
      <c r="AZ139" t="inlineStr">
        <is>
          <t>BOOK</t>
        </is>
      </c>
      <c r="BB139" t="inlineStr">
        <is>
          <t>9780802836083</t>
        </is>
      </c>
      <c r="BC139" t="inlineStr">
        <is>
          <t>32285000627546</t>
        </is>
      </c>
      <c r="BD139" t="inlineStr">
        <is>
          <t>893327291</t>
        </is>
      </c>
      <c r="BE139" t="inlineStr">
        <is>
          <t>S Brown</t>
        </is>
      </c>
    </row>
    <row r="140">
      <c r="A140" t="inlineStr">
        <is>
          <t>No</t>
        </is>
      </c>
      <c r="B140" t="inlineStr">
        <is>
          <t>BS2655.S62 T62 1987</t>
        </is>
      </c>
      <c r="C140" t="inlineStr">
        <is>
          <t>0                      BS 2655000S  62                 T  62          1987</t>
        </is>
      </c>
      <c r="D140" t="inlineStr">
        <is>
          <t>The spirituality of Paul / Thomas H. Tobin.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Tobin, Thomas H., 1945-</t>
        </is>
      </c>
      <c r="L140" t="inlineStr">
        <is>
          <t>Wilmington, Del. : M. Glazier, 1987.</t>
        </is>
      </c>
      <c r="M140" t="inlineStr">
        <is>
          <t>1987</t>
        </is>
      </c>
      <c r="O140" t="inlineStr">
        <is>
          <t>eng</t>
        </is>
      </c>
      <c r="P140" t="inlineStr">
        <is>
          <t>deu</t>
        </is>
      </c>
      <c r="Q140" t="inlineStr">
        <is>
          <t>Message of biblical spirituality ; v. 12</t>
        </is>
      </c>
      <c r="R140" t="inlineStr">
        <is>
          <t xml:space="preserve">BS </t>
        </is>
      </c>
      <c r="S140" t="n">
        <v>8</v>
      </c>
      <c r="T140" t="n">
        <v>8</v>
      </c>
      <c r="U140" t="inlineStr">
        <is>
          <t>1998-11-06</t>
        </is>
      </c>
      <c r="V140" t="inlineStr">
        <is>
          <t>1998-11-06</t>
        </is>
      </c>
      <c r="W140" t="inlineStr">
        <is>
          <t>1990-04-24</t>
        </is>
      </c>
      <c r="X140" t="inlineStr">
        <is>
          <t>1990-04-24</t>
        </is>
      </c>
      <c r="Y140" t="n">
        <v>211</v>
      </c>
      <c r="Z140" t="n">
        <v>176</v>
      </c>
      <c r="AA140" t="n">
        <v>196</v>
      </c>
      <c r="AB140" t="n">
        <v>1</v>
      </c>
      <c r="AC140" t="n">
        <v>2</v>
      </c>
      <c r="AD140" t="n">
        <v>20</v>
      </c>
      <c r="AE140" t="n">
        <v>24</v>
      </c>
      <c r="AF140" t="n">
        <v>4</v>
      </c>
      <c r="AG140" t="n">
        <v>6</v>
      </c>
      <c r="AH140" t="n">
        <v>7</v>
      </c>
      <c r="AI140" t="n">
        <v>8</v>
      </c>
      <c r="AJ140" t="n">
        <v>14</v>
      </c>
      <c r="AK140" t="n">
        <v>16</v>
      </c>
      <c r="AL140" t="n">
        <v>0</v>
      </c>
      <c r="AM140" t="n">
        <v>1</v>
      </c>
      <c r="AN140" t="n">
        <v>0</v>
      </c>
      <c r="AO140" t="n">
        <v>0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HYPERLINK("https://creighton-primo.hosted.exlibrisgroup.com/primo-explore/search?tab=default_tab&amp;search_scope=EVERYTHING&amp;vid=01CRU&amp;lang=en_US&amp;offset=0&amp;query=any,contains,991001004069702656","Catalog Record")</f>
        <v/>
      </c>
      <c r="AT140">
        <f>HYPERLINK("http://www.worldcat.org/oclc/15223042","WorldCat Record")</f>
        <v/>
      </c>
      <c r="AU140" t="inlineStr">
        <is>
          <t>10237596:eng</t>
        </is>
      </c>
      <c r="AV140" t="inlineStr">
        <is>
          <t>15223042</t>
        </is>
      </c>
      <c r="AW140" t="inlineStr">
        <is>
          <t>991001004069702656</t>
        </is>
      </c>
      <c r="AX140" t="inlineStr">
        <is>
          <t>991001004069702656</t>
        </is>
      </c>
      <c r="AY140" t="inlineStr">
        <is>
          <t>2268567170002656</t>
        </is>
      </c>
      <c r="AZ140" t="inlineStr">
        <is>
          <t>BOOK</t>
        </is>
      </c>
      <c r="BB140" t="inlineStr">
        <is>
          <t>9780894535789</t>
        </is>
      </c>
      <c r="BC140" t="inlineStr">
        <is>
          <t>32285000132141</t>
        </is>
      </c>
      <c r="BD140" t="inlineStr">
        <is>
          <t>893534396</t>
        </is>
      </c>
      <c r="BE140" t="inlineStr">
        <is>
          <t>S Brown</t>
        </is>
      </c>
    </row>
    <row r="141">
      <c r="A141" t="inlineStr">
        <is>
          <t>No</t>
        </is>
      </c>
      <c r="B141" t="inlineStr">
        <is>
          <t>BS2685.2 .H39 1983</t>
        </is>
      </c>
      <c r="C141" t="inlineStr">
        <is>
          <t>0                      BS 2685200H  39          1983</t>
        </is>
      </c>
      <c r="D141" t="inlineStr">
        <is>
          <t>The faith of Jesus Christ : an investigation of the narrative substructure of Galatians 3:1-4:11 / Richard B. Hays.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Hays, Richard B.</t>
        </is>
      </c>
      <c r="L141" t="inlineStr">
        <is>
          <t>Chico, CA : Scholars Press, 1983.</t>
        </is>
      </c>
      <c r="M141" t="inlineStr">
        <is>
          <t>1983</t>
        </is>
      </c>
      <c r="O141" t="inlineStr">
        <is>
          <t>eng</t>
        </is>
      </c>
      <c r="P141" t="inlineStr">
        <is>
          <t>cau</t>
        </is>
      </c>
      <c r="Q141" t="inlineStr">
        <is>
          <t>Dissertation series (Society of Biblical Literature) ; no. 56</t>
        </is>
      </c>
      <c r="R141" t="inlineStr">
        <is>
          <t xml:space="preserve">BS </t>
        </is>
      </c>
      <c r="S141" t="n">
        <v>5</v>
      </c>
      <c r="T141" t="n">
        <v>5</v>
      </c>
      <c r="U141" t="inlineStr">
        <is>
          <t>2003-04-01</t>
        </is>
      </c>
      <c r="V141" t="inlineStr">
        <is>
          <t>2003-04-01</t>
        </is>
      </c>
      <c r="W141" t="inlineStr">
        <is>
          <t>1991-06-03</t>
        </is>
      </c>
      <c r="X141" t="inlineStr">
        <is>
          <t>1991-06-03</t>
        </is>
      </c>
      <c r="Y141" t="n">
        <v>312</v>
      </c>
      <c r="Z141" t="n">
        <v>222</v>
      </c>
      <c r="AA141" t="n">
        <v>224</v>
      </c>
      <c r="AB141" t="n">
        <v>2</v>
      </c>
      <c r="AC141" t="n">
        <v>2</v>
      </c>
      <c r="AD141" t="n">
        <v>18</v>
      </c>
      <c r="AE141" t="n">
        <v>18</v>
      </c>
      <c r="AF141" t="n">
        <v>6</v>
      </c>
      <c r="AG141" t="n">
        <v>6</v>
      </c>
      <c r="AH141" t="n">
        <v>3</v>
      </c>
      <c r="AI141" t="n">
        <v>3</v>
      </c>
      <c r="AJ141" t="n">
        <v>11</v>
      </c>
      <c r="AK141" t="n">
        <v>11</v>
      </c>
      <c r="AL141" t="n">
        <v>1</v>
      </c>
      <c r="AM141" t="n">
        <v>1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HYPERLINK("http://catalog.hathitrust.org/Record/000285501","HathiTrust Record")</f>
        <v/>
      </c>
      <c r="AS141">
        <f>HYPERLINK("https://creighton-primo.hosted.exlibrisgroup.com/primo-explore/search?tab=default_tab&amp;search_scope=EVERYTHING&amp;vid=01CRU&amp;lang=en_US&amp;offset=0&amp;query=any,contains,991000044829702656","Catalog Record")</f>
        <v/>
      </c>
      <c r="AT141">
        <f>HYPERLINK("http://www.worldcat.org/oclc/8667857","WorldCat Record")</f>
        <v/>
      </c>
      <c r="AU141" t="inlineStr">
        <is>
          <t>30731475:eng</t>
        </is>
      </c>
      <c r="AV141" t="inlineStr">
        <is>
          <t>8667857</t>
        </is>
      </c>
      <c r="AW141" t="inlineStr">
        <is>
          <t>991000044829702656</t>
        </is>
      </c>
      <c r="AX141" t="inlineStr">
        <is>
          <t>991000044829702656</t>
        </is>
      </c>
      <c r="AY141" t="inlineStr">
        <is>
          <t>2270088930002656</t>
        </is>
      </c>
      <c r="AZ141" t="inlineStr">
        <is>
          <t>BOOK</t>
        </is>
      </c>
      <c r="BB141" t="inlineStr">
        <is>
          <t>9780891305897</t>
        </is>
      </c>
      <c r="BC141" t="inlineStr">
        <is>
          <t>32285000628312</t>
        </is>
      </c>
      <c r="BD141" t="inlineStr">
        <is>
          <t>893720556</t>
        </is>
      </c>
      <c r="BE141" t="inlineStr">
        <is>
          <t>S Brown</t>
        </is>
      </c>
    </row>
    <row r="142">
      <c r="A142" t="inlineStr">
        <is>
          <t>No</t>
        </is>
      </c>
      <c r="B142" t="inlineStr">
        <is>
          <t>BS2705.2 .W48 1998</t>
        </is>
      </c>
      <c r="C142" t="inlineStr">
        <is>
          <t>0                      BS 2705200W  48          1998</t>
        </is>
      </c>
      <c r="D142" t="inlineStr">
        <is>
          <t>Where Christology began : essays on Philippians 2 / Ralph P. Martin, Brian J. Dodd, editors.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Louisville, Ky. : Westminster John Knox Press, c1998.</t>
        </is>
      </c>
      <c r="M142" t="inlineStr">
        <is>
          <t>1998</t>
        </is>
      </c>
      <c r="N142" t="inlineStr">
        <is>
          <t>1st ed.</t>
        </is>
      </c>
      <c r="O142" t="inlineStr">
        <is>
          <t>eng</t>
        </is>
      </c>
      <c r="P142" t="inlineStr">
        <is>
          <t>kyu</t>
        </is>
      </c>
      <c r="R142" t="inlineStr">
        <is>
          <t xml:space="preserve">BS </t>
        </is>
      </c>
      <c r="S142" t="n">
        <v>8</v>
      </c>
      <c r="T142" t="n">
        <v>8</v>
      </c>
      <c r="U142" t="inlineStr">
        <is>
          <t>2007-11-03</t>
        </is>
      </c>
      <c r="V142" t="inlineStr">
        <is>
          <t>2007-11-03</t>
        </is>
      </c>
      <c r="W142" t="inlineStr">
        <is>
          <t>1998-08-26</t>
        </is>
      </c>
      <c r="X142" t="inlineStr">
        <is>
          <t>1998-08-26</t>
        </is>
      </c>
      <c r="Y142" t="n">
        <v>312</v>
      </c>
      <c r="Z142" t="n">
        <v>246</v>
      </c>
      <c r="AA142" t="n">
        <v>246</v>
      </c>
      <c r="AB142" t="n">
        <v>3</v>
      </c>
      <c r="AC142" t="n">
        <v>3</v>
      </c>
      <c r="AD142" t="n">
        <v>22</v>
      </c>
      <c r="AE142" t="n">
        <v>22</v>
      </c>
      <c r="AF142" t="n">
        <v>12</v>
      </c>
      <c r="AG142" t="n">
        <v>12</v>
      </c>
      <c r="AH142" t="n">
        <v>4</v>
      </c>
      <c r="AI142" t="n">
        <v>4</v>
      </c>
      <c r="AJ142" t="n">
        <v>12</v>
      </c>
      <c r="AK142" t="n">
        <v>12</v>
      </c>
      <c r="AL142" t="n">
        <v>2</v>
      </c>
      <c r="AM142" t="n">
        <v>2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HYPERLINK("https://creighton-primo.hosted.exlibrisgroup.com/primo-explore/search?tab=default_tab&amp;search_scope=EVERYTHING&amp;vid=01CRU&amp;lang=en_US&amp;offset=0&amp;query=any,contains,991002874369702656","Catalog Record")</f>
        <v/>
      </c>
      <c r="AT142">
        <f>HYPERLINK("http://www.worldcat.org/oclc/37878740","WorldCat Record")</f>
        <v/>
      </c>
      <c r="AU142" t="inlineStr">
        <is>
          <t>566834:eng</t>
        </is>
      </c>
      <c r="AV142" t="inlineStr">
        <is>
          <t>37878740</t>
        </is>
      </c>
      <c r="AW142" t="inlineStr">
        <is>
          <t>991002874369702656</t>
        </is>
      </c>
      <c r="AX142" t="inlineStr">
        <is>
          <t>991002874369702656</t>
        </is>
      </c>
      <c r="AY142" t="inlineStr">
        <is>
          <t>2266420680002656</t>
        </is>
      </c>
      <c r="AZ142" t="inlineStr">
        <is>
          <t>BOOK</t>
        </is>
      </c>
      <c r="BB142" t="inlineStr">
        <is>
          <t>9780664256197</t>
        </is>
      </c>
      <c r="BC142" t="inlineStr">
        <is>
          <t>32285003462628</t>
        </is>
      </c>
      <c r="BD142" t="inlineStr">
        <is>
          <t>893524149</t>
        </is>
      </c>
      <c r="BE142" t="inlineStr">
        <is>
          <t>S Brown</t>
        </is>
      </c>
    </row>
    <row r="143">
      <c r="A143" t="inlineStr">
        <is>
          <t>No</t>
        </is>
      </c>
      <c r="B143" t="inlineStr">
        <is>
          <t>BS2705.3 .M6</t>
        </is>
      </c>
      <c r="C143" t="inlineStr">
        <is>
          <t>0                      BS 2705300M  6</t>
        </is>
      </c>
      <c r="D143" t="inlineStr">
        <is>
          <t>Philippian studies : lessons in faith and love / Handley C. G. Moule.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Moule, H. C. G. (Handley Carr Glyn), 1841-1920.</t>
        </is>
      </c>
      <c r="L143" t="inlineStr">
        <is>
          <t>Grand Rapids : Zondervan Pub. House, [1962?]</t>
        </is>
      </c>
      <c r="M143" t="inlineStr">
        <is>
          <t>1962</t>
        </is>
      </c>
      <c r="O143" t="inlineStr">
        <is>
          <t>eng</t>
        </is>
      </c>
      <c r="P143" t="inlineStr">
        <is>
          <t>miu</t>
        </is>
      </c>
      <c r="R143" t="inlineStr">
        <is>
          <t xml:space="preserve">BS </t>
        </is>
      </c>
      <c r="S143" t="n">
        <v>6</v>
      </c>
      <c r="T143" t="n">
        <v>6</v>
      </c>
      <c r="U143" t="inlineStr">
        <is>
          <t>1999-07-31</t>
        </is>
      </c>
      <c r="V143" t="inlineStr">
        <is>
          <t>1999-07-31</t>
        </is>
      </c>
      <c r="W143" t="inlineStr">
        <is>
          <t>1991-06-04</t>
        </is>
      </c>
      <c r="X143" t="inlineStr">
        <is>
          <t>1991-06-04</t>
        </is>
      </c>
      <c r="Y143" t="n">
        <v>46</v>
      </c>
      <c r="Z143" t="n">
        <v>42</v>
      </c>
      <c r="AA143" t="n">
        <v>132</v>
      </c>
      <c r="AB143" t="n">
        <v>2</v>
      </c>
      <c r="AC143" t="n">
        <v>3</v>
      </c>
      <c r="AD143" t="n">
        <v>1</v>
      </c>
      <c r="AE143" t="n">
        <v>5</v>
      </c>
      <c r="AF143" t="n">
        <v>0</v>
      </c>
      <c r="AG143" t="n">
        <v>3</v>
      </c>
      <c r="AH143" t="n">
        <v>0</v>
      </c>
      <c r="AI143" t="n">
        <v>1</v>
      </c>
      <c r="AJ143" t="n">
        <v>1</v>
      </c>
      <c r="AK143" t="n">
        <v>1</v>
      </c>
      <c r="AL143" t="n">
        <v>0</v>
      </c>
      <c r="AM143" t="n">
        <v>1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HYPERLINK("https://creighton-primo.hosted.exlibrisgroup.com/primo-explore/search?tab=default_tab&amp;search_scope=EVERYTHING&amp;vid=01CRU&amp;lang=en_US&amp;offset=0&amp;query=any,contains,991004059829702656","Catalog Record")</f>
        <v/>
      </c>
      <c r="AT143">
        <f>HYPERLINK("http://www.worldcat.org/oclc/2237702","WorldCat Record")</f>
        <v/>
      </c>
      <c r="AU143" t="inlineStr">
        <is>
          <t>3855261904:eng</t>
        </is>
      </c>
      <c r="AV143" t="inlineStr">
        <is>
          <t>2237702</t>
        </is>
      </c>
      <c r="AW143" t="inlineStr">
        <is>
          <t>991004059829702656</t>
        </is>
      </c>
      <c r="AX143" t="inlineStr">
        <is>
          <t>991004059829702656</t>
        </is>
      </c>
      <c r="AY143" t="inlineStr">
        <is>
          <t>2259231240002656</t>
        </is>
      </c>
      <c r="AZ143" t="inlineStr">
        <is>
          <t>BOOK</t>
        </is>
      </c>
      <c r="BC143" t="inlineStr">
        <is>
          <t>32285000628619</t>
        </is>
      </c>
      <c r="BD143" t="inlineStr">
        <is>
          <t>893235005</t>
        </is>
      </c>
      <c r="BE143" t="inlineStr">
        <is>
          <t>S Brown</t>
        </is>
      </c>
    </row>
    <row r="144">
      <c r="A144" t="inlineStr">
        <is>
          <t>No</t>
        </is>
      </c>
      <c r="B144" t="inlineStr">
        <is>
          <t>BS2777 .M27 1982</t>
        </is>
      </c>
      <c r="C144" t="inlineStr">
        <is>
          <t>0                      BS 2777000M  27          1982</t>
        </is>
      </c>
      <c r="D144" t="inlineStr">
        <is>
          <t>James / R.A. Martin. I-II Peter/Jude / John H. Elliott.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Martin, Raymond A.</t>
        </is>
      </c>
      <c r="L144" t="inlineStr">
        <is>
          <t>Minneapolis, Minn. : Augsburg Pub. House, c1982.</t>
        </is>
      </c>
      <c r="M144" t="inlineStr">
        <is>
          <t>1982</t>
        </is>
      </c>
      <c r="O144" t="inlineStr">
        <is>
          <t>eng</t>
        </is>
      </c>
      <c r="P144" t="inlineStr">
        <is>
          <t>mnu</t>
        </is>
      </c>
      <c r="Q144" t="inlineStr">
        <is>
          <t>Augsburg commentary on the New Testament</t>
        </is>
      </c>
      <c r="R144" t="inlineStr">
        <is>
          <t xml:space="preserve">BS </t>
        </is>
      </c>
      <c r="S144" t="n">
        <v>6</v>
      </c>
      <c r="T144" t="n">
        <v>6</v>
      </c>
      <c r="U144" t="inlineStr">
        <is>
          <t>1994-10-02</t>
        </is>
      </c>
      <c r="V144" t="inlineStr">
        <is>
          <t>1994-10-02</t>
        </is>
      </c>
      <c r="W144" t="inlineStr">
        <is>
          <t>1991-06-06</t>
        </is>
      </c>
      <c r="X144" t="inlineStr">
        <is>
          <t>1991-06-06</t>
        </is>
      </c>
      <c r="Y144" t="n">
        <v>302</v>
      </c>
      <c r="Z144" t="n">
        <v>251</v>
      </c>
      <c r="AA144" t="n">
        <v>253</v>
      </c>
      <c r="AB144" t="n">
        <v>2</v>
      </c>
      <c r="AC144" t="n">
        <v>2</v>
      </c>
      <c r="AD144" t="n">
        <v>15</v>
      </c>
      <c r="AE144" t="n">
        <v>15</v>
      </c>
      <c r="AF144" t="n">
        <v>5</v>
      </c>
      <c r="AG144" t="n">
        <v>5</v>
      </c>
      <c r="AH144" t="n">
        <v>4</v>
      </c>
      <c r="AI144" t="n">
        <v>4</v>
      </c>
      <c r="AJ144" t="n">
        <v>8</v>
      </c>
      <c r="AK144" t="n">
        <v>8</v>
      </c>
      <c r="AL144" t="n">
        <v>1</v>
      </c>
      <c r="AM144" t="n">
        <v>1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HYPERLINK("http://catalog.hathitrust.org/Record/000232197","HathiTrust Record")</f>
        <v/>
      </c>
      <c r="AS144">
        <f>HYPERLINK("https://creighton-primo.hosted.exlibrisgroup.com/primo-explore/search?tab=default_tab&amp;search_scope=EVERYTHING&amp;vid=01CRU&amp;lang=en_US&amp;offset=0&amp;query=any,contains,991000103669702656","Catalog Record")</f>
        <v/>
      </c>
      <c r="AT144">
        <f>HYPERLINK("http://www.worldcat.org/oclc/8964885","WorldCat Record")</f>
        <v/>
      </c>
      <c r="AU144" t="inlineStr">
        <is>
          <t>9969790:eng</t>
        </is>
      </c>
      <c r="AV144" t="inlineStr">
        <is>
          <t>8964885</t>
        </is>
      </c>
      <c r="AW144" t="inlineStr">
        <is>
          <t>991000103669702656</t>
        </is>
      </c>
      <c r="AX144" t="inlineStr">
        <is>
          <t>991000103669702656</t>
        </is>
      </c>
      <c r="AY144" t="inlineStr">
        <is>
          <t>2255148190002656</t>
        </is>
      </c>
      <c r="AZ144" t="inlineStr">
        <is>
          <t>BOOK</t>
        </is>
      </c>
      <c r="BB144" t="inlineStr">
        <is>
          <t>9780806619378</t>
        </is>
      </c>
      <c r="BC144" t="inlineStr">
        <is>
          <t>32285000629211</t>
        </is>
      </c>
      <c r="BD144" t="inlineStr">
        <is>
          <t>893249087</t>
        </is>
      </c>
      <c r="BE144" t="inlineStr">
        <is>
          <t>S Brown</t>
        </is>
      </c>
    </row>
    <row r="145">
      <c r="A145" t="inlineStr">
        <is>
          <t>No</t>
        </is>
      </c>
      <c r="B145" t="inlineStr">
        <is>
          <t>BS2785.2 .H37 1991</t>
        </is>
      </c>
      <c r="C145" t="inlineStr">
        <is>
          <t>0                      BS 2785200H  37          1991</t>
        </is>
      </c>
      <c r="D145" t="inlineStr">
        <is>
          <t>James and the Q sayings of Jesus/ Patrick J. Hartin.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Hartin, P. J. (Patrick J.)</t>
        </is>
      </c>
      <c r="L145" t="inlineStr">
        <is>
          <t>Sheffield, England : JSOT Press, c1991.</t>
        </is>
      </c>
      <c r="M145" t="inlineStr">
        <is>
          <t>1991</t>
        </is>
      </c>
      <c r="O145" t="inlineStr">
        <is>
          <t>eng</t>
        </is>
      </c>
      <c r="P145" t="inlineStr">
        <is>
          <t>enk</t>
        </is>
      </c>
      <c r="Q145" t="inlineStr">
        <is>
          <t>Journal for the study of the New Testament. Supplement series ; 47</t>
        </is>
      </c>
      <c r="R145" t="inlineStr">
        <is>
          <t xml:space="preserve">BS </t>
        </is>
      </c>
      <c r="S145" t="n">
        <v>8</v>
      </c>
      <c r="T145" t="n">
        <v>8</v>
      </c>
      <c r="U145" t="inlineStr">
        <is>
          <t>2004-11-05</t>
        </is>
      </c>
      <c r="V145" t="inlineStr">
        <is>
          <t>2004-11-05</t>
        </is>
      </c>
      <c r="W145" t="inlineStr">
        <is>
          <t>1992-01-02</t>
        </is>
      </c>
      <c r="X145" t="inlineStr">
        <is>
          <t>1992-01-02</t>
        </is>
      </c>
      <c r="Y145" t="n">
        <v>206</v>
      </c>
      <c r="Z145" t="n">
        <v>144</v>
      </c>
      <c r="AA145" t="n">
        <v>205</v>
      </c>
      <c r="AB145" t="n">
        <v>1</v>
      </c>
      <c r="AC145" t="n">
        <v>2</v>
      </c>
      <c r="AD145" t="n">
        <v>9</v>
      </c>
      <c r="AE145" t="n">
        <v>12</v>
      </c>
      <c r="AF145" t="n">
        <v>2</v>
      </c>
      <c r="AG145" t="n">
        <v>3</v>
      </c>
      <c r="AH145" t="n">
        <v>3</v>
      </c>
      <c r="AI145" t="n">
        <v>4</v>
      </c>
      <c r="AJ145" t="n">
        <v>7</v>
      </c>
      <c r="AK145" t="n">
        <v>7</v>
      </c>
      <c r="AL145" t="n">
        <v>0</v>
      </c>
      <c r="AM145" t="n">
        <v>1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HYPERLINK("http://catalog.hathitrust.org/Record/002475480","HathiTrust Record")</f>
        <v/>
      </c>
      <c r="AS145">
        <f>HYPERLINK("https://creighton-primo.hosted.exlibrisgroup.com/primo-explore/search?tab=default_tab&amp;search_scope=EVERYTHING&amp;vid=01CRU&amp;lang=en_US&amp;offset=0&amp;query=any,contains,991001805909702656","Catalog Record")</f>
        <v/>
      </c>
      <c r="AT145">
        <f>HYPERLINK("http://www.worldcat.org/oclc/22706788","WorldCat Record")</f>
        <v/>
      </c>
      <c r="AU145" t="inlineStr">
        <is>
          <t>390700:eng</t>
        </is>
      </c>
      <c r="AV145" t="inlineStr">
        <is>
          <t>22706788</t>
        </is>
      </c>
      <c r="AW145" t="inlineStr">
        <is>
          <t>991001805909702656</t>
        </is>
      </c>
      <c r="AX145" t="inlineStr">
        <is>
          <t>991001805909702656</t>
        </is>
      </c>
      <c r="AY145" t="inlineStr">
        <is>
          <t>2259688690002656</t>
        </is>
      </c>
      <c r="AZ145" t="inlineStr">
        <is>
          <t>BOOK</t>
        </is>
      </c>
      <c r="BB145" t="inlineStr">
        <is>
          <t>9781850752677</t>
        </is>
      </c>
      <c r="BC145" t="inlineStr">
        <is>
          <t>32285000862887</t>
        </is>
      </c>
      <c r="BD145" t="inlineStr">
        <is>
          <t>893244436</t>
        </is>
      </c>
      <c r="BE145" t="inlineStr">
        <is>
          <t>S Brown</t>
        </is>
      </c>
    </row>
    <row r="146">
      <c r="A146" t="inlineStr">
        <is>
          <t>No</t>
        </is>
      </c>
      <c r="B146" t="inlineStr">
        <is>
          <t>BS2785.3 .D5 1976</t>
        </is>
      </c>
      <c r="C146" t="inlineStr">
        <is>
          <t>0                      BS 2785300D  5           1976</t>
        </is>
      </c>
      <c r="D146" t="inlineStr">
        <is>
          <t>James : a commentary on the Epistle of James / by Martin Dibelius ; rev. by Heinrich Greeven ; translated by Michael A. Williams ; edited by Helmut Koester.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Dibelius, Martin, 1883-1947.</t>
        </is>
      </c>
      <c r="L146" t="inlineStr">
        <is>
          <t>Philadelphia : Fortress Press, c1976.</t>
        </is>
      </c>
      <c r="M146" t="inlineStr">
        <is>
          <t>1976</t>
        </is>
      </c>
      <c r="O146" t="inlineStr">
        <is>
          <t>eng</t>
        </is>
      </c>
      <c r="P146" t="inlineStr">
        <is>
          <t>pau</t>
        </is>
      </c>
      <c r="Q146" t="inlineStr">
        <is>
          <t>Hermeneia</t>
        </is>
      </c>
      <c r="R146" t="inlineStr">
        <is>
          <t xml:space="preserve">BS </t>
        </is>
      </c>
      <c r="S146" t="n">
        <v>8</v>
      </c>
      <c r="T146" t="n">
        <v>8</v>
      </c>
      <c r="U146" t="inlineStr">
        <is>
          <t>2001-11-08</t>
        </is>
      </c>
      <c r="V146" t="inlineStr">
        <is>
          <t>2001-11-08</t>
        </is>
      </c>
      <c r="W146" t="inlineStr">
        <is>
          <t>1991-06-06</t>
        </is>
      </c>
      <c r="X146" t="inlineStr">
        <is>
          <t>1991-06-06</t>
        </is>
      </c>
      <c r="Y146" t="n">
        <v>814</v>
      </c>
      <c r="Z146" t="n">
        <v>667</v>
      </c>
      <c r="AA146" t="n">
        <v>839</v>
      </c>
      <c r="AB146" t="n">
        <v>5</v>
      </c>
      <c r="AC146" t="n">
        <v>5</v>
      </c>
      <c r="AD146" t="n">
        <v>37</v>
      </c>
      <c r="AE146" t="n">
        <v>42</v>
      </c>
      <c r="AF146" t="n">
        <v>14</v>
      </c>
      <c r="AG146" t="n">
        <v>18</v>
      </c>
      <c r="AH146" t="n">
        <v>7</v>
      </c>
      <c r="AI146" t="n">
        <v>9</v>
      </c>
      <c r="AJ146" t="n">
        <v>22</v>
      </c>
      <c r="AK146" t="n">
        <v>23</v>
      </c>
      <c r="AL146" t="n">
        <v>3</v>
      </c>
      <c r="AM146" t="n">
        <v>3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HYPERLINK("http://catalog.hathitrust.org/Record/000707012","HathiTrust Record")</f>
        <v/>
      </c>
      <c r="AS146">
        <f>HYPERLINK("https://creighton-primo.hosted.exlibrisgroup.com/primo-explore/search?tab=default_tab&amp;search_scope=EVERYTHING&amp;vid=01CRU&amp;lang=en_US&amp;offset=0&amp;query=any,contains,991004069559702656","Catalog Record")</f>
        <v/>
      </c>
      <c r="AT146">
        <f>HYPERLINK("http://www.worldcat.org/oclc/2296210","WorldCat Record")</f>
        <v/>
      </c>
      <c r="AU146" t="inlineStr">
        <is>
          <t>4494927160:eng</t>
        </is>
      </c>
      <c r="AV146" t="inlineStr">
        <is>
          <t>2296210</t>
        </is>
      </c>
      <c r="AW146" t="inlineStr">
        <is>
          <t>991004069559702656</t>
        </is>
      </c>
      <c r="AX146" t="inlineStr">
        <is>
          <t>991004069559702656</t>
        </is>
      </c>
      <c r="AY146" t="inlineStr">
        <is>
          <t>2264960250002656</t>
        </is>
      </c>
      <c r="AZ146" t="inlineStr">
        <is>
          <t>BOOK</t>
        </is>
      </c>
      <c r="BB146" t="inlineStr">
        <is>
          <t>9780800660062</t>
        </is>
      </c>
      <c r="BC146" t="inlineStr">
        <is>
          <t>32285000629286</t>
        </is>
      </c>
      <c r="BD146" t="inlineStr">
        <is>
          <t>893806604</t>
        </is>
      </c>
      <c r="BE146" t="inlineStr">
        <is>
          <t>S Brown</t>
        </is>
      </c>
    </row>
    <row r="147">
      <c r="A147" t="inlineStr">
        <is>
          <t>No</t>
        </is>
      </c>
      <c r="B147" t="inlineStr">
        <is>
          <t>BS2785.3 .K83</t>
        </is>
      </c>
      <c r="C147" t="inlineStr">
        <is>
          <t>0                      BS 2785300K  83</t>
        </is>
      </c>
      <c r="D147" t="inlineStr">
        <is>
          <t>James &amp; Jude / Richard Kugelman.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Kugelman, Richard.</t>
        </is>
      </c>
      <c r="L147" t="inlineStr">
        <is>
          <t>Wilmington, Del. : Michael Glazier, c1980.</t>
        </is>
      </c>
      <c r="M147" t="inlineStr">
        <is>
          <t>1980</t>
        </is>
      </c>
      <c r="O147" t="inlineStr">
        <is>
          <t>eng</t>
        </is>
      </c>
      <c r="P147" t="inlineStr">
        <is>
          <t>deu</t>
        </is>
      </c>
      <c r="Q147" t="inlineStr">
        <is>
          <t>New Testament message ; v. 19</t>
        </is>
      </c>
      <c r="R147" t="inlineStr">
        <is>
          <t xml:space="preserve">BS </t>
        </is>
      </c>
      <c r="S147" t="n">
        <v>7</v>
      </c>
      <c r="T147" t="n">
        <v>7</v>
      </c>
      <c r="U147" t="inlineStr">
        <is>
          <t>2004-11-05</t>
        </is>
      </c>
      <c r="V147" t="inlineStr">
        <is>
          <t>2004-11-05</t>
        </is>
      </c>
      <c r="W147" t="inlineStr">
        <is>
          <t>1991-06-06</t>
        </is>
      </c>
      <c r="X147" t="inlineStr">
        <is>
          <t>1991-06-06</t>
        </is>
      </c>
      <c r="Y147" t="n">
        <v>349</v>
      </c>
      <c r="Z147" t="n">
        <v>290</v>
      </c>
      <c r="AA147" t="n">
        <v>293</v>
      </c>
      <c r="AB147" t="n">
        <v>2</v>
      </c>
      <c r="AC147" t="n">
        <v>2</v>
      </c>
      <c r="AD147" t="n">
        <v>27</v>
      </c>
      <c r="AE147" t="n">
        <v>27</v>
      </c>
      <c r="AF147" t="n">
        <v>10</v>
      </c>
      <c r="AG147" t="n">
        <v>10</v>
      </c>
      <c r="AH147" t="n">
        <v>7</v>
      </c>
      <c r="AI147" t="n">
        <v>7</v>
      </c>
      <c r="AJ147" t="n">
        <v>20</v>
      </c>
      <c r="AK147" t="n">
        <v>20</v>
      </c>
      <c r="AL147" t="n">
        <v>0</v>
      </c>
      <c r="AM147" t="n">
        <v>0</v>
      </c>
      <c r="AN147" t="n">
        <v>0</v>
      </c>
      <c r="AO147" t="n">
        <v>0</v>
      </c>
      <c r="AP147" t="inlineStr">
        <is>
          <t>No</t>
        </is>
      </c>
      <c r="AQ147" t="inlineStr">
        <is>
          <t>No</t>
        </is>
      </c>
      <c r="AS147">
        <f>HYPERLINK("https://creighton-primo.hosted.exlibrisgroup.com/primo-explore/search?tab=default_tab&amp;search_scope=EVERYTHING&amp;vid=01CRU&amp;lang=en_US&amp;offset=0&amp;query=any,contains,991005052869702656","Catalog Record")</f>
        <v/>
      </c>
      <c r="AT147">
        <f>HYPERLINK("http://www.worldcat.org/oclc/6884174","WorldCat Record")</f>
        <v/>
      </c>
      <c r="AU147" t="inlineStr">
        <is>
          <t>551638:eng</t>
        </is>
      </c>
      <c r="AV147" t="inlineStr">
        <is>
          <t>6884174</t>
        </is>
      </c>
      <c r="AW147" t="inlineStr">
        <is>
          <t>991005052869702656</t>
        </is>
      </c>
      <c r="AX147" t="inlineStr">
        <is>
          <t>991005052869702656</t>
        </is>
      </c>
      <c r="AY147" t="inlineStr">
        <is>
          <t>2262811770002656</t>
        </is>
      </c>
      <c r="AZ147" t="inlineStr">
        <is>
          <t>BOOK</t>
        </is>
      </c>
      <c r="BB147" t="inlineStr">
        <is>
          <t>9780894531422</t>
        </is>
      </c>
      <c r="BC147" t="inlineStr">
        <is>
          <t>32285000629294</t>
        </is>
      </c>
      <c r="BD147" t="inlineStr">
        <is>
          <t>893594390</t>
        </is>
      </c>
      <c r="BE147" t="inlineStr">
        <is>
          <t>S Brown</t>
        </is>
      </c>
    </row>
    <row r="148">
      <c r="A148" t="inlineStr">
        <is>
          <t>No</t>
        </is>
      </c>
      <c r="B148" t="inlineStr">
        <is>
          <t>BS2785.3 .L38</t>
        </is>
      </c>
      <c r="C148" t="inlineStr">
        <is>
          <t>0                      BS 2785300L  38</t>
        </is>
      </c>
      <c r="D148" t="inlineStr">
        <is>
          <t>A commentary on the Epistle of James / Sophie Laws.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Laws, Sophie.</t>
        </is>
      </c>
      <c r="L148" t="inlineStr">
        <is>
          <t>San Francisco : Harper &amp; Row, c1980.</t>
        </is>
      </c>
      <c r="M148" t="inlineStr">
        <is>
          <t>1980</t>
        </is>
      </c>
      <c r="O148" t="inlineStr">
        <is>
          <t>eng</t>
        </is>
      </c>
      <c r="P148" t="inlineStr">
        <is>
          <t>cau</t>
        </is>
      </c>
      <c r="Q148" t="inlineStr">
        <is>
          <t>Harper's New Testament commentaries</t>
        </is>
      </c>
      <c r="R148" t="inlineStr">
        <is>
          <t xml:space="preserve">BS </t>
        </is>
      </c>
      <c r="S148" t="n">
        <v>2</v>
      </c>
      <c r="T148" t="n">
        <v>2</v>
      </c>
      <c r="U148" t="inlineStr">
        <is>
          <t>2001-11-08</t>
        </is>
      </c>
      <c r="V148" t="inlineStr">
        <is>
          <t>2001-11-08</t>
        </is>
      </c>
      <c r="W148" t="inlineStr">
        <is>
          <t>1991-06-06</t>
        </is>
      </c>
      <c r="X148" t="inlineStr">
        <is>
          <t>1991-06-06</t>
        </is>
      </c>
      <c r="Y148" t="n">
        <v>498</v>
      </c>
      <c r="Z148" t="n">
        <v>467</v>
      </c>
      <c r="AA148" t="n">
        <v>526</v>
      </c>
      <c r="AB148" t="n">
        <v>5</v>
      </c>
      <c r="AC148" t="n">
        <v>6</v>
      </c>
      <c r="AD148" t="n">
        <v>28</v>
      </c>
      <c r="AE148" t="n">
        <v>33</v>
      </c>
      <c r="AF148" t="n">
        <v>11</v>
      </c>
      <c r="AG148" t="n">
        <v>14</v>
      </c>
      <c r="AH148" t="n">
        <v>6</v>
      </c>
      <c r="AI148" t="n">
        <v>6</v>
      </c>
      <c r="AJ148" t="n">
        <v>16</v>
      </c>
      <c r="AK148" t="n">
        <v>19</v>
      </c>
      <c r="AL148" t="n">
        <v>2</v>
      </c>
      <c r="AM148" t="n">
        <v>3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HYPERLINK("http://catalog.hathitrust.org/Record/000098446","HathiTrust Record")</f>
        <v/>
      </c>
      <c r="AS148">
        <f>HYPERLINK("https://creighton-primo.hosted.exlibrisgroup.com/primo-explore/search?tab=default_tab&amp;search_scope=EVERYTHING&amp;vid=01CRU&amp;lang=en_US&amp;offset=0&amp;query=any,contains,991005037339702656","Catalog Record")</f>
        <v/>
      </c>
      <c r="AT148">
        <f>HYPERLINK("http://www.worldcat.org/oclc/6762577","WorldCat Record")</f>
        <v/>
      </c>
      <c r="AU148" t="inlineStr">
        <is>
          <t>403787:eng</t>
        </is>
      </c>
      <c r="AV148" t="inlineStr">
        <is>
          <t>6762577</t>
        </is>
      </c>
      <c r="AW148" t="inlineStr">
        <is>
          <t>991005037339702656</t>
        </is>
      </c>
      <c r="AX148" t="inlineStr">
        <is>
          <t>991005037339702656</t>
        </is>
      </c>
      <c r="AY148" t="inlineStr">
        <is>
          <t>2262879450002656</t>
        </is>
      </c>
      <c r="AZ148" t="inlineStr">
        <is>
          <t>BOOK</t>
        </is>
      </c>
      <c r="BB148" t="inlineStr">
        <is>
          <t>9780060649180</t>
        </is>
      </c>
      <c r="BC148" t="inlineStr">
        <is>
          <t>32285000629302</t>
        </is>
      </c>
      <c r="BD148" t="inlineStr">
        <is>
          <t>893628483</t>
        </is>
      </c>
      <c r="BE148" t="inlineStr">
        <is>
          <t>S Brown</t>
        </is>
      </c>
    </row>
    <row r="149">
      <c r="A149" t="inlineStr">
        <is>
          <t>No</t>
        </is>
      </c>
      <c r="B149" t="inlineStr">
        <is>
          <t>BS2785.3 .M3 1977</t>
        </is>
      </c>
      <c r="C149" t="inlineStr">
        <is>
          <t>0                      BS 2785300M  3           1977</t>
        </is>
      </c>
      <c r="D149" t="inlineStr">
        <is>
          <t>The Epistle of St. James : the Greek text with introduction, notes, comments, and Further studies in the Epistle of St. James / by James B. Mayor. -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Bible. James. Greek. 1913.</t>
        </is>
      </c>
      <c r="L149" t="inlineStr">
        <is>
          <t>Minneapolis, Minn. : Klock &amp; Klock Christian Publishers, 1977, 1913.</t>
        </is>
      </c>
      <c r="M149" t="inlineStr">
        <is>
          <t>1977</t>
        </is>
      </c>
      <c r="N149" t="inlineStr">
        <is>
          <t>3rd ed. -</t>
        </is>
      </c>
      <c r="O149" t="inlineStr">
        <is>
          <t>eng</t>
        </is>
      </c>
      <c r="P149" t="inlineStr">
        <is>
          <t>mnu</t>
        </is>
      </c>
      <c r="R149" t="inlineStr">
        <is>
          <t xml:space="preserve">BS </t>
        </is>
      </c>
      <c r="S149" t="n">
        <v>6</v>
      </c>
      <c r="T149" t="n">
        <v>6</v>
      </c>
      <c r="U149" t="inlineStr">
        <is>
          <t>2001-11-08</t>
        </is>
      </c>
      <c r="V149" t="inlineStr">
        <is>
          <t>2001-11-08</t>
        </is>
      </c>
      <c r="W149" t="inlineStr">
        <is>
          <t>1991-06-06</t>
        </is>
      </c>
      <c r="X149" t="inlineStr">
        <is>
          <t>1991-06-06</t>
        </is>
      </c>
      <c r="Y149" t="n">
        <v>43</v>
      </c>
      <c r="Z149" t="n">
        <v>41</v>
      </c>
      <c r="AA149" t="n">
        <v>239</v>
      </c>
      <c r="AB149" t="n">
        <v>1</v>
      </c>
      <c r="AC149" t="n">
        <v>3</v>
      </c>
      <c r="AD149" t="n">
        <v>0</v>
      </c>
      <c r="AE149" t="n">
        <v>10</v>
      </c>
      <c r="AF149" t="n">
        <v>0</v>
      </c>
      <c r="AG149" t="n">
        <v>6</v>
      </c>
      <c r="AH149" t="n">
        <v>0</v>
      </c>
      <c r="AI149" t="n">
        <v>2</v>
      </c>
      <c r="AJ149" t="n">
        <v>0</v>
      </c>
      <c r="AK149" t="n">
        <v>3</v>
      </c>
      <c r="AL149" t="n">
        <v>0</v>
      </c>
      <c r="AM149" t="n">
        <v>1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HYPERLINK("https://creighton-primo.hosted.exlibrisgroup.com/primo-explore/search?tab=default_tab&amp;search_scope=EVERYTHING&amp;vid=01CRU&amp;lang=en_US&amp;offset=0&amp;query=any,contains,991004501919702656","Catalog Record")</f>
        <v/>
      </c>
      <c r="AT149">
        <f>HYPERLINK("http://www.worldcat.org/oclc/3724511","WorldCat Record")</f>
        <v/>
      </c>
      <c r="AU149" t="inlineStr">
        <is>
          <t>4916072764:eng</t>
        </is>
      </c>
      <c r="AV149" t="inlineStr">
        <is>
          <t>3724511</t>
        </is>
      </c>
      <c r="AW149" t="inlineStr">
        <is>
          <t>991004501919702656</t>
        </is>
      </c>
      <c r="AX149" t="inlineStr">
        <is>
          <t>991004501919702656</t>
        </is>
      </c>
      <c r="AY149" t="inlineStr">
        <is>
          <t>2258229350002656</t>
        </is>
      </c>
      <c r="AZ149" t="inlineStr">
        <is>
          <t>BOOK</t>
        </is>
      </c>
      <c r="BC149" t="inlineStr">
        <is>
          <t>32285000629310</t>
        </is>
      </c>
      <c r="BD149" t="inlineStr">
        <is>
          <t>893235578</t>
        </is>
      </c>
      <c r="BE149" t="inlineStr">
        <is>
          <t>S Brown</t>
        </is>
      </c>
    </row>
    <row r="150">
      <c r="A150" t="inlineStr">
        <is>
          <t>No</t>
        </is>
      </c>
      <c r="B150" t="inlineStr">
        <is>
          <t>BS2785.3 .M5 1966a</t>
        </is>
      </c>
      <c r="C150" t="inlineStr">
        <is>
          <t>0                      BS 2785300M  5           1966a</t>
        </is>
      </c>
      <c r="D150" t="inlineStr">
        <is>
          <t>The Epistle of James; [a commentary, by] C. Leslie Mitton.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Mitton, C. Leslie.</t>
        </is>
      </c>
      <c r="L150" t="inlineStr">
        <is>
          <t>Grand Rapids, Eerdmans [1966]</t>
        </is>
      </c>
      <c r="M150" t="inlineStr">
        <is>
          <t>1966</t>
        </is>
      </c>
      <c r="O150" t="inlineStr">
        <is>
          <t>eng</t>
        </is>
      </c>
      <c r="P150" t="inlineStr">
        <is>
          <t>miu</t>
        </is>
      </c>
      <c r="R150" t="inlineStr">
        <is>
          <t xml:space="preserve">BS </t>
        </is>
      </c>
      <c r="S150" t="n">
        <v>5</v>
      </c>
      <c r="T150" t="n">
        <v>5</v>
      </c>
      <c r="U150" t="inlineStr">
        <is>
          <t>2001-11-08</t>
        </is>
      </c>
      <c r="V150" t="inlineStr">
        <is>
          <t>2001-11-08</t>
        </is>
      </c>
      <c r="W150" t="inlineStr">
        <is>
          <t>1991-06-06</t>
        </is>
      </c>
      <c r="X150" t="inlineStr">
        <is>
          <t>1991-06-06</t>
        </is>
      </c>
      <c r="Y150" t="n">
        <v>185</v>
      </c>
      <c r="Z150" t="n">
        <v>168</v>
      </c>
      <c r="AA150" t="n">
        <v>248</v>
      </c>
      <c r="AB150" t="n">
        <v>3</v>
      </c>
      <c r="AC150" t="n">
        <v>3</v>
      </c>
      <c r="AD150" t="n">
        <v>9</v>
      </c>
      <c r="AE150" t="n">
        <v>13</v>
      </c>
      <c r="AF150" t="n">
        <v>4</v>
      </c>
      <c r="AG150" t="n">
        <v>4</v>
      </c>
      <c r="AH150" t="n">
        <v>0</v>
      </c>
      <c r="AI150" t="n">
        <v>2</v>
      </c>
      <c r="AJ150" t="n">
        <v>3</v>
      </c>
      <c r="AK150" t="n">
        <v>6</v>
      </c>
      <c r="AL150" t="n">
        <v>2</v>
      </c>
      <c r="AM150" t="n">
        <v>2</v>
      </c>
      <c r="AN150" t="n">
        <v>0</v>
      </c>
      <c r="AO150" t="n">
        <v>0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HYPERLINK("https://creighton-primo.hosted.exlibrisgroup.com/primo-explore/search?tab=default_tab&amp;search_scope=EVERYTHING&amp;vid=01CRU&amp;lang=en_US&amp;offset=0&amp;query=any,contains,991004215679702656","Catalog Record")</f>
        <v/>
      </c>
      <c r="AT150">
        <f>HYPERLINK("http://www.worldcat.org/oclc/635837","WorldCat Record")</f>
        <v/>
      </c>
      <c r="AU150" t="inlineStr">
        <is>
          <t>2635269:eng</t>
        </is>
      </c>
      <c r="AV150" t="inlineStr">
        <is>
          <t>635837</t>
        </is>
      </c>
      <c r="AW150" t="inlineStr">
        <is>
          <t>991004215679702656</t>
        </is>
      </c>
      <c r="AX150" t="inlineStr">
        <is>
          <t>991004215679702656</t>
        </is>
      </c>
      <c r="AY150" t="inlineStr">
        <is>
          <t>2264817400002656</t>
        </is>
      </c>
      <c r="AZ150" t="inlineStr">
        <is>
          <t>BOOK</t>
        </is>
      </c>
      <c r="BC150" t="inlineStr">
        <is>
          <t>32285000629328</t>
        </is>
      </c>
      <c r="BD150" t="inlineStr">
        <is>
          <t>893235208</t>
        </is>
      </c>
      <c r="BE150" t="inlineStr">
        <is>
          <t>S Brown</t>
        </is>
      </c>
    </row>
    <row r="151">
      <c r="A151" t="inlineStr">
        <is>
          <t>No</t>
        </is>
      </c>
      <c r="B151" t="inlineStr">
        <is>
          <t>BS2785.3 .S5 1967</t>
        </is>
      </c>
      <c r="C151" t="inlineStr">
        <is>
          <t>0                      BS 2785300S  5           1967</t>
        </is>
      </c>
      <c r="D151" t="inlineStr">
        <is>
          <t>James, Jude and 2 Peter ( based on the Revised Standard Version ); edited by E.M. Sidebottom.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Bible. James. English. Revised Standard. 1967.</t>
        </is>
      </c>
      <c r="L151" t="inlineStr">
        <is>
          <t>London, Nelson, 1967.</t>
        </is>
      </c>
      <c r="M151" t="inlineStr">
        <is>
          <t>1967</t>
        </is>
      </c>
      <c r="O151" t="inlineStr">
        <is>
          <t>eng</t>
        </is>
      </c>
      <c r="P151" t="inlineStr">
        <is>
          <t>___</t>
        </is>
      </c>
      <c r="Q151" t="inlineStr">
        <is>
          <t>Century Bible. New ed.</t>
        </is>
      </c>
      <c r="R151" t="inlineStr">
        <is>
          <t xml:space="preserve">BS </t>
        </is>
      </c>
      <c r="S151" t="n">
        <v>7</v>
      </c>
      <c r="T151" t="n">
        <v>7</v>
      </c>
      <c r="U151" t="inlineStr">
        <is>
          <t>1996-12-06</t>
        </is>
      </c>
      <c r="V151" t="inlineStr">
        <is>
          <t>1996-12-06</t>
        </is>
      </c>
      <c r="W151" t="inlineStr">
        <is>
          <t>1991-06-06</t>
        </is>
      </c>
      <c r="X151" t="inlineStr">
        <is>
          <t>1991-06-06</t>
        </is>
      </c>
      <c r="Y151" t="n">
        <v>241</v>
      </c>
      <c r="Z151" t="n">
        <v>173</v>
      </c>
      <c r="AA151" t="n">
        <v>173</v>
      </c>
      <c r="AB151" t="n">
        <v>1</v>
      </c>
      <c r="AC151" t="n">
        <v>1</v>
      </c>
      <c r="AD151" t="n">
        <v>11</v>
      </c>
      <c r="AE151" t="n">
        <v>11</v>
      </c>
      <c r="AF151" t="n">
        <v>3</v>
      </c>
      <c r="AG151" t="n">
        <v>3</v>
      </c>
      <c r="AH151" t="n">
        <v>4</v>
      </c>
      <c r="AI151" t="n">
        <v>4</v>
      </c>
      <c r="AJ151" t="n">
        <v>8</v>
      </c>
      <c r="AK151" t="n">
        <v>8</v>
      </c>
      <c r="AL151" t="n">
        <v>0</v>
      </c>
      <c r="AM151" t="n">
        <v>0</v>
      </c>
      <c r="AN151" t="n">
        <v>0</v>
      </c>
      <c r="AO151" t="n">
        <v>0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HYPERLINK("https://creighton-primo.hosted.exlibrisgroup.com/primo-explore/search?tab=default_tab&amp;search_scope=EVERYTHING&amp;vid=01CRU&amp;lang=en_US&amp;offset=0&amp;query=any,contains,991002441769702656","Catalog Record")</f>
        <v/>
      </c>
      <c r="AT151">
        <f>HYPERLINK("http://www.worldcat.org/oclc/350347","WorldCat Record")</f>
        <v/>
      </c>
      <c r="AU151" t="inlineStr">
        <is>
          <t>10792690620:eng</t>
        </is>
      </c>
      <c r="AV151" t="inlineStr">
        <is>
          <t>350347</t>
        </is>
      </c>
      <c r="AW151" t="inlineStr">
        <is>
          <t>991002441769702656</t>
        </is>
      </c>
      <c r="AX151" t="inlineStr">
        <is>
          <t>991002441769702656</t>
        </is>
      </c>
      <c r="AY151" t="inlineStr">
        <is>
          <t>2268749900002656</t>
        </is>
      </c>
      <c r="AZ151" t="inlineStr">
        <is>
          <t>BOOK</t>
        </is>
      </c>
      <c r="BC151" t="inlineStr">
        <is>
          <t>32285000629336</t>
        </is>
      </c>
      <c r="BD151" t="inlineStr">
        <is>
          <t>893867218</t>
        </is>
      </c>
      <c r="BE151" t="inlineStr">
        <is>
          <t>S Brown</t>
        </is>
      </c>
    </row>
    <row r="152">
      <c r="A152" t="inlineStr">
        <is>
          <t>No</t>
        </is>
      </c>
      <c r="B152" t="inlineStr">
        <is>
          <t>BS2785.3 .S55 1998</t>
        </is>
      </c>
      <c r="C152" t="inlineStr">
        <is>
          <t>0                      BS 2785300S  55          1998</t>
        </is>
      </c>
      <c r="D152" t="inlineStr">
        <is>
          <t>James / C. Freeman Sleeper.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Sleeper, C. Freeman (Charles Freeman)</t>
        </is>
      </c>
      <c r="L152" t="inlineStr">
        <is>
          <t>Nashville, TN : Abingdon Press, c1998.</t>
        </is>
      </c>
      <c r="M152" t="inlineStr">
        <is>
          <t>1998</t>
        </is>
      </c>
      <c r="O152" t="inlineStr">
        <is>
          <t>eng</t>
        </is>
      </c>
      <c r="P152" t="inlineStr">
        <is>
          <t>tnu</t>
        </is>
      </c>
      <c r="Q152" t="inlineStr">
        <is>
          <t>Abingdon New Testament commentaries</t>
        </is>
      </c>
      <c r="R152" t="inlineStr">
        <is>
          <t xml:space="preserve">BS </t>
        </is>
      </c>
      <c r="S152" t="n">
        <v>7</v>
      </c>
      <c r="T152" t="n">
        <v>7</v>
      </c>
      <c r="U152" t="inlineStr">
        <is>
          <t>2004-11-05</t>
        </is>
      </c>
      <c r="V152" t="inlineStr">
        <is>
          <t>2004-11-05</t>
        </is>
      </c>
      <c r="W152" t="inlineStr">
        <is>
          <t>1999-01-25</t>
        </is>
      </c>
      <c r="X152" t="inlineStr">
        <is>
          <t>1999-01-25</t>
        </is>
      </c>
      <c r="Y152" t="n">
        <v>312</v>
      </c>
      <c r="Z152" t="n">
        <v>264</v>
      </c>
      <c r="AA152" t="n">
        <v>288</v>
      </c>
      <c r="AB152" t="n">
        <v>5</v>
      </c>
      <c r="AC152" t="n">
        <v>6</v>
      </c>
      <c r="AD152" t="n">
        <v>17</v>
      </c>
      <c r="AE152" t="n">
        <v>19</v>
      </c>
      <c r="AF152" t="n">
        <v>5</v>
      </c>
      <c r="AG152" t="n">
        <v>5</v>
      </c>
      <c r="AH152" t="n">
        <v>3</v>
      </c>
      <c r="AI152" t="n">
        <v>3</v>
      </c>
      <c r="AJ152" t="n">
        <v>8</v>
      </c>
      <c r="AK152" t="n">
        <v>8</v>
      </c>
      <c r="AL152" t="n">
        <v>3</v>
      </c>
      <c r="AM152" t="n">
        <v>4</v>
      </c>
      <c r="AN152" t="n">
        <v>0</v>
      </c>
      <c r="AO152" t="n">
        <v>1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HYPERLINK("https://creighton-primo.hosted.exlibrisgroup.com/primo-explore/search?tab=default_tab&amp;search_scope=EVERYTHING&amp;vid=01CRU&amp;lang=en_US&amp;offset=0&amp;query=any,contains,991002973539702656","Catalog Record")</f>
        <v/>
      </c>
      <c r="AT152">
        <f>HYPERLINK("http://www.worldcat.org/oclc/39849575","WorldCat Record")</f>
        <v/>
      </c>
      <c r="AU152" t="inlineStr">
        <is>
          <t>14461086:eng</t>
        </is>
      </c>
      <c r="AV152" t="inlineStr">
        <is>
          <t>39849575</t>
        </is>
      </c>
      <c r="AW152" t="inlineStr">
        <is>
          <t>991002973539702656</t>
        </is>
      </c>
      <c r="AX152" t="inlineStr">
        <is>
          <t>991002973539702656</t>
        </is>
      </c>
      <c r="AY152" t="inlineStr">
        <is>
          <t>2271440160002656</t>
        </is>
      </c>
      <c r="AZ152" t="inlineStr">
        <is>
          <t>BOOK</t>
        </is>
      </c>
      <c r="BB152" t="inlineStr">
        <is>
          <t>9780687058167</t>
        </is>
      </c>
      <c r="BC152" t="inlineStr">
        <is>
          <t>32285003515896</t>
        </is>
      </c>
      <c r="BD152" t="inlineStr">
        <is>
          <t>893505050</t>
        </is>
      </c>
      <c r="BE152" t="inlineStr">
        <is>
          <t>S Brown</t>
        </is>
      </c>
    </row>
    <row r="153">
      <c r="A153" t="inlineStr">
        <is>
          <t>No</t>
        </is>
      </c>
      <c r="B153" t="inlineStr">
        <is>
          <t>BS2795.2 .E42</t>
        </is>
      </c>
      <c r="C153" t="inlineStr">
        <is>
          <t>0                      BS 2795200E  42</t>
        </is>
      </c>
      <c r="D153" t="inlineStr">
        <is>
          <t>A home for the homeless : a sociological exegesis of 1 Peter, its situation and strategy / John H. Elliott.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Elliott, John Hall.</t>
        </is>
      </c>
      <c r="L153" t="inlineStr">
        <is>
          <t>Philadelphia : Fortress Press, c1981.</t>
        </is>
      </c>
      <c r="M153" t="inlineStr">
        <is>
          <t>1981</t>
        </is>
      </c>
      <c r="O153" t="inlineStr">
        <is>
          <t>eng</t>
        </is>
      </c>
      <c r="P153" t="inlineStr">
        <is>
          <t>pau</t>
        </is>
      </c>
      <c r="R153" t="inlineStr">
        <is>
          <t xml:space="preserve">BS </t>
        </is>
      </c>
      <c r="S153" t="n">
        <v>6</v>
      </c>
      <c r="T153" t="n">
        <v>6</v>
      </c>
      <c r="U153" t="inlineStr">
        <is>
          <t>1994-10-17</t>
        </is>
      </c>
      <c r="V153" t="inlineStr">
        <is>
          <t>1994-10-17</t>
        </is>
      </c>
      <c r="W153" t="inlineStr">
        <is>
          <t>1991-06-06</t>
        </is>
      </c>
      <c r="X153" t="inlineStr">
        <is>
          <t>1991-06-06</t>
        </is>
      </c>
      <c r="Y153" t="n">
        <v>428</v>
      </c>
      <c r="Z153" t="n">
        <v>356</v>
      </c>
      <c r="AA153" t="n">
        <v>369</v>
      </c>
      <c r="AB153" t="n">
        <v>2</v>
      </c>
      <c r="AC153" t="n">
        <v>2</v>
      </c>
      <c r="AD153" t="n">
        <v>29</v>
      </c>
      <c r="AE153" t="n">
        <v>29</v>
      </c>
      <c r="AF153" t="n">
        <v>10</v>
      </c>
      <c r="AG153" t="n">
        <v>10</v>
      </c>
      <c r="AH153" t="n">
        <v>6</v>
      </c>
      <c r="AI153" t="n">
        <v>6</v>
      </c>
      <c r="AJ153" t="n">
        <v>20</v>
      </c>
      <c r="AK153" t="n">
        <v>20</v>
      </c>
      <c r="AL153" t="n">
        <v>1</v>
      </c>
      <c r="AM153" t="n">
        <v>1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HYPERLINK("http://catalog.hathitrust.org/Record/000184678","HathiTrust Record")</f>
        <v/>
      </c>
      <c r="AS153">
        <f>HYPERLINK("https://creighton-primo.hosted.exlibrisgroup.com/primo-explore/search?tab=default_tab&amp;search_scope=EVERYTHING&amp;vid=01CRU&amp;lang=en_US&amp;offset=0&amp;query=any,contains,991005087539702656","Catalog Record")</f>
        <v/>
      </c>
      <c r="AT153">
        <f>HYPERLINK("http://www.worldcat.org/oclc/7197405","WorldCat Record")</f>
        <v/>
      </c>
      <c r="AU153" t="inlineStr">
        <is>
          <t>370165757:eng</t>
        </is>
      </c>
      <c r="AV153" t="inlineStr">
        <is>
          <t>7197405</t>
        </is>
      </c>
      <c r="AW153" t="inlineStr">
        <is>
          <t>991005087539702656</t>
        </is>
      </c>
      <c r="AX153" t="inlineStr">
        <is>
          <t>991005087539702656</t>
        </is>
      </c>
      <c r="AY153" t="inlineStr">
        <is>
          <t>2256787540002656</t>
        </is>
      </c>
      <c r="AZ153" t="inlineStr">
        <is>
          <t>BOOK</t>
        </is>
      </c>
      <c r="BB153" t="inlineStr">
        <is>
          <t>9780800606596</t>
        </is>
      </c>
      <c r="BC153" t="inlineStr">
        <is>
          <t>32285000629351</t>
        </is>
      </c>
      <c r="BD153" t="inlineStr">
        <is>
          <t>893326134</t>
        </is>
      </c>
      <c r="BE153" t="inlineStr">
        <is>
          <t>S Brown</t>
        </is>
      </c>
    </row>
    <row r="154">
      <c r="A154" t="inlineStr">
        <is>
          <t>No</t>
        </is>
      </c>
      <c r="B154" t="inlineStr">
        <is>
          <t>BS2795.2 .E43</t>
        </is>
      </c>
      <c r="C154" t="inlineStr">
        <is>
          <t>0                      BS 2795200E  43</t>
        </is>
      </c>
      <c r="D154" t="inlineStr">
        <is>
          <t>1 Peter estrangement and community / by John H. Elliott.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Elliott, John Hall.</t>
        </is>
      </c>
      <c r="L154" t="inlineStr">
        <is>
          <t>Chicago : Franciscan Herald Press, c1979.</t>
        </is>
      </c>
      <c r="M154" t="inlineStr">
        <is>
          <t>1979</t>
        </is>
      </c>
      <c r="O154" t="inlineStr">
        <is>
          <t>eng</t>
        </is>
      </c>
      <c r="P154" t="inlineStr">
        <is>
          <t>ilu</t>
        </is>
      </c>
      <c r="Q154" t="inlineStr">
        <is>
          <t>Herald Biblical booklets</t>
        </is>
      </c>
      <c r="R154" t="inlineStr">
        <is>
          <t xml:space="preserve">BS </t>
        </is>
      </c>
      <c r="S154" t="n">
        <v>2</v>
      </c>
      <c r="T154" t="n">
        <v>2</v>
      </c>
      <c r="U154" t="inlineStr">
        <is>
          <t>1998-02-03</t>
        </is>
      </c>
      <c r="V154" t="inlineStr">
        <is>
          <t>1998-02-03</t>
        </is>
      </c>
      <c r="W154" t="inlineStr">
        <is>
          <t>1991-06-06</t>
        </is>
      </c>
      <c r="X154" t="inlineStr">
        <is>
          <t>1991-06-06</t>
        </is>
      </c>
      <c r="Y154" t="n">
        <v>44</v>
      </c>
      <c r="Z154" t="n">
        <v>38</v>
      </c>
      <c r="AA154" t="n">
        <v>38</v>
      </c>
      <c r="AB154" t="n">
        <v>1</v>
      </c>
      <c r="AC154" t="n">
        <v>1</v>
      </c>
      <c r="AD154" t="n">
        <v>4</v>
      </c>
      <c r="AE154" t="n">
        <v>4</v>
      </c>
      <c r="AF154" t="n">
        <v>0</v>
      </c>
      <c r="AG154" t="n">
        <v>0</v>
      </c>
      <c r="AH154" t="n">
        <v>1</v>
      </c>
      <c r="AI154" t="n">
        <v>1</v>
      </c>
      <c r="AJ154" t="n">
        <v>4</v>
      </c>
      <c r="AK154" t="n">
        <v>4</v>
      </c>
      <c r="AL154" t="n">
        <v>0</v>
      </c>
      <c r="AM154" t="n">
        <v>0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HYPERLINK("https://creighton-primo.hosted.exlibrisgroup.com/primo-explore/search?tab=default_tab&amp;search_scope=EVERYTHING&amp;vid=01CRU&amp;lang=en_US&amp;offset=0&amp;query=any,contains,991004606919702656","Catalog Record")</f>
        <v/>
      </c>
      <c r="AT154">
        <f>HYPERLINK("http://www.worldcat.org/oclc/4195070","WorldCat Record")</f>
        <v/>
      </c>
      <c r="AU154" t="inlineStr">
        <is>
          <t>14613041:eng</t>
        </is>
      </c>
      <c r="AV154" t="inlineStr">
        <is>
          <t>4195070</t>
        </is>
      </c>
      <c r="AW154" t="inlineStr">
        <is>
          <t>991004606919702656</t>
        </is>
      </c>
      <c r="AX154" t="inlineStr">
        <is>
          <t>991004606919702656</t>
        </is>
      </c>
      <c r="AY154" t="inlineStr">
        <is>
          <t>2261117680002656</t>
        </is>
      </c>
      <c r="AZ154" t="inlineStr">
        <is>
          <t>BOOK</t>
        </is>
      </c>
      <c r="BB154" t="inlineStr">
        <is>
          <t>9780819907288</t>
        </is>
      </c>
      <c r="BC154" t="inlineStr">
        <is>
          <t>32285000629369</t>
        </is>
      </c>
      <c r="BD154" t="inlineStr">
        <is>
          <t>893706616</t>
        </is>
      </c>
      <c r="BE154" t="inlineStr">
        <is>
          <t>S Brown</t>
        </is>
      </c>
    </row>
    <row r="155">
      <c r="A155" t="inlineStr">
        <is>
          <t>No</t>
        </is>
      </c>
      <c r="B155" t="inlineStr">
        <is>
          <t>BS2795.3 .B4 1970</t>
        </is>
      </c>
      <c r="C155" t="inlineStr">
        <is>
          <t>0                      BS 2795300B  4           1970</t>
        </is>
      </c>
      <c r="D155" t="inlineStr">
        <is>
          <t>The First Epistle of Peter. The Greek text with introduction and notes, edited by Francis Wright Beare.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Beare, Francis Wright, 1902-1986.</t>
        </is>
      </c>
      <c r="L155" t="inlineStr">
        <is>
          <t>Oxford [Eng.] B. Blackwell, 1970.</t>
        </is>
      </c>
      <c r="M155" t="inlineStr">
        <is>
          <t>1970</t>
        </is>
      </c>
      <c r="N155" t="inlineStr">
        <is>
          <t>3d ed., rev. and enl.</t>
        </is>
      </c>
      <c r="O155" t="inlineStr">
        <is>
          <t>eng</t>
        </is>
      </c>
      <c r="P155" t="inlineStr">
        <is>
          <t>enk</t>
        </is>
      </c>
      <c r="R155" t="inlineStr">
        <is>
          <t xml:space="preserve">BS </t>
        </is>
      </c>
      <c r="S155" t="n">
        <v>3</v>
      </c>
      <c r="T155" t="n">
        <v>3</v>
      </c>
      <c r="U155" t="inlineStr">
        <is>
          <t>1994-11-21</t>
        </is>
      </c>
      <c r="V155" t="inlineStr">
        <is>
          <t>1994-11-21</t>
        </is>
      </c>
      <c r="W155" t="inlineStr">
        <is>
          <t>1991-06-06</t>
        </is>
      </c>
      <c r="X155" t="inlineStr">
        <is>
          <t>1991-06-06</t>
        </is>
      </c>
      <c r="Y155" t="n">
        <v>225</v>
      </c>
      <c r="Z155" t="n">
        <v>169</v>
      </c>
      <c r="AA155" t="n">
        <v>270</v>
      </c>
      <c r="AB155" t="n">
        <v>2</v>
      </c>
      <c r="AC155" t="n">
        <v>3</v>
      </c>
      <c r="AD155" t="n">
        <v>15</v>
      </c>
      <c r="AE155" t="n">
        <v>22</v>
      </c>
      <c r="AF155" t="n">
        <v>4</v>
      </c>
      <c r="AG155" t="n">
        <v>7</v>
      </c>
      <c r="AH155" t="n">
        <v>2</v>
      </c>
      <c r="AI155" t="n">
        <v>3</v>
      </c>
      <c r="AJ155" t="n">
        <v>10</v>
      </c>
      <c r="AK155" t="n">
        <v>13</v>
      </c>
      <c r="AL155" t="n">
        <v>1</v>
      </c>
      <c r="AM155" t="n">
        <v>2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HYPERLINK("https://creighton-primo.hosted.exlibrisgroup.com/primo-explore/search?tab=default_tab&amp;search_scope=EVERYTHING&amp;vid=01CRU&amp;lang=en_US&amp;offset=0&amp;query=any,contains,991000565199702656","Catalog Record")</f>
        <v/>
      </c>
      <c r="AT155">
        <f>HYPERLINK("http://www.worldcat.org/oclc/94010","WorldCat Record")</f>
        <v/>
      </c>
      <c r="AU155" t="inlineStr">
        <is>
          <t>3768455707:eng</t>
        </is>
      </c>
      <c r="AV155" t="inlineStr">
        <is>
          <t>94010</t>
        </is>
      </c>
      <c r="AW155" t="inlineStr">
        <is>
          <t>991000565199702656</t>
        </is>
      </c>
      <c r="AX155" t="inlineStr">
        <is>
          <t>991000565199702656</t>
        </is>
      </c>
      <c r="AY155" t="inlineStr">
        <is>
          <t>2265890260002656</t>
        </is>
      </c>
      <c r="AZ155" t="inlineStr">
        <is>
          <t>BOOK</t>
        </is>
      </c>
      <c r="BB155" t="inlineStr">
        <is>
          <t>9780631120803</t>
        </is>
      </c>
      <c r="BC155" t="inlineStr">
        <is>
          <t>32285000629385</t>
        </is>
      </c>
      <c r="BD155" t="inlineStr">
        <is>
          <t>893890815</t>
        </is>
      </c>
      <c r="BE155" t="inlineStr">
        <is>
          <t>S Brown</t>
        </is>
      </c>
    </row>
    <row r="156">
      <c r="A156" t="inlineStr">
        <is>
          <t>No</t>
        </is>
      </c>
      <c r="B156" t="inlineStr">
        <is>
          <t>BS2795.3 .G7 1968</t>
        </is>
      </c>
      <c r="C156" t="inlineStr">
        <is>
          <t>0                      BS 2795300G  7           1968</t>
        </is>
      </c>
      <c r="D156" t="inlineStr">
        <is>
          <t>The second epistle general of Peter, and the general epistle of Jude; an introduction and commentary, by Michael Green.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Green, Michael, 1930-</t>
        </is>
      </c>
      <c r="L156" t="inlineStr">
        <is>
          <t>Grand Rapids, Eerdmans [1968]</t>
        </is>
      </c>
      <c r="M156" t="inlineStr">
        <is>
          <t>1968</t>
        </is>
      </c>
      <c r="N156" t="inlineStr">
        <is>
          <t>[1st ed.]</t>
        </is>
      </c>
      <c r="O156" t="inlineStr">
        <is>
          <t>eng</t>
        </is>
      </c>
      <c r="P156" t="inlineStr">
        <is>
          <t>miu</t>
        </is>
      </c>
      <c r="Q156" t="inlineStr">
        <is>
          <t>The Tyndale New Testament commentaries [v. 18]</t>
        </is>
      </c>
      <c r="R156" t="inlineStr">
        <is>
          <t xml:space="preserve">BS </t>
        </is>
      </c>
      <c r="S156" t="n">
        <v>2</v>
      </c>
      <c r="T156" t="n">
        <v>2</v>
      </c>
      <c r="U156" t="inlineStr">
        <is>
          <t>1992-10-22</t>
        </is>
      </c>
      <c r="V156" t="inlineStr">
        <is>
          <t>1992-10-22</t>
        </is>
      </c>
      <c r="W156" t="inlineStr">
        <is>
          <t>1991-06-06</t>
        </is>
      </c>
      <c r="X156" t="inlineStr">
        <is>
          <t>1991-06-06</t>
        </is>
      </c>
      <c r="Y156" t="n">
        <v>340</v>
      </c>
      <c r="Z156" t="n">
        <v>302</v>
      </c>
      <c r="AA156" t="n">
        <v>372</v>
      </c>
      <c r="AB156" t="n">
        <v>3</v>
      </c>
      <c r="AC156" t="n">
        <v>3</v>
      </c>
      <c r="AD156" t="n">
        <v>11</v>
      </c>
      <c r="AE156" t="n">
        <v>14</v>
      </c>
      <c r="AF156" t="n">
        <v>4</v>
      </c>
      <c r="AG156" t="n">
        <v>4</v>
      </c>
      <c r="AH156" t="n">
        <v>1</v>
      </c>
      <c r="AI156" t="n">
        <v>1</v>
      </c>
      <c r="AJ156" t="n">
        <v>5</v>
      </c>
      <c r="AK156" t="n">
        <v>8</v>
      </c>
      <c r="AL156" t="n">
        <v>2</v>
      </c>
      <c r="AM156" t="n">
        <v>2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HYPERLINK("http://catalog.hathitrust.org/Record/001411383","HathiTrust Record")</f>
        <v/>
      </c>
      <c r="AS156">
        <f>HYPERLINK("https://creighton-primo.hosted.exlibrisgroup.com/primo-explore/search?tab=default_tab&amp;search_scope=EVERYTHING&amp;vid=01CRU&amp;lang=en_US&amp;offset=0&amp;query=any,contains,991002764879702656","Catalog Record")</f>
        <v/>
      </c>
      <c r="AT156">
        <f>HYPERLINK("http://www.worldcat.org/oclc/432449","WorldCat Record")</f>
        <v/>
      </c>
      <c r="AU156" t="inlineStr">
        <is>
          <t>5551181:eng</t>
        </is>
      </c>
      <c r="AV156" t="inlineStr">
        <is>
          <t>432449</t>
        </is>
      </c>
      <c r="AW156" t="inlineStr">
        <is>
          <t>991002764879702656</t>
        </is>
      </c>
      <c r="AX156" t="inlineStr">
        <is>
          <t>991002764879702656</t>
        </is>
      </c>
      <c r="AY156" t="inlineStr">
        <is>
          <t>2272399390002656</t>
        </is>
      </c>
      <c r="AZ156" t="inlineStr">
        <is>
          <t>BOOK</t>
        </is>
      </c>
      <c r="BC156" t="inlineStr">
        <is>
          <t>32285000629427</t>
        </is>
      </c>
      <c r="BD156" t="inlineStr">
        <is>
          <t>893691972</t>
        </is>
      </c>
      <c r="BE156" t="inlineStr">
        <is>
          <t>S Brown</t>
        </is>
      </c>
    </row>
    <row r="157">
      <c r="A157" t="inlineStr">
        <is>
          <t>No</t>
        </is>
      </c>
      <c r="B157" t="inlineStr">
        <is>
          <t>BS2795.3 .P46 1986</t>
        </is>
      </c>
      <c r="C157" t="inlineStr">
        <is>
          <t>0                      BS 2795300P  46          1986</t>
        </is>
      </c>
      <c r="D157" t="inlineStr">
        <is>
          <t>Perspectives on First Peter / edited by Charles H. Talbert.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L157" t="inlineStr">
        <is>
          <t>Macon, Ga. : Mercer University Press, c1986.</t>
        </is>
      </c>
      <c r="M157" t="inlineStr">
        <is>
          <t>1986</t>
        </is>
      </c>
      <c r="O157" t="inlineStr">
        <is>
          <t>eng</t>
        </is>
      </c>
      <c r="P157" t="inlineStr">
        <is>
          <t>gau</t>
        </is>
      </c>
      <c r="Q157" t="inlineStr">
        <is>
          <t>NABPR special studies series ; no. 9</t>
        </is>
      </c>
      <c r="R157" t="inlineStr">
        <is>
          <t xml:space="preserve">BS </t>
        </is>
      </c>
      <c r="S157" t="n">
        <v>5</v>
      </c>
      <c r="T157" t="n">
        <v>5</v>
      </c>
      <c r="U157" t="inlineStr">
        <is>
          <t>2001-07-25</t>
        </is>
      </c>
      <c r="V157" t="inlineStr">
        <is>
          <t>2001-07-25</t>
        </is>
      </c>
      <c r="W157" t="inlineStr">
        <is>
          <t>1991-06-06</t>
        </is>
      </c>
      <c r="X157" t="inlineStr">
        <is>
          <t>1991-06-06</t>
        </is>
      </c>
      <c r="Y157" t="n">
        <v>267</v>
      </c>
      <c r="Z157" t="n">
        <v>208</v>
      </c>
      <c r="AA157" t="n">
        <v>216</v>
      </c>
      <c r="AB157" t="n">
        <v>1</v>
      </c>
      <c r="AC157" t="n">
        <v>1</v>
      </c>
      <c r="AD157" t="n">
        <v>17</v>
      </c>
      <c r="AE157" t="n">
        <v>17</v>
      </c>
      <c r="AF157" t="n">
        <v>7</v>
      </c>
      <c r="AG157" t="n">
        <v>7</v>
      </c>
      <c r="AH157" t="n">
        <v>4</v>
      </c>
      <c r="AI157" t="n">
        <v>4</v>
      </c>
      <c r="AJ157" t="n">
        <v>12</v>
      </c>
      <c r="AK157" t="n">
        <v>12</v>
      </c>
      <c r="AL157" t="n">
        <v>0</v>
      </c>
      <c r="AM157" t="n">
        <v>0</v>
      </c>
      <c r="AN157" t="n">
        <v>0</v>
      </c>
      <c r="AO157" t="n">
        <v>0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HYPERLINK("http://catalog.hathitrust.org/Record/000845615","HathiTrust Record")</f>
        <v/>
      </c>
      <c r="AS157">
        <f>HYPERLINK("https://creighton-primo.hosted.exlibrisgroup.com/primo-explore/search?tab=default_tab&amp;search_scope=EVERYTHING&amp;vid=01CRU&amp;lang=en_US&amp;offset=0&amp;query=any,contains,991000837669702656","Catalog Record")</f>
        <v/>
      </c>
      <c r="AT157">
        <f>HYPERLINK("http://www.worldcat.org/oclc/13498929","WorldCat Record")</f>
        <v/>
      </c>
      <c r="AU157" t="inlineStr">
        <is>
          <t>7964440:eng</t>
        </is>
      </c>
      <c r="AV157" t="inlineStr">
        <is>
          <t>13498929</t>
        </is>
      </c>
      <c r="AW157" t="inlineStr">
        <is>
          <t>991000837669702656</t>
        </is>
      </c>
      <c r="AX157" t="inlineStr">
        <is>
          <t>991000837669702656</t>
        </is>
      </c>
      <c r="AY157" t="inlineStr">
        <is>
          <t>2263925400002656</t>
        </is>
      </c>
      <c r="AZ157" t="inlineStr">
        <is>
          <t>BOOK</t>
        </is>
      </c>
      <c r="BB157" t="inlineStr">
        <is>
          <t>9780865541986</t>
        </is>
      </c>
      <c r="BC157" t="inlineStr">
        <is>
          <t>32285000629450</t>
        </is>
      </c>
      <c r="BD157" t="inlineStr">
        <is>
          <t>893872053</t>
        </is>
      </c>
      <c r="BE157" t="inlineStr">
        <is>
          <t>S Brown</t>
        </is>
      </c>
    </row>
    <row r="158">
      <c r="A158" t="inlineStr">
        <is>
          <t>No</t>
        </is>
      </c>
      <c r="B158" t="inlineStr">
        <is>
          <t>BS2801 .M34 1973</t>
        </is>
      </c>
      <c r="C158" t="inlineStr">
        <is>
          <t>0                      BS 2801000M  34          1973</t>
        </is>
      </c>
      <c r="D158" t="inlineStr">
        <is>
          <t>The Epistles of St. John : Greek text and English translation schematically arranged / Edward Malatesta.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Bible. Epistles of John. Greek. 1973.</t>
        </is>
      </c>
      <c r="L158" t="inlineStr">
        <is>
          <t>Rome : Pontifical Gregorian University, 1973.</t>
        </is>
      </c>
      <c r="M158" t="inlineStr">
        <is>
          <t>1973</t>
        </is>
      </c>
      <c r="O158" t="inlineStr">
        <is>
          <t>eng</t>
        </is>
      </c>
      <c r="P158" t="inlineStr">
        <is>
          <t xml:space="preserve">it </t>
        </is>
      </c>
      <c r="R158" t="inlineStr">
        <is>
          <t xml:space="preserve">BS </t>
        </is>
      </c>
      <c r="S158" t="n">
        <v>4</v>
      </c>
      <c r="T158" t="n">
        <v>4</v>
      </c>
      <c r="U158" t="inlineStr">
        <is>
          <t>1996-06-24</t>
        </is>
      </c>
      <c r="V158" t="inlineStr">
        <is>
          <t>1996-06-24</t>
        </is>
      </c>
      <c r="W158" t="inlineStr">
        <is>
          <t>1991-06-06</t>
        </is>
      </c>
      <c r="X158" t="inlineStr">
        <is>
          <t>1991-06-06</t>
        </is>
      </c>
      <c r="Y158" t="n">
        <v>141</v>
      </c>
      <c r="Z158" t="n">
        <v>124</v>
      </c>
      <c r="AA158" t="n">
        <v>136</v>
      </c>
      <c r="AB158" t="n">
        <v>1</v>
      </c>
      <c r="AC158" t="n">
        <v>1</v>
      </c>
      <c r="AD158" t="n">
        <v>7</v>
      </c>
      <c r="AE158" t="n">
        <v>12</v>
      </c>
      <c r="AF158" t="n">
        <v>1</v>
      </c>
      <c r="AG158" t="n">
        <v>2</v>
      </c>
      <c r="AH158" t="n">
        <v>3</v>
      </c>
      <c r="AI158" t="n">
        <v>3</v>
      </c>
      <c r="AJ158" t="n">
        <v>4</v>
      </c>
      <c r="AK158" t="n">
        <v>9</v>
      </c>
      <c r="AL158" t="n">
        <v>0</v>
      </c>
      <c r="AM158" t="n">
        <v>0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HYPERLINK("https://creighton-primo.hosted.exlibrisgroup.com/primo-explore/search?tab=default_tab&amp;search_scope=EVERYTHING&amp;vid=01CRU&amp;lang=en_US&amp;offset=0&amp;query=any,contains,991003929259702656","Catalog Record")</f>
        <v/>
      </c>
      <c r="AT158">
        <f>HYPERLINK("http://www.worldcat.org/oclc/1284392","WorldCat Record")</f>
        <v/>
      </c>
      <c r="AU158" t="inlineStr">
        <is>
          <t>499367505:grc</t>
        </is>
      </c>
      <c r="AV158" t="inlineStr">
        <is>
          <t>1284392</t>
        </is>
      </c>
      <c r="AW158" t="inlineStr">
        <is>
          <t>991003929259702656</t>
        </is>
      </c>
      <c r="AX158" t="inlineStr">
        <is>
          <t>991003929259702656</t>
        </is>
      </c>
      <c r="AY158" t="inlineStr">
        <is>
          <t>2260323760002656</t>
        </is>
      </c>
      <c r="AZ158" t="inlineStr">
        <is>
          <t>BOOK</t>
        </is>
      </c>
      <c r="BC158" t="inlineStr">
        <is>
          <t>32285000629492</t>
        </is>
      </c>
      <c r="BD158" t="inlineStr">
        <is>
          <t>893410911</t>
        </is>
      </c>
      <c r="BE158" t="inlineStr">
        <is>
          <t>S Brown</t>
        </is>
      </c>
    </row>
    <row r="159">
      <c r="A159" t="inlineStr">
        <is>
          <t>No</t>
        </is>
      </c>
      <c r="B159" t="inlineStr">
        <is>
          <t>BS2805.2 .L53 1986</t>
        </is>
      </c>
      <c r="C159" t="inlineStr">
        <is>
          <t>0                      BS 2805200L  53          1986</t>
        </is>
      </c>
      <c r="D159" t="inlineStr">
        <is>
          <t>The Second and Third Epistles of John : history and background / by Judith Lieu ; edited by John Riches.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Lieu, Judith.</t>
        </is>
      </c>
      <c r="L159" t="inlineStr">
        <is>
          <t>Edinburgh : T. &amp; T. Clark, 1986.</t>
        </is>
      </c>
      <c r="M159" t="inlineStr">
        <is>
          <t>1986</t>
        </is>
      </c>
      <c r="O159" t="inlineStr">
        <is>
          <t>eng</t>
        </is>
      </c>
      <c r="P159" t="inlineStr">
        <is>
          <t>stk</t>
        </is>
      </c>
      <c r="Q159" t="inlineStr">
        <is>
          <t>Studies of the New Testament and its world</t>
        </is>
      </c>
      <c r="R159" t="inlineStr">
        <is>
          <t xml:space="preserve">BS </t>
        </is>
      </c>
      <c r="S159" t="n">
        <v>2</v>
      </c>
      <c r="T159" t="n">
        <v>2</v>
      </c>
      <c r="U159" t="inlineStr">
        <is>
          <t>1999-10-24</t>
        </is>
      </c>
      <c r="V159" t="inlineStr">
        <is>
          <t>1999-10-24</t>
        </is>
      </c>
      <c r="W159" t="inlineStr">
        <is>
          <t>1991-06-06</t>
        </is>
      </c>
      <c r="X159" t="inlineStr">
        <is>
          <t>1991-06-06</t>
        </is>
      </c>
      <c r="Y159" t="n">
        <v>338</v>
      </c>
      <c r="Z159" t="n">
        <v>222</v>
      </c>
      <c r="AA159" t="n">
        <v>247</v>
      </c>
      <c r="AB159" t="n">
        <v>1</v>
      </c>
      <c r="AC159" t="n">
        <v>1</v>
      </c>
      <c r="AD159" t="n">
        <v>11</v>
      </c>
      <c r="AE159" t="n">
        <v>12</v>
      </c>
      <c r="AF159" t="n">
        <v>6</v>
      </c>
      <c r="AG159" t="n">
        <v>7</v>
      </c>
      <c r="AH159" t="n">
        <v>2</v>
      </c>
      <c r="AI159" t="n">
        <v>3</v>
      </c>
      <c r="AJ159" t="n">
        <v>7</v>
      </c>
      <c r="AK159" t="n">
        <v>7</v>
      </c>
      <c r="AL159" t="n">
        <v>0</v>
      </c>
      <c r="AM159" t="n">
        <v>0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HYPERLINK("http://catalog.hathitrust.org/Record/000806636","HathiTrust Record")</f>
        <v/>
      </c>
      <c r="AS159">
        <f>HYPERLINK("https://creighton-primo.hosted.exlibrisgroup.com/primo-explore/search?tab=default_tab&amp;search_scope=EVERYTHING&amp;vid=01CRU&amp;lang=en_US&amp;offset=0&amp;query=any,contains,991001159919702656","Catalog Record")</f>
        <v/>
      </c>
      <c r="AT159">
        <f>HYPERLINK("http://www.worldcat.org/oclc/16875008","WorldCat Record")</f>
        <v/>
      </c>
      <c r="AU159" t="inlineStr">
        <is>
          <t>808137389:eng</t>
        </is>
      </c>
      <c r="AV159" t="inlineStr">
        <is>
          <t>16875008</t>
        </is>
      </c>
      <c r="AW159" t="inlineStr">
        <is>
          <t>991001159919702656</t>
        </is>
      </c>
      <c r="AX159" t="inlineStr">
        <is>
          <t>991001159919702656</t>
        </is>
      </c>
      <c r="AY159" t="inlineStr">
        <is>
          <t>2256914470002656</t>
        </is>
      </c>
      <c r="AZ159" t="inlineStr">
        <is>
          <t>BOOK</t>
        </is>
      </c>
      <c r="BB159" t="inlineStr">
        <is>
          <t>9780567094438</t>
        </is>
      </c>
      <c r="BC159" t="inlineStr">
        <is>
          <t>32285000629526</t>
        </is>
      </c>
      <c r="BD159" t="inlineStr">
        <is>
          <t>893791215</t>
        </is>
      </c>
      <c r="BE159" t="inlineStr">
        <is>
          <t>S Brown</t>
        </is>
      </c>
    </row>
    <row r="160">
      <c r="A160" t="inlineStr">
        <is>
          <t>No</t>
        </is>
      </c>
      <c r="B160" t="inlineStr">
        <is>
          <t>BS2805.2 .V65 1990</t>
        </is>
      </c>
      <c r="C160" t="inlineStr">
        <is>
          <t>0                      BS 2805200V  65          1990</t>
        </is>
      </c>
      <c r="D160" t="inlineStr">
        <is>
          <t>The Johannine commandments : 1 John and the struggle for the Johannine tradition / Urban C. von Wahlde.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Von Wahlde, Urban C.</t>
        </is>
      </c>
      <c r="L160" t="inlineStr">
        <is>
          <t>New York : Paulist Press, c1990.</t>
        </is>
      </c>
      <c r="M160" t="inlineStr">
        <is>
          <t>1990</t>
        </is>
      </c>
      <c r="O160" t="inlineStr">
        <is>
          <t>eng</t>
        </is>
      </c>
      <c r="P160" t="inlineStr">
        <is>
          <t>nyu</t>
        </is>
      </c>
      <c r="Q160" t="inlineStr">
        <is>
          <t>Theological inquiries</t>
        </is>
      </c>
      <c r="R160" t="inlineStr">
        <is>
          <t xml:space="preserve">BS </t>
        </is>
      </c>
      <c r="S160" t="n">
        <v>2</v>
      </c>
      <c r="T160" t="n">
        <v>2</v>
      </c>
      <c r="U160" t="inlineStr">
        <is>
          <t>2003-12-12</t>
        </is>
      </c>
      <c r="V160" t="inlineStr">
        <is>
          <t>2003-12-12</t>
        </is>
      </c>
      <c r="W160" t="inlineStr">
        <is>
          <t>1991-03-11</t>
        </is>
      </c>
      <c r="X160" t="inlineStr">
        <is>
          <t>1991-03-11</t>
        </is>
      </c>
      <c r="Y160" t="n">
        <v>303</v>
      </c>
      <c r="Z160" t="n">
        <v>238</v>
      </c>
      <c r="AA160" t="n">
        <v>247</v>
      </c>
      <c r="AB160" t="n">
        <v>2</v>
      </c>
      <c r="AC160" t="n">
        <v>2</v>
      </c>
      <c r="AD160" t="n">
        <v>21</v>
      </c>
      <c r="AE160" t="n">
        <v>21</v>
      </c>
      <c r="AF160" t="n">
        <v>7</v>
      </c>
      <c r="AG160" t="n">
        <v>7</v>
      </c>
      <c r="AH160" t="n">
        <v>5</v>
      </c>
      <c r="AI160" t="n">
        <v>5</v>
      </c>
      <c r="AJ160" t="n">
        <v>14</v>
      </c>
      <c r="AK160" t="n">
        <v>14</v>
      </c>
      <c r="AL160" t="n">
        <v>0</v>
      </c>
      <c r="AM160" t="n">
        <v>0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HYPERLINK("http://catalog.hathitrust.org/Record/002168104","HathiTrust Record")</f>
        <v/>
      </c>
      <c r="AS160">
        <f>HYPERLINK("https://creighton-primo.hosted.exlibrisgroup.com/primo-explore/search?tab=default_tab&amp;search_scope=EVERYTHING&amp;vid=01CRU&amp;lang=en_US&amp;offset=0&amp;query=any,contains,991001610109702656","Catalog Record")</f>
        <v/>
      </c>
      <c r="AT160">
        <f>HYPERLINK("http://www.worldcat.org/oclc/20723444","WorldCat Record")</f>
        <v/>
      </c>
      <c r="AU160" t="inlineStr">
        <is>
          <t>427967532:eng</t>
        </is>
      </c>
      <c r="AV160" t="inlineStr">
        <is>
          <t>20723444</t>
        </is>
      </c>
      <c r="AW160" t="inlineStr">
        <is>
          <t>991001610109702656</t>
        </is>
      </c>
      <c r="AX160" t="inlineStr">
        <is>
          <t>991001610109702656</t>
        </is>
      </c>
      <c r="AY160" t="inlineStr">
        <is>
          <t>2270918100002656</t>
        </is>
      </c>
      <c r="AZ160" t="inlineStr">
        <is>
          <t>BOOK</t>
        </is>
      </c>
      <c r="BB160" t="inlineStr">
        <is>
          <t>9780809130610</t>
        </is>
      </c>
      <c r="BC160" t="inlineStr">
        <is>
          <t>32285000494095</t>
        </is>
      </c>
      <c r="BD160" t="inlineStr">
        <is>
          <t>893516316</t>
        </is>
      </c>
      <c r="BE160" t="inlineStr">
        <is>
          <t>S Brown</t>
        </is>
      </c>
    </row>
    <row r="161">
      <c r="A161" t="inlineStr">
        <is>
          <t>No</t>
        </is>
      </c>
      <c r="B161" t="inlineStr">
        <is>
          <t>BS2805.3 .B77 1971</t>
        </is>
      </c>
      <c r="C161" t="inlineStr">
        <is>
          <t>0                      BS 2805300B  77          1971</t>
        </is>
      </c>
      <c r="D161" t="inlineStr">
        <is>
          <t>The Epistles of John. Introd., exposition, and notes, by F. F. Bruce.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Bruce, F. F. (Frederick Fyvie), 1910-1990.</t>
        </is>
      </c>
      <c r="L161" t="inlineStr">
        <is>
          <t>Old Tappan, N.J., F. H. Revell [1971, c1970]</t>
        </is>
      </c>
      <c r="M161" t="inlineStr">
        <is>
          <t>1971</t>
        </is>
      </c>
      <c r="O161" t="inlineStr">
        <is>
          <t>eng</t>
        </is>
      </c>
      <c r="P161" t="inlineStr">
        <is>
          <t>nju</t>
        </is>
      </c>
      <c r="R161" t="inlineStr">
        <is>
          <t xml:space="preserve">BS </t>
        </is>
      </c>
      <c r="S161" t="n">
        <v>2</v>
      </c>
      <c r="T161" t="n">
        <v>2</v>
      </c>
      <c r="U161" t="inlineStr">
        <is>
          <t>1999-10-24</t>
        </is>
      </c>
      <c r="V161" t="inlineStr">
        <is>
          <t>1999-10-24</t>
        </is>
      </c>
      <c r="W161" t="inlineStr">
        <is>
          <t>1991-06-06</t>
        </is>
      </c>
      <c r="X161" t="inlineStr">
        <is>
          <t>1991-06-06</t>
        </is>
      </c>
      <c r="Y161" t="n">
        <v>138</v>
      </c>
      <c r="Z161" t="n">
        <v>127</v>
      </c>
      <c r="AA161" t="n">
        <v>188</v>
      </c>
      <c r="AB161" t="n">
        <v>2</v>
      </c>
      <c r="AC161" t="n">
        <v>3</v>
      </c>
      <c r="AD161" t="n">
        <v>7</v>
      </c>
      <c r="AE161" t="n">
        <v>10</v>
      </c>
      <c r="AF161" t="n">
        <v>2</v>
      </c>
      <c r="AG161" t="n">
        <v>3</v>
      </c>
      <c r="AH161" t="n">
        <v>1</v>
      </c>
      <c r="AI161" t="n">
        <v>1</v>
      </c>
      <c r="AJ161" t="n">
        <v>3</v>
      </c>
      <c r="AK161" t="n">
        <v>5</v>
      </c>
      <c r="AL161" t="n">
        <v>1</v>
      </c>
      <c r="AM161" t="n">
        <v>2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HYPERLINK("https://creighton-primo.hosted.exlibrisgroup.com/primo-explore/search?tab=default_tab&amp;search_scope=EVERYTHING&amp;vid=01CRU&amp;lang=en_US&amp;offset=0&amp;query=any,contains,991000907779702656","Catalog Record")</f>
        <v/>
      </c>
      <c r="AT161">
        <f>HYPERLINK("http://www.worldcat.org/oclc/158290","WorldCat Record")</f>
        <v/>
      </c>
      <c r="AU161" t="inlineStr">
        <is>
          <t>5576034475:eng</t>
        </is>
      </c>
      <c r="AV161" t="inlineStr">
        <is>
          <t>158290</t>
        </is>
      </c>
      <c r="AW161" t="inlineStr">
        <is>
          <t>991000907779702656</t>
        </is>
      </c>
      <c r="AX161" t="inlineStr">
        <is>
          <t>991000907779702656</t>
        </is>
      </c>
      <c r="AY161" t="inlineStr">
        <is>
          <t>2258505760002656</t>
        </is>
      </c>
      <c r="AZ161" t="inlineStr">
        <is>
          <t>BOOK</t>
        </is>
      </c>
      <c r="BB161" t="inlineStr">
        <is>
          <t>9780800704476</t>
        </is>
      </c>
      <c r="BC161" t="inlineStr">
        <is>
          <t>32285000629542</t>
        </is>
      </c>
      <c r="BD161" t="inlineStr">
        <is>
          <t>893626500</t>
        </is>
      </c>
      <c r="BE161" t="inlineStr">
        <is>
          <t>S Brown</t>
        </is>
      </c>
    </row>
    <row r="162">
      <c r="A162" t="inlineStr">
        <is>
          <t>No</t>
        </is>
      </c>
      <c r="B162" t="inlineStr">
        <is>
          <t>BS2805.3 .G76 1984</t>
        </is>
      </c>
      <c r="C162" t="inlineStr">
        <is>
          <t>0                      BS 2805300G  76          1984</t>
        </is>
      </c>
      <c r="D162" t="inlineStr">
        <is>
          <t>The Johannine Epistles : based on the Revised Standard version / Kenneth Grayston.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Grayston, Kenneth.</t>
        </is>
      </c>
      <c r="L162" t="inlineStr">
        <is>
          <t>Grand Rapids : Eerdmans, 1984.</t>
        </is>
      </c>
      <c r="M162" t="inlineStr">
        <is>
          <t>1984</t>
        </is>
      </c>
      <c r="O162" t="inlineStr">
        <is>
          <t>eng</t>
        </is>
      </c>
      <c r="P162" t="inlineStr">
        <is>
          <t>miu</t>
        </is>
      </c>
      <c r="Q162" t="inlineStr">
        <is>
          <t>New century Bible commentary</t>
        </is>
      </c>
      <c r="R162" t="inlineStr">
        <is>
          <t xml:space="preserve">BS </t>
        </is>
      </c>
      <c r="S162" t="n">
        <v>4</v>
      </c>
      <c r="T162" t="n">
        <v>4</v>
      </c>
      <c r="U162" t="inlineStr">
        <is>
          <t>2004-11-10</t>
        </is>
      </c>
      <c r="V162" t="inlineStr">
        <is>
          <t>2004-11-10</t>
        </is>
      </c>
      <c r="W162" t="inlineStr">
        <is>
          <t>1991-06-06</t>
        </is>
      </c>
      <c r="X162" t="inlineStr">
        <is>
          <t>1991-06-06</t>
        </is>
      </c>
      <c r="Y162" t="n">
        <v>422</v>
      </c>
      <c r="Z162" t="n">
        <v>317</v>
      </c>
      <c r="AA162" t="n">
        <v>323</v>
      </c>
      <c r="AB162" t="n">
        <v>5</v>
      </c>
      <c r="AC162" t="n">
        <v>5</v>
      </c>
      <c r="AD162" t="n">
        <v>21</v>
      </c>
      <c r="AE162" t="n">
        <v>21</v>
      </c>
      <c r="AF162" t="n">
        <v>9</v>
      </c>
      <c r="AG162" t="n">
        <v>9</v>
      </c>
      <c r="AH162" t="n">
        <v>4</v>
      </c>
      <c r="AI162" t="n">
        <v>4</v>
      </c>
      <c r="AJ162" t="n">
        <v>10</v>
      </c>
      <c r="AK162" t="n">
        <v>10</v>
      </c>
      <c r="AL162" t="n">
        <v>2</v>
      </c>
      <c r="AM162" t="n">
        <v>2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HYPERLINK("https://creighton-primo.hosted.exlibrisgroup.com/primo-explore/search?tab=default_tab&amp;search_scope=EVERYTHING&amp;vid=01CRU&amp;lang=en_US&amp;offset=0&amp;query=any,contains,991000261679702656","Catalog Record")</f>
        <v/>
      </c>
      <c r="AT162">
        <f>HYPERLINK("http://www.worldcat.org/oclc/9826083","WorldCat Record")</f>
        <v/>
      </c>
      <c r="AU162" t="inlineStr">
        <is>
          <t>43173473:eng</t>
        </is>
      </c>
      <c r="AV162" t="inlineStr">
        <is>
          <t>9826083</t>
        </is>
      </c>
      <c r="AW162" t="inlineStr">
        <is>
          <t>991000261679702656</t>
        </is>
      </c>
      <c r="AX162" t="inlineStr">
        <is>
          <t>991000261679702656</t>
        </is>
      </c>
      <c r="AY162" t="inlineStr">
        <is>
          <t>2270449630002656</t>
        </is>
      </c>
      <c r="AZ162" t="inlineStr">
        <is>
          <t>BOOK</t>
        </is>
      </c>
      <c r="BB162" t="inlineStr">
        <is>
          <t>9780802819819</t>
        </is>
      </c>
      <c r="BC162" t="inlineStr">
        <is>
          <t>32285000629567</t>
        </is>
      </c>
      <c r="BD162" t="inlineStr">
        <is>
          <t>893802638</t>
        </is>
      </c>
      <c r="BE162" t="inlineStr">
        <is>
          <t>S Brown</t>
        </is>
      </c>
    </row>
    <row r="163">
      <c r="A163" t="inlineStr">
        <is>
          <t>No</t>
        </is>
      </c>
      <c r="B163" t="inlineStr">
        <is>
          <t>BS2805.3 .P4</t>
        </is>
      </c>
      <c r="C163" t="inlineStr">
        <is>
          <t>0                      BS 2805300P  4</t>
        </is>
      </c>
      <c r="D163" t="inlineStr">
        <is>
          <t>The Johannine epistles / Pheme Perkins.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Perkins, Pheme.</t>
        </is>
      </c>
      <c r="L163" t="inlineStr">
        <is>
          <t>Wilmington, Delaware : M. Glazier, 1979.</t>
        </is>
      </c>
      <c r="M163" t="inlineStr">
        <is>
          <t>1979</t>
        </is>
      </c>
      <c r="O163" t="inlineStr">
        <is>
          <t>eng</t>
        </is>
      </c>
      <c r="P163" t="inlineStr">
        <is>
          <t>deu</t>
        </is>
      </c>
      <c r="Q163" t="inlineStr">
        <is>
          <t>New Testament message, 0894531239 ; v. 21</t>
        </is>
      </c>
      <c r="R163" t="inlineStr">
        <is>
          <t xml:space="preserve">BS </t>
        </is>
      </c>
      <c r="S163" t="n">
        <v>4</v>
      </c>
      <c r="T163" t="n">
        <v>4</v>
      </c>
      <c r="U163" t="inlineStr">
        <is>
          <t>2004-11-11</t>
        </is>
      </c>
      <c r="V163" t="inlineStr">
        <is>
          <t>2004-11-11</t>
        </is>
      </c>
      <c r="W163" t="inlineStr">
        <is>
          <t>1991-06-06</t>
        </is>
      </c>
      <c r="X163" t="inlineStr">
        <is>
          <t>1991-06-06</t>
        </is>
      </c>
      <c r="Y163" t="n">
        <v>322</v>
      </c>
      <c r="Z163" t="n">
        <v>275</v>
      </c>
      <c r="AA163" t="n">
        <v>321</v>
      </c>
      <c r="AB163" t="n">
        <v>2</v>
      </c>
      <c r="AC163" t="n">
        <v>2</v>
      </c>
      <c r="AD163" t="n">
        <v>27</v>
      </c>
      <c r="AE163" t="n">
        <v>29</v>
      </c>
      <c r="AF163" t="n">
        <v>9</v>
      </c>
      <c r="AG163" t="n">
        <v>11</v>
      </c>
      <c r="AH163" t="n">
        <v>6</v>
      </c>
      <c r="AI163" t="n">
        <v>6</v>
      </c>
      <c r="AJ163" t="n">
        <v>22</v>
      </c>
      <c r="AK163" t="n">
        <v>22</v>
      </c>
      <c r="AL163" t="n">
        <v>0</v>
      </c>
      <c r="AM163" t="n">
        <v>0</v>
      </c>
      <c r="AN163" t="n">
        <v>0</v>
      </c>
      <c r="AO163" t="n">
        <v>0</v>
      </c>
      <c r="AP163" t="inlineStr">
        <is>
          <t>No</t>
        </is>
      </c>
      <c r="AQ163" t="inlineStr">
        <is>
          <t>No</t>
        </is>
      </c>
      <c r="AS163">
        <f>HYPERLINK("https://creighton-primo.hosted.exlibrisgroup.com/primo-explore/search?tab=default_tab&amp;search_scope=EVERYTHING&amp;vid=01CRU&amp;lang=en_US&amp;offset=0&amp;query=any,contains,991004917209702656","Catalog Record")</f>
        <v/>
      </c>
      <c r="AT163">
        <f>HYPERLINK("http://www.worldcat.org/oclc/6021490","WorldCat Record")</f>
        <v/>
      </c>
      <c r="AU163" t="inlineStr">
        <is>
          <t>3864711:eng</t>
        </is>
      </c>
      <c r="AV163" t="inlineStr">
        <is>
          <t>6021490</t>
        </is>
      </c>
      <c r="AW163" t="inlineStr">
        <is>
          <t>991004917209702656</t>
        </is>
      </c>
      <c r="AX163" t="inlineStr">
        <is>
          <t>991004917209702656</t>
        </is>
      </c>
      <c r="AY163" t="inlineStr">
        <is>
          <t>2255056730002656</t>
        </is>
      </c>
      <c r="AZ163" t="inlineStr">
        <is>
          <t>BOOK</t>
        </is>
      </c>
      <c r="BB163" t="inlineStr">
        <is>
          <t>9780894531446</t>
        </is>
      </c>
      <c r="BC163" t="inlineStr">
        <is>
          <t>32285000629609</t>
        </is>
      </c>
      <c r="BD163" t="inlineStr">
        <is>
          <t>893876700</t>
        </is>
      </c>
      <c r="BE163" t="inlineStr">
        <is>
          <t>S Brown</t>
        </is>
      </c>
    </row>
    <row r="164">
      <c r="A164" t="inlineStr">
        <is>
          <t>No</t>
        </is>
      </c>
      <c r="B164" t="inlineStr">
        <is>
          <t>BS2871 .B87 1987</t>
        </is>
      </c>
      <c r="C164" t="inlineStr">
        <is>
          <t>0                      BS 2871000B  87          1987</t>
        </is>
      </c>
      <c r="D164" t="inlineStr">
        <is>
          <t>Chastity as autonomy : women in the stories of Apocryphal Acts / Virginia Burrus.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Burrus, Virginia.</t>
        </is>
      </c>
      <c r="L164" t="inlineStr">
        <is>
          <t>Lewiston : E. Mellen Press, 1987.</t>
        </is>
      </c>
      <c r="M164" t="inlineStr">
        <is>
          <t>1987</t>
        </is>
      </c>
      <c r="O164" t="inlineStr">
        <is>
          <t>eng</t>
        </is>
      </c>
      <c r="P164" t="inlineStr">
        <is>
          <t>nyu</t>
        </is>
      </c>
      <c r="Q164" t="inlineStr">
        <is>
          <t>Studies in women and religion ; v. 23</t>
        </is>
      </c>
      <c r="R164" t="inlineStr">
        <is>
          <t xml:space="preserve">BS </t>
        </is>
      </c>
      <c r="S164" t="n">
        <v>4</v>
      </c>
      <c r="T164" t="n">
        <v>4</v>
      </c>
      <c r="U164" t="inlineStr">
        <is>
          <t>2004-04-06</t>
        </is>
      </c>
      <c r="V164" t="inlineStr">
        <is>
          <t>2004-04-06</t>
        </is>
      </c>
      <c r="W164" t="inlineStr">
        <is>
          <t>1991-06-07</t>
        </is>
      </c>
      <c r="X164" t="inlineStr">
        <is>
          <t>1991-06-07</t>
        </is>
      </c>
      <c r="Y164" t="n">
        <v>320</v>
      </c>
      <c r="Z164" t="n">
        <v>258</v>
      </c>
      <c r="AA164" t="n">
        <v>262</v>
      </c>
      <c r="AB164" t="n">
        <v>2</v>
      </c>
      <c r="AC164" t="n">
        <v>2</v>
      </c>
      <c r="AD164" t="n">
        <v>22</v>
      </c>
      <c r="AE164" t="n">
        <v>22</v>
      </c>
      <c r="AF164" t="n">
        <v>8</v>
      </c>
      <c r="AG164" t="n">
        <v>8</v>
      </c>
      <c r="AH164" t="n">
        <v>4</v>
      </c>
      <c r="AI164" t="n">
        <v>4</v>
      </c>
      <c r="AJ164" t="n">
        <v>16</v>
      </c>
      <c r="AK164" t="n">
        <v>16</v>
      </c>
      <c r="AL164" t="n">
        <v>1</v>
      </c>
      <c r="AM164" t="n">
        <v>1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HYPERLINK("http://catalog.hathitrust.org/Record/000901482","HathiTrust Record")</f>
        <v/>
      </c>
      <c r="AS164">
        <f>HYPERLINK("https://creighton-primo.hosted.exlibrisgroup.com/primo-explore/search?tab=default_tab&amp;search_scope=EVERYTHING&amp;vid=01CRU&amp;lang=en_US&amp;offset=0&amp;query=any,contains,991001031169702656","Catalog Record")</f>
        <v/>
      </c>
      <c r="AT164">
        <f>HYPERLINK("http://www.worldcat.org/oclc/15517891","WorldCat Record")</f>
        <v/>
      </c>
      <c r="AU164" t="inlineStr">
        <is>
          <t>867978:eng</t>
        </is>
      </c>
      <c r="AV164" t="inlineStr">
        <is>
          <t>15517891</t>
        </is>
      </c>
      <c r="AW164" t="inlineStr">
        <is>
          <t>991001031169702656</t>
        </is>
      </c>
      <c r="AX164" t="inlineStr">
        <is>
          <t>991001031169702656</t>
        </is>
      </c>
      <c r="AY164" t="inlineStr">
        <is>
          <t>2266262430002656</t>
        </is>
      </c>
      <c r="AZ164" t="inlineStr">
        <is>
          <t>BOOK</t>
        </is>
      </c>
      <c r="BB164" t="inlineStr">
        <is>
          <t>9780889465268</t>
        </is>
      </c>
      <c r="BC164" t="inlineStr">
        <is>
          <t>32285000685197</t>
        </is>
      </c>
      <c r="BD164" t="inlineStr">
        <is>
          <t>893413896</t>
        </is>
      </c>
      <c r="BE164" t="inlineStr">
        <is>
          <t>ZB Smith</t>
        </is>
      </c>
    </row>
    <row r="165">
      <c r="A165" t="inlineStr">
        <is>
          <t>No</t>
        </is>
      </c>
      <c r="B165" t="inlineStr">
        <is>
          <t>BS476 .B72 1991</t>
        </is>
      </c>
      <c r="C165" t="inlineStr">
        <is>
          <t>0                      BS 0476000B  72          1991</t>
        </is>
      </c>
      <c r="D165" t="inlineStr">
        <is>
          <t>Interpretation and obedience : from faithful reading to faithful living / Walter Brueggemann.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Brueggemann, Walter.</t>
        </is>
      </c>
      <c r="L165" t="inlineStr">
        <is>
          <t>Minneapolis : Fortress Press, c1991.</t>
        </is>
      </c>
      <c r="M165" t="inlineStr">
        <is>
          <t>1991</t>
        </is>
      </c>
      <c r="O165" t="inlineStr">
        <is>
          <t>eng</t>
        </is>
      </c>
      <c r="P165" t="inlineStr">
        <is>
          <t>mnu</t>
        </is>
      </c>
      <c r="R165" t="inlineStr">
        <is>
          <t xml:space="preserve">BS </t>
        </is>
      </c>
      <c r="S165" t="n">
        <v>8</v>
      </c>
      <c r="T165" t="n">
        <v>8</v>
      </c>
      <c r="U165" t="inlineStr">
        <is>
          <t>2000-09-17</t>
        </is>
      </c>
      <c r="V165" t="inlineStr">
        <is>
          <t>2000-09-17</t>
        </is>
      </c>
      <c r="W165" t="inlineStr">
        <is>
          <t>1992-01-21</t>
        </is>
      </c>
      <c r="X165" t="inlineStr">
        <is>
          <t>1992-01-21</t>
        </is>
      </c>
      <c r="Y165" t="n">
        <v>438</v>
      </c>
      <c r="Z165" t="n">
        <v>349</v>
      </c>
      <c r="AA165" t="n">
        <v>354</v>
      </c>
      <c r="AB165" t="n">
        <v>3</v>
      </c>
      <c r="AC165" t="n">
        <v>3</v>
      </c>
      <c r="AD165" t="n">
        <v>25</v>
      </c>
      <c r="AE165" t="n">
        <v>25</v>
      </c>
      <c r="AF165" t="n">
        <v>10</v>
      </c>
      <c r="AG165" t="n">
        <v>10</v>
      </c>
      <c r="AH165" t="n">
        <v>5</v>
      </c>
      <c r="AI165" t="n">
        <v>5</v>
      </c>
      <c r="AJ165" t="n">
        <v>12</v>
      </c>
      <c r="AK165" t="n">
        <v>12</v>
      </c>
      <c r="AL165" t="n">
        <v>2</v>
      </c>
      <c r="AM165" t="n">
        <v>2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HYPERLINK("https://creighton-primo.hosted.exlibrisgroup.com/primo-explore/search?tab=default_tab&amp;search_scope=EVERYTHING&amp;vid=01CRU&amp;lang=en_US&amp;offset=0&amp;query=any,contains,991001787639702656","Catalog Record")</f>
        <v/>
      </c>
      <c r="AT165">
        <f>HYPERLINK("http://www.worldcat.org/oclc/22509780","WorldCat Record")</f>
        <v/>
      </c>
      <c r="AU165" t="inlineStr">
        <is>
          <t>327784974:eng</t>
        </is>
      </c>
      <c r="AV165" t="inlineStr">
        <is>
          <t>22509780</t>
        </is>
      </c>
      <c r="AW165" t="inlineStr">
        <is>
          <t>991001787639702656</t>
        </is>
      </c>
      <c r="AX165" t="inlineStr">
        <is>
          <t>991001787639702656</t>
        </is>
      </c>
      <c r="AY165" t="inlineStr">
        <is>
          <t>2270708980002656</t>
        </is>
      </c>
      <c r="AZ165" t="inlineStr">
        <is>
          <t>BOOK</t>
        </is>
      </c>
      <c r="BB165" t="inlineStr">
        <is>
          <t>9780800624781</t>
        </is>
      </c>
      <c r="BC165" t="inlineStr">
        <is>
          <t>32285000865419</t>
        </is>
      </c>
      <c r="BD165" t="inlineStr">
        <is>
          <t>893346779</t>
        </is>
      </c>
      <c r="BE165" t="inlineStr">
        <is>
          <t>S Brown</t>
        </is>
      </c>
    </row>
    <row r="166">
      <c r="A166" t="inlineStr">
        <is>
          <t>No</t>
        </is>
      </c>
      <c r="B166" t="inlineStr">
        <is>
          <t>BS476 .C67 2003</t>
        </is>
      </c>
      <c r="C166" t="inlineStr">
        <is>
          <t>0                      BS 0476000C  67          2003</t>
        </is>
      </c>
      <c r="D166" t="inlineStr">
        <is>
          <t>Interpreting the truth : changing the paradigm of biblical studies / L. William Countryman.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Countryman, Louis William, 1941-</t>
        </is>
      </c>
      <c r="L166" t="inlineStr">
        <is>
          <t>Harrisburg, PA : Trinity Press International, c2003.</t>
        </is>
      </c>
      <c r="M166" t="inlineStr">
        <is>
          <t>2003</t>
        </is>
      </c>
      <c r="O166" t="inlineStr">
        <is>
          <t>eng</t>
        </is>
      </c>
      <c r="P166" t="inlineStr">
        <is>
          <t>pau</t>
        </is>
      </c>
      <c r="R166" t="inlineStr">
        <is>
          <t xml:space="preserve">BS </t>
        </is>
      </c>
      <c r="S166" t="n">
        <v>3</v>
      </c>
      <c r="T166" t="n">
        <v>3</v>
      </c>
      <c r="U166" t="inlineStr">
        <is>
          <t>2006-11-13</t>
        </is>
      </c>
      <c r="V166" t="inlineStr">
        <is>
          <t>2006-11-13</t>
        </is>
      </c>
      <c r="W166" t="inlineStr">
        <is>
          <t>2005-01-06</t>
        </is>
      </c>
      <c r="X166" t="inlineStr">
        <is>
          <t>2005-01-06</t>
        </is>
      </c>
      <c r="Y166" t="n">
        <v>249</v>
      </c>
      <c r="Z166" t="n">
        <v>184</v>
      </c>
      <c r="AA166" t="n">
        <v>189</v>
      </c>
      <c r="AB166" t="n">
        <v>2</v>
      </c>
      <c r="AC166" t="n">
        <v>2</v>
      </c>
      <c r="AD166" t="n">
        <v>15</v>
      </c>
      <c r="AE166" t="n">
        <v>15</v>
      </c>
      <c r="AF166" t="n">
        <v>5</v>
      </c>
      <c r="AG166" t="n">
        <v>5</v>
      </c>
      <c r="AH166" t="n">
        <v>4</v>
      </c>
      <c r="AI166" t="n">
        <v>4</v>
      </c>
      <c r="AJ166" t="n">
        <v>9</v>
      </c>
      <c r="AK166" t="n">
        <v>9</v>
      </c>
      <c r="AL166" t="n">
        <v>1</v>
      </c>
      <c r="AM166" t="n">
        <v>1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HYPERLINK("https://creighton-primo.hosted.exlibrisgroup.com/primo-explore/search?tab=default_tab&amp;search_scope=EVERYTHING&amp;vid=01CRU&amp;lang=en_US&amp;offset=0&amp;query=any,contains,991004428349702656","Catalog Record")</f>
        <v/>
      </c>
      <c r="AT166">
        <f>HYPERLINK("http://www.worldcat.org/oclc/52091973","WorldCat Record")</f>
        <v/>
      </c>
      <c r="AU166" t="inlineStr">
        <is>
          <t>152245347:eng</t>
        </is>
      </c>
      <c r="AV166" t="inlineStr">
        <is>
          <t>52091973</t>
        </is>
      </c>
      <c r="AW166" t="inlineStr">
        <is>
          <t>991004428349702656</t>
        </is>
      </c>
      <c r="AX166" t="inlineStr">
        <is>
          <t>991004428349702656</t>
        </is>
      </c>
      <c r="AY166" t="inlineStr">
        <is>
          <t>2272690980002656</t>
        </is>
      </c>
      <c r="AZ166" t="inlineStr">
        <is>
          <t>BOOK</t>
        </is>
      </c>
      <c r="BB166" t="inlineStr">
        <is>
          <t>9781563384103</t>
        </is>
      </c>
      <c r="BC166" t="inlineStr">
        <is>
          <t>32285005019137</t>
        </is>
      </c>
      <c r="BD166" t="inlineStr">
        <is>
          <t>893687719</t>
        </is>
      </c>
      <c r="BE166" t="inlineStr">
        <is>
          <t>S Brown</t>
        </is>
      </c>
    </row>
    <row r="167">
      <c r="A167" t="inlineStr">
        <is>
          <t>No</t>
        </is>
      </c>
      <c r="B167" t="inlineStr">
        <is>
          <t>BS476 .L48 1993</t>
        </is>
      </c>
      <c r="C167" t="inlineStr">
        <is>
          <t>0                      BS 0476000L  48          1993</t>
        </is>
      </c>
      <c r="D167" t="inlineStr">
        <is>
          <t>The Hebrew Bible, the Old Testament, and historical criticism : Jews and Christians in biblical studies / Jon D. Levenson.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Levenson, Jon Douglas.</t>
        </is>
      </c>
      <c r="L167" t="inlineStr">
        <is>
          <t>Louisville, Ky. : Westminster/John Knox Press, c1993.</t>
        </is>
      </c>
      <c r="M167" t="inlineStr">
        <is>
          <t>1993</t>
        </is>
      </c>
      <c r="N167" t="inlineStr">
        <is>
          <t>1st ed.</t>
        </is>
      </c>
      <c r="O167" t="inlineStr">
        <is>
          <t>eng</t>
        </is>
      </c>
      <c r="P167" t="inlineStr">
        <is>
          <t>kyu</t>
        </is>
      </c>
      <c r="R167" t="inlineStr">
        <is>
          <t xml:space="preserve">BS </t>
        </is>
      </c>
      <c r="S167" t="n">
        <v>6</v>
      </c>
      <c r="T167" t="n">
        <v>6</v>
      </c>
      <c r="U167" t="inlineStr">
        <is>
          <t>2005-11-17</t>
        </is>
      </c>
      <c r="V167" t="inlineStr">
        <is>
          <t>2005-11-17</t>
        </is>
      </c>
      <c r="W167" t="inlineStr">
        <is>
          <t>1993-09-28</t>
        </is>
      </c>
      <c r="X167" t="inlineStr">
        <is>
          <t>1993-09-28</t>
        </is>
      </c>
      <c r="Y167" t="n">
        <v>489</v>
      </c>
      <c r="Z167" t="n">
        <v>394</v>
      </c>
      <c r="AA167" t="n">
        <v>395</v>
      </c>
      <c r="AB167" t="n">
        <v>4</v>
      </c>
      <c r="AC167" t="n">
        <v>4</v>
      </c>
      <c r="AD167" t="n">
        <v>33</v>
      </c>
      <c r="AE167" t="n">
        <v>33</v>
      </c>
      <c r="AF167" t="n">
        <v>13</v>
      </c>
      <c r="AG167" t="n">
        <v>13</v>
      </c>
      <c r="AH167" t="n">
        <v>4</v>
      </c>
      <c r="AI167" t="n">
        <v>4</v>
      </c>
      <c r="AJ167" t="n">
        <v>20</v>
      </c>
      <c r="AK167" t="n">
        <v>20</v>
      </c>
      <c r="AL167" t="n">
        <v>3</v>
      </c>
      <c r="AM167" t="n">
        <v>3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HYPERLINK("https://creighton-primo.hosted.exlibrisgroup.com/primo-explore/search?tab=default_tab&amp;search_scope=EVERYTHING&amp;vid=01CRU&amp;lang=en_US&amp;offset=0&amp;query=any,contains,991002074439702656","Catalog Record")</f>
        <v/>
      </c>
      <c r="AT167">
        <f>HYPERLINK("http://www.worldcat.org/oclc/26587777","WorldCat Record")</f>
        <v/>
      </c>
      <c r="AU167" t="inlineStr">
        <is>
          <t>1102408728:eng</t>
        </is>
      </c>
      <c r="AV167" t="inlineStr">
        <is>
          <t>26587777</t>
        </is>
      </c>
      <c r="AW167" t="inlineStr">
        <is>
          <t>991002074439702656</t>
        </is>
      </c>
      <c r="AX167" t="inlineStr">
        <is>
          <t>991002074439702656</t>
        </is>
      </c>
      <c r="AY167" t="inlineStr">
        <is>
          <t>2262972040002656</t>
        </is>
      </c>
      <c r="AZ167" t="inlineStr">
        <is>
          <t>BOOK</t>
        </is>
      </c>
      <c r="BB167" t="inlineStr">
        <is>
          <t>9780664254070</t>
        </is>
      </c>
      <c r="BC167" t="inlineStr">
        <is>
          <t>32285001768174</t>
        </is>
      </c>
      <c r="BD167" t="inlineStr">
        <is>
          <t>893798144</t>
        </is>
      </c>
      <c r="BE167" t="inlineStr">
        <is>
          <t>S Brown</t>
        </is>
      </c>
    </row>
    <row r="168">
      <c r="A168" t="inlineStr">
        <is>
          <t>No</t>
        </is>
      </c>
      <c r="B168" t="inlineStr">
        <is>
          <t>BS480 .A245 1999</t>
        </is>
      </c>
      <c r="C168" t="inlineStr">
        <is>
          <t>0                      BS 0480000A  245         1999</t>
        </is>
      </c>
      <c r="D168" t="inlineStr">
        <is>
          <t>Inspiration and authority : nature and function of Christian Scripture / Paul J. Achtemeier.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Achtemeier, Paul J.</t>
        </is>
      </c>
      <c r="L168" t="inlineStr">
        <is>
          <t>Peabody, Mass. : Hendrickson Publishers, c1999.</t>
        </is>
      </c>
      <c r="M168" t="inlineStr">
        <is>
          <t>1999</t>
        </is>
      </c>
      <c r="O168" t="inlineStr">
        <is>
          <t>eng</t>
        </is>
      </c>
      <c r="P168" t="inlineStr">
        <is>
          <t>mau</t>
        </is>
      </c>
      <c r="R168" t="inlineStr">
        <is>
          <t xml:space="preserve">BS </t>
        </is>
      </c>
      <c r="S168" t="n">
        <v>2</v>
      </c>
      <c r="T168" t="n">
        <v>2</v>
      </c>
      <c r="U168" t="inlineStr">
        <is>
          <t>2002-11-19</t>
        </is>
      </c>
      <c r="V168" t="inlineStr">
        <is>
          <t>2002-11-19</t>
        </is>
      </c>
      <c r="W168" t="inlineStr">
        <is>
          <t>2001-08-01</t>
        </is>
      </c>
      <c r="X168" t="inlineStr">
        <is>
          <t>2001-08-01</t>
        </is>
      </c>
      <c r="Y168" t="n">
        <v>302</v>
      </c>
      <c r="Z168" t="n">
        <v>248</v>
      </c>
      <c r="AA168" t="n">
        <v>257</v>
      </c>
      <c r="AB168" t="n">
        <v>2</v>
      </c>
      <c r="AC168" t="n">
        <v>2</v>
      </c>
      <c r="AD168" t="n">
        <v>14</v>
      </c>
      <c r="AE168" t="n">
        <v>16</v>
      </c>
      <c r="AF168" t="n">
        <v>6</v>
      </c>
      <c r="AG168" t="n">
        <v>7</v>
      </c>
      <c r="AH168" t="n">
        <v>2</v>
      </c>
      <c r="AI168" t="n">
        <v>3</v>
      </c>
      <c r="AJ168" t="n">
        <v>6</v>
      </c>
      <c r="AK168" t="n">
        <v>6</v>
      </c>
      <c r="AL168" t="n">
        <v>1</v>
      </c>
      <c r="AM168" t="n">
        <v>1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HYPERLINK("https://creighton-primo.hosted.exlibrisgroup.com/primo-explore/search?tab=default_tab&amp;search_scope=EVERYTHING&amp;vid=01CRU&amp;lang=en_US&amp;offset=0&amp;query=any,contains,991003572709702656","Catalog Record")</f>
        <v/>
      </c>
      <c r="AT168">
        <f>HYPERLINK("http://www.worldcat.org/oclc/40516790","WorldCat Record")</f>
        <v/>
      </c>
      <c r="AU168" t="inlineStr">
        <is>
          <t>906485261:eng</t>
        </is>
      </c>
      <c r="AV168" t="inlineStr">
        <is>
          <t>40516790</t>
        </is>
      </c>
      <c r="AW168" t="inlineStr">
        <is>
          <t>991003572709702656</t>
        </is>
      </c>
      <c r="AX168" t="inlineStr">
        <is>
          <t>991003572709702656</t>
        </is>
      </c>
      <c r="AY168" t="inlineStr">
        <is>
          <t>2255904560002656</t>
        </is>
      </c>
      <c r="AZ168" t="inlineStr">
        <is>
          <t>BOOK</t>
        </is>
      </c>
      <c r="BB168" t="inlineStr">
        <is>
          <t>9781565633636</t>
        </is>
      </c>
      <c r="BC168" t="inlineStr">
        <is>
          <t>32285004375498</t>
        </is>
      </c>
      <c r="BD168" t="inlineStr">
        <is>
          <t>893904424</t>
        </is>
      </c>
      <c r="BE168" t="inlineStr">
        <is>
          <t>S Brown</t>
        </is>
      </c>
    </row>
    <row r="169">
      <c r="A169" t="inlineStr">
        <is>
          <t>No</t>
        </is>
      </c>
      <c r="B169" t="inlineStr">
        <is>
          <t>BS480 .C66</t>
        </is>
      </c>
      <c r="C169" t="inlineStr">
        <is>
          <t>0                      BS 0480000C  66</t>
        </is>
      </c>
      <c r="D169" t="inlineStr">
        <is>
          <t>Biblical authority or biblical tyranny? : scripture and the Christian pilgrimage / William Countryman.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Countryman, William.</t>
        </is>
      </c>
      <c r="L169" t="inlineStr">
        <is>
          <t>Philadelphia : Fortress Press, c1981.</t>
        </is>
      </c>
      <c r="M169" t="inlineStr">
        <is>
          <t>1981</t>
        </is>
      </c>
      <c r="O169" t="inlineStr">
        <is>
          <t>eng</t>
        </is>
      </c>
      <c r="P169" t="inlineStr">
        <is>
          <t>pau</t>
        </is>
      </c>
      <c r="R169" t="inlineStr">
        <is>
          <t xml:space="preserve">BS </t>
        </is>
      </c>
      <c r="S169" t="n">
        <v>2</v>
      </c>
      <c r="T169" t="n">
        <v>2</v>
      </c>
      <c r="U169" t="inlineStr">
        <is>
          <t>1993-05-06</t>
        </is>
      </c>
      <c r="V169" t="inlineStr">
        <is>
          <t>1993-05-06</t>
        </is>
      </c>
      <c r="W169" t="inlineStr">
        <is>
          <t>1991-04-01</t>
        </is>
      </c>
      <c r="X169" t="inlineStr">
        <is>
          <t>1991-04-01</t>
        </is>
      </c>
      <c r="Y169" t="n">
        <v>275</v>
      </c>
      <c r="Z169" t="n">
        <v>236</v>
      </c>
      <c r="AA169" t="n">
        <v>356</v>
      </c>
      <c r="AB169" t="n">
        <v>1</v>
      </c>
      <c r="AC169" t="n">
        <v>4</v>
      </c>
      <c r="AD169" t="n">
        <v>17</v>
      </c>
      <c r="AE169" t="n">
        <v>27</v>
      </c>
      <c r="AF169" t="n">
        <v>8</v>
      </c>
      <c r="AG169" t="n">
        <v>11</v>
      </c>
      <c r="AH169" t="n">
        <v>3</v>
      </c>
      <c r="AI169" t="n">
        <v>6</v>
      </c>
      <c r="AJ169" t="n">
        <v>10</v>
      </c>
      <c r="AK169" t="n">
        <v>13</v>
      </c>
      <c r="AL169" t="n">
        <v>0</v>
      </c>
      <c r="AM169" t="n">
        <v>3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HYPERLINK("https://creighton-primo.hosted.exlibrisgroup.com/primo-explore/search?tab=default_tab&amp;search_scope=EVERYTHING&amp;vid=01CRU&amp;lang=en_US&amp;offset=0&amp;query=any,contains,991005217219702656","Catalog Record")</f>
        <v/>
      </c>
      <c r="AT169">
        <f>HYPERLINK("http://www.worldcat.org/oclc/8195499","WorldCat Record")</f>
        <v/>
      </c>
      <c r="AU169" t="inlineStr">
        <is>
          <t>25291338:eng</t>
        </is>
      </c>
      <c r="AV169" t="inlineStr">
        <is>
          <t>8195499</t>
        </is>
      </c>
      <c r="AW169" t="inlineStr">
        <is>
          <t>991005217219702656</t>
        </is>
      </c>
      <c r="AX169" t="inlineStr">
        <is>
          <t>991005217219702656</t>
        </is>
      </c>
      <c r="AY169" t="inlineStr">
        <is>
          <t>2268239680002656</t>
        </is>
      </c>
      <c r="AZ169" t="inlineStr">
        <is>
          <t>BOOK</t>
        </is>
      </c>
      <c r="BB169" t="inlineStr">
        <is>
          <t>9780800616304</t>
        </is>
      </c>
      <c r="BC169" t="inlineStr">
        <is>
          <t>32285000552066</t>
        </is>
      </c>
      <c r="BD169" t="inlineStr">
        <is>
          <t>893527119</t>
        </is>
      </c>
      <c r="BE169" t="inlineStr">
        <is>
          <t>S Brown</t>
        </is>
      </c>
    </row>
    <row r="170">
      <c r="A170" t="inlineStr">
        <is>
          <t>No</t>
        </is>
      </c>
      <c r="B170" t="inlineStr">
        <is>
          <t>BS480 .L347 1992</t>
        </is>
      </c>
      <c r="C170" t="inlineStr">
        <is>
          <t>0                      BS 0480000L  347         1992</t>
        </is>
      </c>
      <c r="D170" t="inlineStr">
        <is>
          <t>The unauthorized version : truth and fiction in the Bible / Robin Lane Fox.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Lane Fox, Robin, 1946-</t>
        </is>
      </c>
      <c r="L170" t="inlineStr">
        <is>
          <t>New York : Knopf : Distributed by Random House, 1992.</t>
        </is>
      </c>
      <c r="M170" t="inlineStr">
        <is>
          <t>1992</t>
        </is>
      </c>
      <c r="N170" t="inlineStr">
        <is>
          <t>1st American ed.</t>
        </is>
      </c>
      <c r="O170" t="inlineStr">
        <is>
          <t>eng</t>
        </is>
      </c>
      <c r="P170" t="inlineStr">
        <is>
          <t>nyu</t>
        </is>
      </c>
      <c r="R170" t="inlineStr">
        <is>
          <t xml:space="preserve">BS </t>
        </is>
      </c>
      <c r="S170" t="n">
        <v>7</v>
      </c>
      <c r="T170" t="n">
        <v>7</v>
      </c>
      <c r="U170" t="inlineStr">
        <is>
          <t>2009-10-13</t>
        </is>
      </c>
      <c r="V170" t="inlineStr">
        <is>
          <t>2009-10-13</t>
        </is>
      </c>
      <c r="W170" t="inlineStr">
        <is>
          <t>1994-01-14</t>
        </is>
      </c>
      <c r="X170" t="inlineStr">
        <is>
          <t>1994-01-14</t>
        </is>
      </c>
      <c r="Y170" t="n">
        <v>1121</v>
      </c>
      <c r="Z170" t="n">
        <v>1059</v>
      </c>
      <c r="AA170" t="n">
        <v>1248</v>
      </c>
      <c r="AB170" t="n">
        <v>7</v>
      </c>
      <c r="AC170" t="n">
        <v>8</v>
      </c>
      <c r="AD170" t="n">
        <v>35</v>
      </c>
      <c r="AE170" t="n">
        <v>40</v>
      </c>
      <c r="AF170" t="n">
        <v>12</v>
      </c>
      <c r="AG170" t="n">
        <v>17</v>
      </c>
      <c r="AH170" t="n">
        <v>7</v>
      </c>
      <c r="AI170" t="n">
        <v>7</v>
      </c>
      <c r="AJ170" t="n">
        <v>20</v>
      </c>
      <c r="AK170" t="n">
        <v>22</v>
      </c>
      <c r="AL170" t="n">
        <v>4</v>
      </c>
      <c r="AM170" t="n">
        <v>4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HYPERLINK("http://catalog.hathitrust.org/Record/004515501","HathiTrust Record")</f>
        <v/>
      </c>
      <c r="AS170">
        <f>HYPERLINK("https://creighton-primo.hosted.exlibrisgroup.com/primo-explore/search?tab=default_tab&amp;search_scope=EVERYTHING&amp;vid=01CRU&amp;lang=en_US&amp;offset=0&amp;query=any,contains,991001966229702656","Catalog Record")</f>
        <v/>
      </c>
      <c r="AT170">
        <f>HYPERLINK("http://www.worldcat.org/oclc/24911218","WorldCat Record")</f>
        <v/>
      </c>
      <c r="AU170" t="inlineStr">
        <is>
          <t>178894:eng</t>
        </is>
      </c>
      <c r="AV170" t="inlineStr">
        <is>
          <t>24911218</t>
        </is>
      </c>
      <c r="AW170" t="inlineStr">
        <is>
          <t>991001966229702656</t>
        </is>
      </c>
      <c r="AX170" t="inlineStr">
        <is>
          <t>991001966229702656</t>
        </is>
      </c>
      <c r="AY170" t="inlineStr">
        <is>
          <t>2262540870002656</t>
        </is>
      </c>
      <c r="AZ170" t="inlineStr">
        <is>
          <t>BOOK</t>
        </is>
      </c>
      <c r="BB170" t="inlineStr">
        <is>
          <t>9780394573984</t>
        </is>
      </c>
      <c r="BC170" t="inlineStr">
        <is>
          <t>32285001831675</t>
        </is>
      </c>
      <c r="BD170" t="inlineStr">
        <is>
          <t>893328527</t>
        </is>
      </c>
      <c r="BE170" t="inlineStr">
        <is>
          <t>ZB Smith</t>
        </is>
      </c>
    </row>
    <row r="171">
      <c r="A171" t="inlineStr">
        <is>
          <t>No</t>
        </is>
      </c>
      <c r="B171" t="inlineStr">
        <is>
          <t>BS501.A43 L66 1997</t>
        </is>
      </c>
      <c r="C171" t="inlineStr">
        <is>
          <t>0                      BS 0501000A  43                 L  66          1997</t>
        </is>
      </c>
      <c r="D171" t="inlineStr">
        <is>
          <t>Planting and reaping Albright : politics, ideology, and interpreting the Bible / Burke O. Long.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Long, Burke O.</t>
        </is>
      </c>
      <c r="L171" t="inlineStr">
        <is>
          <t>University Park, Pa. : Pennsylvania State University Press, c1997.</t>
        </is>
      </c>
      <c r="M171" t="inlineStr">
        <is>
          <t>1997</t>
        </is>
      </c>
      <c r="O171" t="inlineStr">
        <is>
          <t>eng</t>
        </is>
      </c>
      <c r="P171" t="inlineStr">
        <is>
          <t>pau</t>
        </is>
      </c>
      <c r="R171" t="inlineStr">
        <is>
          <t xml:space="preserve">BS </t>
        </is>
      </c>
      <c r="S171" t="n">
        <v>2</v>
      </c>
      <c r="T171" t="n">
        <v>2</v>
      </c>
      <c r="U171" t="inlineStr">
        <is>
          <t>1999-01-31</t>
        </is>
      </c>
      <c r="V171" t="inlineStr">
        <is>
          <t>1999-01-31</t>
        </is>
      </c>
      <c r="W171" t="inlineStr">
        <is>
          <t>1998-09-10</t>
        </is>
      </c>
      <c r="X171" t="inlineStr">
        <is>
          <t>1998-09-10</t>
        </is>
      </c>
      <c r="Y171" t="n">
        <v>226</v>
      </c>
      <c r="Z171" t="n">
        <v>188</v>
      </c>
      <c r="AA171" t="n">
        <v>188</v>
      </c>
      <c r="AB171" t="n">
        <v>4</v>
      </c>
      <c r="AC171" t="n">
        <v>4</v>
      </c>
      <c r="AD171" t="n">
        <v>18</v>
      </c>
      <c r="AE171" t="n">
        <v>18</v>
      </c>
      <c r="AF171" t="n">
        <v>6</v>
      </c>
      <c r="AG171" t="n">
        <v>6</v>
      </c>
      <c r="AH171" t="n">
        <v>4</v>
      </c>
      <c r="AI171" t="n">
        <v>4</v>
      </c>
      <c r="AJ171" t="n">
        <v>9</v>
      </c>
      <c r="AK171" t="n">
        <v>9</v>
      </c>
      <c r="AL171" t="n">
        <v>3</v>
      </c>
      <c r="AM171" t="n">
        <v>3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HYPERLINK("https://creighton-primo.hosted.exlibrisgroup.com/primo-explore/search?tab=default_tab&amp;search_scope=EVERYTHING&amp;vid=01CRU&amp;lang=en_US&amp;offset=0&amp;query=any,contains,991002558329702656","Catalog Record")</f>
        <v/>
      </c>
      <c r="AT171">
        <f>HYPERLINK("http://www.worldcat.org/oclc/33245339","WorldCat Record")</f>
        <v/>
      </c>
      <c r="AU171" t="inlineStr">
        <is>
          <t>196146661:eng</t>
        </is>
      </c>
      <c r="AV171" t="inlineStr">
        <is>
          <t>33245339</t>
        </is>
      </c>
      <c r="AW171" t="inlineStr">
        <is>
          <t>991002558329702656</t>
        </is>
      </c>
      <c r="AX171" t="inlineStr">
        <is>
          <t>991002558329702656</t>
        </is>
      </c>
      <c r="AY171" t="inlineStr">
        <is>
          <t>2257119270002656</t>
        </is>
      </c>
      <c r="AZ171" t="inlineStr">
        <is>
          <t>BOOK</t>
        </is>
      </c>
      <c r="BB171" t="inlineStr">
        <is>
          <t>9780271015767</t>
        </is>
      </c>
      <c r="BC171" t="inlineStr">
        <is>
          <t>32285003467288</t>
        </is>
      </c>
      <c r="BD171" t="inlineStr">
        <is>
          <t>893504525</t>
        </is>
      </c>
      <c r="BE171" t="inlineStr">
        <is>
          <t>Simkins</t>
        </is>
      </c>
    </row>
    <row r="172">
      <c r="A172" t="inlineStr">
        <is>
          <t>No</t>
        </is>
      </c>
      <c r="B172" t="inlineStr">
        <is>
          <t>BS525 .G653</t>
        </is>
      </c>
      <c r="C172" t="inlineStr">
        <is>
          <t>0                      BS 0525000G  653</t>
        </is>
      </c>
      <c r="D172" t="inlineStr">
        <is>
          <t>Hesed in the Bible. Translated by Alfred Gottschalk, with an introd. by Gerald A. Larue. Edited by Elias L. Epstein.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Glueck, Nelson, 1900-1972.</t>
        </is>
      </c>
      <c r="L172" t="inlineStr">
        <is>
          <t>Cincinnati, Hebrew Union College Press, 1967.</t>
        </is>
      </c>
      <c r="M172" t="inlineStr">
        <is>
          <t>1967</t>
        </is>
      </c>
      <c r="O172" t="inlineStr">
        <is>
          <t>eng</t>
        </is>
      </c>
      <c r="P172" t="inlineStr">
        <is>
          <t>ohu</t>
        </is>
      </c>
      <c r="R172" t="inlineStr">
        <is>
          <t xml:space="preserve">BS </t>
        </is>
      </c>
      <c r="S172" t="n">
        <v>5</v>
      </c>
      <c r="T172" t="n">
        <v>5</v>
      </c>
      <c r="U172" t="inlineStr">
        <is>
          <t>2002-10-28</t>
        </is>
      </c>
      <c r="V172" t="inlineStr">
        <is>
          <t>2002-10-28</t>
        </is>
      </c>
      <c r="W172" t="inlineStr">
        <is>
          <t>1991-04-08</t>
        </is>
      </c>
      <c r="X172" t="inlineStr">
        <is>
          <t>1991-04-08</t>
        </is>
      </c>
      <c r="Y172" t="n">
        <v>488</v>
      </c>
      <c r="Z172" t="n">
        <v>394</v>
      </c>
      <c r="AA172" t="n">
        <v>464</v>
      </c>
      <c r="AB172" t="n">
        <v>1</v>
      </c>
      <c r="AC172" t="n">
        <v>1</v>
      </c>
      <c r="AD172" t="n">
        <v>25</v>
      </c>
      <c r="AE172" t="n">
        <v>27</v>
      </c>
      <c r="AF172" t="n">
        <v>13</v>
      </c>
      <c r="AG172" t="n">
        <v>14</v>
      </c>
      <c r="AH172" t="n">
        <v>5</v>
      </c>
      <c r="AI172" t="n">
        <v>5</v>
      </c>
      <c r="AJ172" t="n">
        <v>16</v>
      </c>
      <c r="AK172" t="n">
        <v>17</v>
      </c>
      <c r="AL172" t="n">
        <v>0</v>
      </c>
      <c r="AM172" t="n">
        <v>0</v>
      </c>
      <c r="AN172" t="n">
        <v>0</v>
      </c>
      <c r="AO172" t="n">
        <v>0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HYPERLINK("http://catalog.hathitrust.org/Record/001409333","HathiTrust Record")</f>
        <v/>
      </c>
      <c r="AS172">
        <f>HYPERLINK("https://creighton-primo.hosted.exlibrisgroup.com/primo-explore/search?tab=default_tab&amp;search_scope=EVERYTHING&amp;vid=01CRU&amp;lang=en_US&amp;offset=0&amp;query=any,contains,991003541629702656","Catalog Record")</f>
        <v/>
      </c>
      <c r="AT172">
        <f>HYPERLINK("http://www.worldcat.org/oclc/356321","WorldCat Record")</f>
        <v/>
      </c>
      <c r="AU172" t="inlineStr">
        <is>
          <t>569297126:eng</t>
        </is>
      </c>
      <c r="AV172" t="inlineStr">
        <is>
          <t>356321</t>
        </is>
      </c>
      <c r="AW172" t="inlineStr">
        <is>
          <t>991003541629702656</t>
        </is>
      </c>
      <c r="AX172" t="inlineStr">
        <is>
          <t>991003541629702656</t>
        </is>
      </c>
      <c r="AY172" t="inlineStr">
        <is>
          <t>2259579020002656</t>
        </is>
      </c>
      <c r="AZ172" t="inlineStr">
        <is>
          <t>BOOK</t>
        </is>
      </c>
      <c r="BC172" t="inlineStr">
        <is>
          <t>32285000554161</t>
        </is>
      </c>
      <c r="BD172" t="inlineStr">
        <is>
          <t>893617447</t>
        </is>
      </c>
      <c r="BE172" t="inlineStr">
        <is>
          <t>Simkins</t>
        </is>
      </c>
    </row>
    <row r="173">
      <c r="A173" t="inlineStr">
        <is>
          <t>No</t>
        </is>
      </c>
      <c r="B173" t="inlineStr">
        <is>
          <t>BS535 .A57 1992</t>
        </is>
      </c>
      <c r="C173" t="inlineStr">
        <is>
          <t>0                      BS 0535000A  57          1992</t>
        </is>
      </c>
      <c r="D173" t="inlineStr">
        <is>
          <t>The world of biblical literature / Robert Alter.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Alter, Robert.</t>
        </is>
      </c>
      <c r="L173" t="inlineStr">
        <is>
          <t>[New York] : BasicBooks, c1992.</t>
        </is>
      </c>
      <c r="M173" t="inlineStr">
        <is>
          <t>1992</t>
        </is>
      </c>
      <c r="O173" t="inlineStr">
        <is>
          <t>eng</t>
        </is>
      </c>
      <c r="P173" t="inlineStr">
        <is>
          <t>nyu</t>
        </is>
      </c>
      <c r="R173" t="inlineStr">
        <is>
          <t xml:space="preserve">BS </t>
        </is>
      </c>
      <c r="S173" t="n">
        <v>2</v>
      </c>
      <c r="T173" t="n">
        <v>2</v>
      </c>
      <c r="U173" t="inlineStr">
        <is>
          <t>2010-12-09</t>
        </is>
      </c>
      <c r="V173" t="inlineStr">
        <is>
          <t>2010-12-09</t>
        </is>
      </c>
      <c r="W173" t="inlineStr">
        <is>
          <t>2010-12-09</t>
        </is>
      </c>
      <c r="X173" t="inlineStr">
        <is>
          <t>2010-12-09</t>
        </is>
      </c>
      <c r="Y173" t="n">
        <v>1146</v>
      </c>
      <c r="Z173" t="n">
        <v>1024</v>
      </c>
      <c r="AA173" t="n">
        <v>1048</v>
      </c>
      <c r="AB173" t="n">
        <v>11</v>
      </c>
      <c r="AC173" t="n">
        <v>11</v>
      </c>
      <c r="AD173" t="n">
        <v>47</v>
      </c>
      <c r="AE173" t="n">
        <v>47</v>
      </c>
      <c r="AF173" t="n">
        <v>20</v>
      </c>
      <c r="AG173" t="n">
        <v>20</v>
      </c>
      <c r="AH173" t="n">
        <v>9</v>
      </c>
      <c r="AI173" t="n">
        <v>9</v>
      </c>
      <c r="AJ173" t="n">
        <v>24</v>
      </c>
      <c r="AK173" t="n">
        <v>24</v>
      </c>
      <c r="AL173" t="n">
        <v>6</v>
      </c>
      <c r="AM173" t="n">
        <v>6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HYPERLINK("http://catalog.hathitrust.org/Record/004521164","HathiTrust Record")</f>
        <v/>
      </c>
      <c r="AS173">
        <f>HYPERLINK("https://creighton-primo.hosted.exlibrisgroup.com/primo-explore/search?tab=default_tab&amp;search_scope=EVERYTHING&amp;vid=01CRU&amp;lang=en_US&amp;offset=0&amp;query=any,contains,991000394889702656","Catalog Record")</f>
        <v/>
      </c>
      <c r="AT173">
        <f>HYPERLINK("http://www.worldcat.org/oclc/24319849","WorldCat Record")</f>
        <v/>
      </c>
      <c r="AU173" t="inlineStr">
        <is>
          <t>20760140:eng</t>
        </is>
      </c>
      <c r="AV173" t="inlineStr">
        <is>
          <t>24319849</t>
        </is>
      </c>
      <c r="AW173" t="inlineStr">
        <is>
          <t>991000394889702656</t>
        </is>
      </c>
      <c r="AX173" t="inlineStr">
        <is>
          <t>991000394889702656</t>
        </is>
      </c>
      <c r="AY173" t="inlineStr">
        <is>
          <t>2272054250002656</t>
        </is>
      </c>
      <c r="AZ173" t="inlineStr">
        <is>
          <t>BOOK</t>
        </is>
      </c>
      <c r="BB173" t="inlineStr">
        <is>
          <t>9780465092550</t>
        </is>
      </c>
      <c r="BC173" t="inlineStr">
        <is>
          <t>32285005609986</t>
        </is>
      </c>
      <c r="BD173" t="inlineStr">
        <is>
          <t>893243209</t>
        </is>
      </c>
      <c r="BE173" t="inlineStr">
        <is>
          <t>S Brown</t>
        </is>
      </c>
    </row>
    <row r="174">
      <c r="A174" t="inlineStr">
        <is>
          <t>No</t>
        </is>
      </c>
      <c r="B174" t="inlineStr">
        <is>
          <t>BS537 .S541 1983</t>
        </is>
      </c>
      <c r="C174" t="inlineStr">
        <is>
          <t>0                      BS 0537000S  541         1983</t>
        </is>
      </c>
      <c r="D174" t="inlineStr">
        <is>
          <t>Biblical words and their meaning : an introduction to lexical semantics / Moisés Silva.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Silva, Moisés.</t>
        </is>
      </c>
      <c r="L174" t="inlineStr">
        <is>
          <t>Grand Rapids, Mich. : Zondervan Pub., c1983.</t>
        </is>
      </c>
      <c r="M174" t="inlineStr">
        <is>
          <t>1983</t>
        </is>
      </c>
      <c r="O174" t="inlineStr">
        <is>
          <t>eng</t>
        </is>
      </c>
      <c r="P174" t="inlineStr">
        <is>
          <t>miu</t>
        </is>
      </c>
      <c r="R174" t="inlineStr">
        <is>
          <t xml:space="preserve">BS </t>
        </is>
      </c>
      <c r="S174" t="n">
        <v>7</v>
      </c>
      <c r="T174" t="n">
        <v>7</v>
      </c>
      <c r="U174" t="inlineStr">
        <is>
          <t>1998-04-08</t>
        </is>
      </c>
      <c r="V174" t="inlineStr">
        <is>
          <t>1998-04-08</t>
        </is>
      </c>
      <c r="W174" t="inlineStr">
        <is>
          <t>1991-04-08</t>
        </is>
      </c>
      <c r="X174" t="inlineStr">
        <is>
          <t>1991-04-08</t>
        </is>
      </c>
      <c r="Y174" t="n">
        <v>363</v>
      </c>
      <c r="Z174" t="n">
        <v>291</v>
      </c>
      <c r="AA174" t="n">
        <v>397</v>
      </c>
      <c r="AB174" t="n">
        <v>3</v>
      </c>
      <c r="AC174" t="n">
        <v>4</v>
      </c>
      <c r="AD174" t="n">
        <v>14</v>
      </c>
      <c r="AE174" t="n">
        <v>15</v>
      </c>
      <c r="AF174" t="n">
        <v>4</v>
      </c>
      <c r="AG174" t="n">
        <v>4</v>
      </c>
      <c r="AH174" t="n">
        <v>2</v>
      </c>
      <c r="AI174" t="n">
        <v>2</v>
      </c>
      <c r="AJ174" t="n">
        <v>8</v>
      </c>
      <c r="AK174" t="n">
        <v>8</v>
      </c>
      <c r="AL174" t="n">
        <v>2</v>
      </c>
      <c r="AM174" t="n">
        <v>3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HYPERLINK("http://catalog.hathitrust.org/Record/000234565","HathiTrust Record")</f>
        <v/>
      </c>
      <c r="AS174">
        <f>HYPERLINK("https://creighton-primo.hosted.exlibrisgroup.com/primo-explore/search?tab=default_tab&amp;search_scope=EVERYTHING&amp;vid=01CRU&amp;lang=en_US&amp;offset=0&amp;query=any,contains,991000072729702656","Catalog Record")</f>
        <v/>
      </c>
      <c r="AT174">
        <f>HYPERLINK("http://www.worldcat.org/oclc/8786142","WorldCat Record")</f>
        <v/>
      </c>
      <c r="AU174" t="inlineStr">
        <is>
          <t>10478370:eng</t>
        </is>
      </c>
      <c r="AV174" t="inlineStr">
        <is>
          <t>8786142</t>
        </is>
      </c>
      <c r="AW174" t="inlineStr">
        <is>
          <t>991000072729702656</t>
        </is>
      </c>
      <c r="AX174" t="inlineStr">
        <is>
          <t>991000072729702656</t>
        </is>
      </c>
      <c r="AY174" t="inlineStr">
        <is>
          <t>2266533560002656</t>
        </is>
      </c>
      <c r="AZ174" t="inlineStr">
        <is>
          <t>BOOK</t>
        </is>
      </c>
      <c r="BB174" t="inlineStr">
        <is>
          <t>9780310456711</t>
        </is>
      </c>
      <c r="BC174" t="inlineStr">
        <is>
          <t>32285000554484</t>
        </is>
      </c>
      <c r="BD174" t="inlineStr">
        <is>
          <t>893527773</t>
        </is>
      </c>
      <c r="BE174" t="inlineStr">
        <is>
          <t>S Brown</t>
        </is>
      </c>
    </row>
    <row r="175">
      <c r="A175" t="inlineStr">
        <is>
          <t>No</t>
        </is>
      </c>
      <c r="B175" t="inlineStr">
        <is>
          <t>BS543 .R35 1989</t>
        </is>
      </c>
      <c r="C175" t="inlineStr">
        <is>
          <t>0                      BS 0543000R  35          1989</t>
        </is>
      </c>
      <c r="D175" t="inlineStr">
        <is>
          <t>Plain words about biblical images : growing in our faith through the Scriptures / Margaret Nutting Ralph.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Ralph, Margaret Nutting.</t>
        </is>
      </c>
      <c r="L175" t="inlineStr">
        <is>
          <t>New York : Paulist Press, c1989.</t>
        </is>
      </c>
      <c r="M175" t="inlineStr">
        <is>
          <t>1989</t>
        </is>
      </c>
      <c r="O175" t="inlineStr">
        <is>
          <t>eng</t>
        </is>
      </c>
      <c r="P175" t="inlineStr">
        <is>
          <t>nyu</t>
        </is>
      </c>
      <c r="R175" t="inlineStr">
        <is>
          <t xml:space="preserve">BS </t>
        </is>
      </c>
      <c r="S175" t="n">
        <v>8</v>
      </c>
      <c r="T175" t="n">
        <v>8</v>
      </c>
      <c r="U175" t="inlineStr">
        <is>
          <t>1997-07-01</t>
        </is>
      </c>
      <c r="V175" t="inlineStr">
        <is>
          <t>1997-07-01</t>
        </is>
      </c>
      <c r="W175" t="inlineStr">
        <is>
          <t>1990-02-26</t>
        </is>
      </c>
      <c r="X175" t="inlineStr">
        <is>
          <t>1990-02-26</t>
        </is>
      </c>
      <c r="Y175" t="n">
        <v>138</v>
      </c>
      <c r="Z175" t="n">
        <v>121</v>
      </c>
      <c r="AA175" t="n">
        <v>127</v>
      </c>
      <c r="AB175" t="n">
        <v>2</v>
      </c>
      <c r="AC175" t="n">
        <v>2</v>
      </c>
      <c r="AD175" t="n">
        <v>11</v>
      </c>
      <c r="AE175" t="n">
        <v>12</v>
      </c>
      <c r="AF175" t="n">
        <v>1</v>
      </c>
      <c r="AG175" t="n">
        <v>2</v>
      </c>
      <c r="AH175" t="n">
        <v>4</v>
      </c>
      <c r="AI175" t="n">
        <v>4</v>
      </c>
      <c r="AJ175" t="n">
        <v>8</v>
      </c>
      <c r="AK175" t="n">
        <v>9</v>
      </c>
      <c r="AL175" t="n">
        <v>0</v>
      </c>
      <c r="AM175" t="n">
        <v>0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HYPERLINK("https://creighton-primo.hosted.exlibrisgroup.com/primo-explore/search?tab=default_tab&amp;search_scope=EVERYTHING&amp;vid=01CRU&amp;lang=en_US&amp;offset=0&amp;query=any,contains,991001372219702656","Catalog Record")</f>
        <v/>
      </c>
      <c r="AT175">
        <f>HYPERLINK("http://www.worldcat.org/oclc/18588190","WorldCat Record")</f>
        <v/>
      </c>
      <c r="AU175" t="inlineStr">
        <is>
          <t>16521865:eng</t>
        </is>
      </c>
      <c r="AV175" t="inlineStr">
        <is>
          <t>18588190</t>
        </is>
      </c>
      <c r="AW175" t="inlineStr">
        <is>
          <t>991001372219702656</t>
        </is>
      </c>
      <c r="AX175" t="inlineStr">
        <is>
          <t>991001372219702656</t>
        </is>
      </c>
      <c r="AY175" t="inlineStr">
        <is>
          <t>2265928160002656</t>
        </is>
      </c>
      <c r="AZ175" t="inlineStr">
        <is>
          <t>BOOK</t>
        </is>
      </c>
      <c r="BB175" t="inlineStr">
        <is>
          <t>9780809130450</t>
        </is>
      </c>
      <c r="BC175" t="inlineStr">
        <is>
          <t>32285000041094</t>
        </is>
      </c>
      <c r="BD175" t="inlineStr">
        <is>
          <t>893250197</t>
        </is>
      </c>
      <c r="BE175" t="inlineStr">
        <is>
          <t>S Brown</t>
        </is>
      </c>
    </row>
    <row r="176">
      <c r="A176" t="inlineStr">
        <is>
          <t>No</t>
        </is>
      </c>
      <c r="B176" t="inlineStr">
        <is>
          <t>BS543.A1 S82 no.17</t>
        </is>
      </c>
      <c r="C176" t="inlineStr">
        <is>
          <t>0                      BS 0543000A  1                  S  82                                no.17</t>
        </is>
      </c>
      <c r="D176" t="inlineStr">
        <is>
          <t>The Christology of early Jewish Christianity [by] Richard N. Longenecker. --</t>
        </is>
      </c>
      <c r="E176" t="inlineStr">
        <is>
          <t>no.17*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Longenecker, Richard N.</t>
        </is>
      </c>
      <c r="L176" t="inlineStr">
        <is>
          <t>Naperville, Ill., A. R. Allenson [c1970]</t>
        </is>
      </c>
      <c r="M176" t="inlineStr">
        <is>
          <t>1970</t>
        </is>
      </c>
      <c r="O176" t="inlineStr">
        <is>
          <t>eng</t>
        </is>
      </c>
      <c r="P176" t="inlineStr">
        <is>
          <t>ilu</t>
        </is>
      </c>
      <c r="Q176" t="inlineStr">
        <is>
          <t>Studies in biblical theology ; 2d ser., 17</t>
        </is>
      </c>
      <c r="R176" t="inlineStr">
        <is>
          <t xml:space="preserve">BS </t>
        </is>
      </c>
      <c r="S176" t="n">
        <v>2</v>
      </c>
      <c r="T176" t="n">
        <v>2</v>
      </c>
      <c r="U176" t="inlineStr">
        <is>
          <t>1998-04-20</t>
        </is>
      </c>
      <c r="V176" t="inlineStr">
        <is>
          <t>1998-04-20</t>
        </is>
      </c>
      <c r="W176" t="inlineStr">
        <is>
          <t>1991-04-10</t>
        </is>
      </c>
      <c r="X176" t="inlineStr">
        <is>
          <t>1991-04-10</t>
        </is>
      </c>
      <c r="Y176" t="n">
        <v>337</v>
      </c>
      <c r="Z176" t="n">
        <v>318</v>
      </c>
      <c r="AA176" t="n">
        <v>501</v>
      </c>
      <c r="AB176" t="n">
        <v>3</v>
      </c>
      <c r="AC176" t="n">
        <v>5</v>
      </c>
      <c r="AD176" t="n">
        <v>23</v>
      </c>
      <c r="AE176" t="n">
        <v>30</v>
      </c>
      <c r="AF176" t="n">
        <v>8</v>
      </c>
      <c r="AG176" t="n">
        <v>12</v>
      </c>
      <c r="AH176" t="n">
        <v>6</v>
      </c>
      <c r="AI176" t="n">
        <v>7</v>
      </c>
      <c r="AJ176" t="n">
        <v>16</v>
      </c>
      <c r="AK176" t="n">
        <v>17</v>
      </c>
      <c r="AL176" t="n">
        <v>2</v>
      </c>
      <c r="AM176" t="n">
        <v>3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HYPERLINK("http://catalog.hathitrust.org/Record/101871906","HathiTrust Record")</f>
        <v/>
      </c>
      <c r="AS176">
        <f>HYPERLINK("https://creighton-primo.hosted.exlibrisgroup.com/primo-explore/search?tab=default_tab&amp;search_scope=EVERYTHING&amp;vid=01CRU&amp;lang=en_US&amp;offset=0&amp;query=any,contains,991000743909702656","Catalog Record")</f>
        <v/>
      </c>
      <c r="AT176">
        <f>HYPERLINK("http://www.worldcat.org/oclc/129748","WorldCat Record")</f>
        <v/>
      </c>
      <c r="AU176" t="inlineStr">
        <is>
          <t>1259649:eng</t>
        </is>
      </c>
      <c r="AV176" t="inlineStr">
        <is>
          <t>129748</t>
        </is>
      </c>
      <c r="AW176" t="inlineStr">
        <is>
          <t>991000743909702656</t>
        </is>
      </c>
      <c r="AX176" t="inlineStr">
        <is>
          <t>991000743909702656</t>
        </is>
      </c>
      <c r="AY176" t="inlineStr">
        <is>
          <t>2266724630002656</t>
        </is>
      </c>
      <c r="AZ176" t="inlineStr">
        <is>
          <t>BOOK</t>
        </is>
      </c>
      <c r="BB176" t="inlineStr">
        <is>
          <t>9780840130679</t>
        </is>
      </c>
      <c r="BC176" t="inlineStr">
        <is>
          <t>32285000581297</t>
        </is>
      </c>
      <c r="BD176" t="inlineStr">
        <is>
          <t>893339848</t>
        </is>
      </c>
      <c r="BE176" t="inlineStr">
        <is>
          <t>S Brown</t>
        </is>
      </c>
    </row>
    <row r="177">
      <c r="A177" t="inlineStr">
        <is>
          <t>No</t>
        </is>
      </c>
      <c r="B177" t="inlineStr">
        <is>
          <t>BS543.A1 S82 no.18</t>
        </is>
      </c>
      <c r="C177" t="inlineStr">
        <is>
          <t>0                      BS 0543000A  1                  S  82                                no.18</t>
        </is>
      </c>
      <c r="D177" t="inlineStr">
        <is>
          <t>The sign of Jonah in the theology of the Evangelists and Q.</t>
        </is>
      </c>
      <c r="E177" t="inlineStr">
        <is>
          <t>no.18*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Edwards, Richard Alan.</t>
        </is>
      </c>
      <c r="L177" t="inlineStr">
        <is>
          <t>Naperville, Ill. : A. R. Allenson, [1971?]</t>
        </is>
      </c>
      <c r="M177" t="inlineStr">
        <is>
          <t>1971</t>
        </is>
      </c>
      <c r="O177" t="inlineStr">
        <is>
          <t>eng</t>
        </is>
      </c>
      <c r="P177" t="inlineStr">
        <is>
          <t>ilu</t>
        </is>
      </c>
      <c r="Q177" t="inlineStr">
        <is>
          <t>Studies in biblical theology ; 2d ser., 18</t>
        </is>
      </c>
      <c r="R177" t="inlineStr">
        <is>
          <t xml:space="preserve">BS </t>
        </is>
      </c>
      <c r="S177" t="n">
        <v>2</v>
      </c>
      <c r="T177" t="n">
        <v>2</v>
      </c>
      <c r="U177" t="inlineStr">
        <is>
          <t>2009-12-01</t>
        </is>
      </c>
      <c r="V177" t="inlineStr">
        <is>
          <t>2009-12-01</t>
        </is>
      </c>
      <c r="W177" t="inlineStr">
        <is>
          <t>1991-04-10</t>
        </is>
      </c>
      <c r="X177" t="inlineStr">
        <is>
          <t>1991-04-10</t>
        </is>
      </c>
      <c r="Y177" t="n">
        <v>284</v>
      </c>
      <c r="Z177" t="n">
        <v>271</v>
      </c>
      <c r="AA177" t="n">
        <v>358</v>
      </c>
      <c r="AB177" t="n">
        <v>4</v>
      </c>
      <c r="AC177" t="n">
        <v>4</v>
      </c>
      <c r="AD177" t="n">
        <v>25</v>
      </c>
      <c r="AE177" t="n">
        <v>27</v>
      </c>
      <c r="AF177" t="n">
        <v>4</v>
      </c>
      <c r="AG177" t="n">
        <v>5</v>
      </c>
      <c r="AH177" t="n">
        <v>7</v>
      </c>
      <c r="AI177" t="n">
        <v>8</v>
      </c>
      <c r="AJ177" t="n">
        <v>17</v>
      </c>
      <c r="AK177" t="n">
        <v>18</v>
      </c>
      <c r="AL177" t="n">
        <v>3</v>
      </c>
      <c r="AM177" t="n">
        <v>3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HYPERLINK("http://catalog.hathitrust.org/Record/006021334","HathiTrust Record")</f>
        <v/>
      </c>
      <c r="AS177">
        <f>HYPERLINK("https://creighton-primo.hosted.exlibrisgroup.com/primo-explore/search?tab=default_tab&amp;search_scope=EVERYTHING&amp;vid=01CRU&amp;lang=en_US&amp;offset=0&amp;query=any,contains,991000926439702656","Catalog Record")</f>
        <v/>
      </c>
      <c r="AT177">
        <f>HYPERLINK("http://www.worldcat.org/oclc/163480","WorldCat Record")</f>
        <v/>
      </c>
      <c r="AU177" t="inlineStr">
        <is>
          <t>9294970483:eng</t>
        </is>
      </c>
      <c r="AV177" t="inlineStr">
        <is>
          <t>163480</t>
        </is>
      </c>
      <c r="AW177" t="inlineStr">
        <is>
          <t>991000926439702656</t>
        </is>
      </c>
      <c r="AX177" t="inlineStr">
        <is>
          <t>991000926439702656</t>
        </is>
      </c>
      <c r="AY177" t="inlineStr">
        <is>
          <t>2272179420002656</t>
        </is>
      </c>
      <c r="AZ177" t="inlineStr">
        <is>
          <t>BOOK</t>
        </is>
      </c>
      <c r="BB177" t="inlineStr">
        <is>
          <t>9780840130686</t>
        </is>
      </c>
      <c r="BC177" t="inlineStr">
        <is>
          <t>32285000581305</t>
        </is>
      </c>
      <c r="BD177" t="inlineStr">
        <is>
          <t>893772115</t>
        </is>
      </c>
      <c r="BE177" t="inlineStr">
        <is>
          <t>S Brown</t>
        </is>
      </c>
    </row>
    <row r="178">
      <c r="A178" t="inlineStr">
        <is>
          <t>No</t>
        </is>
      </c>
      <c r="B178" t="inlineStr">
        <is>
          <t>BS543.A1 S82 no.19</t>
        </is>
      </c>
      <c r="C178" t="inlineStr">
        <is>
          <t>0                      BS 0543000A  1                  S  82                                no.19</t>
        </is>
      </c>
      <c r="D178" t="inlineStr">
        <is>
          <t>The obedience of faith; the purposes of Paul in the Epistle to the Romans [by] Paul S. Minear.</t>
        </is>
      </c>
      <c r="E178" t="inlineStr">
        <is>
          <t>no.19*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Minear, Paul S. (Paul Sevier), 1906-2007.</t>
        </is>
      </c>
      <c r="L178" t="inlineStr">
        <is>
          <t>Naperville, Ill., A. R. Allenson [1971]</t>
        </is>
      </c>
      <c r="M178" t="inlineStr">
        <is>
          <t>1971</t>
        </is>
      </c>
      <c r="O178" t="inlineStr">
        <is>
          <t>eng</t>
        </is>
      </c>
      <c r="P178" t="inlineStr">
        <is>
          <t>ilu</t>
        </is>
      </c>
      <c r="Q178" t="inlineStr">
        <is>
          <t>Studies in biblical theology ; 2d ser., 19</t>
        </is>
      </c>
      <c r="R178" t="inlineStr">
        <is>
          <t xml:space="preserve">BS </t>
        </is>
      </c>
      <c r="S178" t="n">
        <v>3</v>
      </c>
      <c r="T178" t="n">
        <v>3</v>
      </c>
      <c r="U178" t="inlineStr">
        <is>
          <t>1998-12-01</t>
        </is>
      </c>
      <c r="V178" t="inlineStr">
        <is>
          <t>1998-12-01</t>
        </is>
      </c>
      <c r="W178" t="inlineStr">
        <is>
          <t>1991-04-10</t>
        </is>
      </c>
      <c r="X178" t="inlineStr">
        <is>
          <t>1991-04-10</t>
        </is>
      </c>
      <c r="Y178" t="n">
        <v>234</v>
      </c>
      <c r="Z178" t="n">
        <v>229</v>
      </c>
      <c r="AA178" t="n">
        <v>355</v>
      </c>
      <c r="AB178" t="n">
        <v>3</v>
      </c>
      <c r="AC178" t="n">
        <v>4</v>
      </c>
      <c r="AD178" t="n">
        <v>20</v>
      </c>
      <c r="AE178" t="n">
        <v>30</v>
      </c>
      <c r="AF178" t="n">
        <v>7</v>
      </c>
      <c r="AG178" t="n">
        <v>11</v>
      </c>
      <c r="AH178" t="n">
        <v>4</v>
      </c>
      <c r="AI178" t="n">
        <v>7</v>
      </c>
      <c r="AJ178" t="n">
        <v>11</v>
      </c>
      <c r="AK178" t="n">
        <v>16</v>
      </c>
      <c r="AL178" t="n">
        <v>2</v>
      </c>
      <c r="AM178" t="n">
        <v>3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HYPERLINK("http://catalog.hathitrust.org/Record/006020024","HathiTrust Record")</f>
        <v/>
      </c>
      <c r="AS178">
        <f>HYPERLINK("https://creighton-primo.hosted.exlibrisgroup.com/primo-explore/search?tab=default_tab&amp;search_scope=EVERYTHING&amp;vid=01CRU&amp;lang=en_US&amp;offset=0&amp;query=any,contains,991001229849702656","Catalog Record")</f>
        <v/>
      </c>
      <c r="AT178">
        <f>HYPERLINK("http://www.worldcat.org/oclc/202620","WorldCat Record")</f>
        <v/>
      </c>
      <c r="AU178" t="inlineStr">
        <is>
          <t>866518454:eng</t>
        </is>
      </c>
      <c r="AV178" t="inlineStr">
        <is>
          <t>202620</t>
        </is>
      </c>
      <c r="AW178" t="inlineStr">
        <is>
          <t>991001229849702656</t>
        </is>
      </c>
      <c r="AX178" t="inlineStr">
        <is>
          <t>991001229849702656</t>
        </is>
      </c>
      <c r="AY178" t="inlineStr">
        <is>
          <t>2258750700002656</t>
        </is>
      </c>
      <c r="AZ178" t="inlineStr">
        <is>
          <t>BOOK</t>
        </is>
      </c>
      <c r="BB178" t="inlineStr">
        <is>
          <t>9780840130693</t>
        </is>
      </c>
      <c r="BC178" t="inlineStr">
        <is>
          <t>32285000581313</t>
        </is>
      </c>
      <c r="BD178" t="inlineStr">
        <is>
          <t>893696592</t>
        </is>
      </c>
      <c r="BE178" t="inlineStr">
        <is>
          <t>S Brown</t>
        </is>
      </c>
    </row>
    <row r="179">
      <c r="A179" t="inlineStr">
        <is>
          <t>No</t>
        </is>
      </c>
      <c r="B179" t="inlineStr">
        <is>
          <t>BS571 .W548 1991</t>
        </is>
      </c>
      <c r="C179" t="inlineStr">
        <is>
          <t>0                      BS 0571000W  548         1991</t>
        </is>
      </c>
      <c r="D179" t="inlineStr">
        <is>
          <t>Sages and dreamers : biblical, talmudic, and hasidic portraits and legends / Elie Wiesel.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Wiesel, Elie, 1928-2016.</t>
        </is>
      </c>
      <c r="L179" t="inlineStr">
        <is>
          <t>New York : Summit Books, c1991.</t>
        </is>
      </c>
      <c r="M179" t="inlineStr">
        <is>
          <t>1991</t>
        </is>
      </c>
      <c r="O179" t="inlineStr">
        <is>
          <t>eng</t>
        </is>
      </c>
      <c r="P179" t="inlineStr">
        <is>
          <t>nyu</t>
        </is>
      </c>
      <c r="R179" t="inlineStr">
        <is>
          <t xml:space="preserve">BS </t>
        </is>
      </c>
      <c r="S179" t="n">
        <v>4</v>
      </c>
      <c r="T179" t="n">
        <v>4</v>
      </c>
      <c r="U179" t="inlineStr">
        <is>
          <t>2006-11-28</t>
        </is>
      </c>
      <c r="V179" t="inlineStr">
        <is>
          <t>2006-11-28</t>
        </is>
      </c>
      <c r="W179" t="inlineStr">
        <is>
          <t>1993-01-14</t>
        </is>
      </c>
      <c r="X179" t="inlineStr">
        <is>
          <t>1993-01-14</t>
        </is>
      </c>
      <c r="Y179" t="n">
        <v>935</v>
      </c>
      <c r="Z179" t="n">
        <v>878</v>
      </c>
      <c r="AA179" t="n">
        <v>969</v>
      </c>
      <c r="AB179" t="n">
        <v>4</v>
      </c>
      <c r="AC179" t="n">
        <v>4</v>
      </c>
      <c r="AD179" t="n">
        <v>31</v>
      </c>
      <c r="AE179" t="n">
        <v>33</v>
      </c>
      <c r="AF179" t="n">
        <v>14</v>
      </c>
      <c r="AG179" t="n">
        <v>15</v>
      </c>
      <c r="AH179" t="n">
        <v>7</v>
      </c>
      <c r="AI179" t="n">
        <v>8</v>
      </c>
      <c r="AJ179" t="n">
        <v>17</v>
      </c>
      <c r="AK179" t="n">
        <v>18</v>
      </c>
      <c r="AL179" t="n">
        <v>3</v>
      </c>
      <c r="AM179" t="n">
        <v>3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HYPERLINK("http://catalog.hathitrust.org/Record/002482290","HathiTrust Record")</f>
        <v/>
      </c>
      <c r="AS179">
        <f>HYPERLINK("https://creighton-primo.hosted.exlibrisgroup.com/primo-explore/search?tab=default_tab&amp;search_scope=EVERYTHING&amp;vid=01CRU&amp;lang=en_US&amp;offset=0&amp;query=any,contains,991001908469702656","Catalog Record")</f>
        <v/>
      </c>
      <c r="AT179">
        <f>HYPERLINK("http://www.worldcat.org/oclc/24106789","WorldCat Record")</f>
        <v/>
      </c>
      <c r="AU179" t="inlineStr">
        <is>
          <t>25038448:eng</t>
        </is>
      </c>
      <c r="AV179" t="inlineStr">
        <is>
          <t>24106789</t>
        </is>
      </c>
      <c r="AW179" t="inlineStr">
        <is>
          <t>991001908469702656</t>
        </is>
      </c>
      <c r="AX179" t="inlineStr">
        <is>
          <t>991001908469702656</t>
        </is>
      </c>
      <c r="AY179" t="inlineStr">
        <is>
          <t>2256093100002656</t>
        </is>
      </c>
      <c r="AZ179" t="inlineStr">
        <is>
          <t>BOOK</t>
        </is>
      </c>
      <c r="BB179" t="inlineStr">
        <is>
          <t>9780671746797</t>
        </is>
      </c>
      <c r="BC179" t="inlineStr">
        <is>
          <t>32285001469989</t>
        </is>
      </c>
      <c r="BD179" t="inlineStr">
        <is>
          <t>893250599</t>
        </is>
      </c>
      <c r="BE179" t="inlineStr">
        <is>
          <t>S Brown</t>
        </is>
      </c>
    </row>
    <row r="180">
      <c r="A180" t="inlineStr">
        <is>
          <t>No</t>
        </is>
      </c>
      <c r="B180" t="inlineStr">
        <is>
          <t>BS572 .G3714(non LC)</t>
        </is>
      </c>
      <c r="C180" t="inlineStr">
        <is>
          <t>0                      BS 0572000                                                           .G3714(non LC)</t>
        </is>
      </c>
      <c r="D180" t="inlineStr">
        <is>
          <t>The Trinity and God the creator : a commentary on St. Thomas' Theological Summa, Ia, q. 27-119 / by Reginald Garrigou-Lagrange ; translated by Frederic C. Eckhoff.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Garrigou-Lagrange, Réginald, 1877-1964.</t>
        </is>
      </c>
      <c r="L180" t="inlineStr">
        <is>
          <t>St. Louis ; London : B. Herder, 1952.</t>
        </is>
      </c>
      <c r="M180" t="inlineStr">
        <is>
          <t>1952</t>
        </is>
      </c>
      <c r="O180" t="inlineStr">
        <is>
          <t>eng</t>
        </is>
      </c>
      <c r="P180" t="inlineStr">
        <is>
          <t xml:space="preserve">xx </t>
        </is>
      </c>
      <c r="R180" t="inlineStr">
        <is>
          <t xml:space="preserve">BS </t>
        </is>
      </c>
      <c r="S180" t="n">
        <v>14</v>
      </c>
      <c r="T180" t="n">
        <v>14</v>
      </c>
      <c r="U180" t="inlineStr">
        <is>
          <t>2008-10-20</t>
        </is>
      </c>
      <c r="V180" t="inlineStr">
        <is>
          <t>2008-10-20</t>
        </is>
      </c>
      <c r="W180" t="inlineStr">
        <is>
          <t>1991-07-30</t>
        </is>
      </c>
      <c r="X180" t="inlineStr">
        <is>
          <t>1991-07-30</t>
        </is>
      </c>
      <c r="Y180" t="n">
        <v>188</v>
      </c>
      <c r="Z180" t="n">
        <v>168</v>
      </c>
      <c r="AA180" t="n">
        <v>182</v>
      </c>
      <c r="AB180" t="n">
        <v>3</v>
      </c>
      <c r="AC180" t="n">
        <v>3</v>
      </c>
      <c r="AD180" t="n">
        <v>26</v>
      </c>
      <c r="AE180" t="n">
        <v>26</v>
      </c>
      <c r="AF180" t="n">
        <v>9</v>
      </c>
      <c r="AG180" t="n">
        <v>9</v>
      </c>
      <c r="AH180" t="n">
        <v>6</v>
      </c>
      <c r="AI180" t="n">
        <v>6</v>
      </c>
      <c r="AJ180" t="n">
        <v>20</v>
      </c>
      <c r="AK180" t="n">
        <v>20</v>
      </c>
      <c r="AL180" t="n">
        <v>0</v>
      </c>
      <c r="AM180" t="n">
        <v>0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HYPERLINK("https://creighton-primo.hosted.exlibrisgroup.com/primo-explore/search?tab=default_tab&amp;search_scope=EVERYTHING&amp;vid=01CRU&amp;lang=en_US&amp;offset=0&amp;query=any,contains,991004134939702656","Catalog Record")</f>
        <v/>
      </c>
      <c r="AT180">
        <f>HYPERLINK("http://www.worldcat.org/oclc/2482797","WorldCat Record")</f>
        <v/>
      </c>
      <c r="AU180" t="inlineStr">
        <is>
          <t>2908620814:eng</t>
        </is>
      </c>
      <c r="AV180" t="inlineStr">
        <is>
          <t>2482797</t>
        </is>
      </c>
      <c r="AW180" t="inlineStr">
        <is>
          <t>991004134939702656</t>
        </is>
      </c>
      <c r="AX180" t="inlineStr">
        <is>
          <t>991004134939702656</t>
        </is>
      </c>
      <c r="AY180" t="inlineStr">
        <is>
          <t>2260882900002656</t>
        </is>
      </c>
      <c r="AZ180" t="inlineStr">
        <is>
          <t>BOOK</t>
        </is>
      </c>
      <c r="BC180" t="inlineStr">
        <is>
          <t>32285000692854</t>
        </is>
      </c>
      <c r="BD180" t="inlineStr">
        <is>
          <t>893875729</t>
        </is>
      </c>
      <c r="BE180" t="inlineStr">
        <is>
          <t>S Brown</t>
        </is>
      </c>
    </row>
    <row r="181">
      <c r="A181" t="inlineStr">
        <is>
          <t>No</t>
        </is>
      </c>
      <c r="B181" t="inlineStr">
        <is>
          <t>BS575 .C28</t>
        </is>
      </c>
      <c r="C181" t="inlineStr">
        <is>
          <t>0                      BS 0575000C  28</t>
        </is>
      </c>
      <c r="D181" t="inlineStr">
        <is>
          <t>Women, law, and the Genesis traditions / Calum M. Carmichael.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Carmichael, Calum M.</t>
        </is>
      </c>
      <c r="L181" t="inlineStr">
        <is>
          <t>Edinburgh : Edinburgh University Press, c1979.</t>
        </is>
      </c>
      <c r="M181" t="inlineStr">
        <is>
          <t>1979</t>
        </is>
      </c>
      <c r="O181" t="inlineStr">
        <is>
          <t>eng</t>
        </is>
      </c>
      <c r="P181" t="inlineStr">
        <is>
          <t>stk</t>
        </is>
      </c>
      <c r="R181" t="inlineStr">
        <is>
          <t xml:space="preserve">BS </t>
        </is>
      </c>
      <c r="S181" t="n">
        <v>7</v>
      </c>
      <c r="T181" t="n">
        <v>7</v>
      </c>
      <c r="U181" t="inlineStr">
        <is>
          <t>1996-12-01</t>
        </is>
      </c>
      <c r="V181" t="inlineStr">
        <is>
          <t>1996-12-01</t>
        </is>
      </c>
      <c r="W181" t="inlineStr">
        <is>
          <t>1991-04-16</t>
        </is>
      </c>
      <c r="X181" t="inlineStr">
        <is>
          <t>1991-04-16</t>
        </is>
      </c>
      <c r="Y181" t="n">
        <v>529</v>
      </c>
      <c r="Z181" t="n">
        <v>401</v>
      </c>
      <c r="AA181" t="n">
        <v>401</v>
      </c>
      <c r="AB181" t="n">
        <v>3</v>
      </c>
      <c r="AC181" t="n">
        <v>3</v>
      </c>
      <c r="AD181" t="n">
        <v>27</v>
      </c>
      <c r="AE181" t="n">
        <v>27</v>
      </c>
      <c r="AF181" t="n">
        <v>8</v>
      </c>
      <c r="AG181" t="n">
        <v>8</v>
      </c>
      <c r="AH181" t="n">
        <v>4</v>
      </c>
      <c r="AI181" t="n">
        <v>4</v>
      </c>
      <c r="AJ181" t="n">
        <v>10</v>
      </c>
      <c r="AK181" t="n">
        <v>10</v>
      </c>
      <c r="AL181" t="n">
        <v>2</v>
      </c>
      <c r="AM181" t="n">
        <v>2</v>
      </c>
      <c r="AN181" t="n">
        <v>8</v>
      </c>
      <c r="AO181" t="n">
        <v>8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HYPERLINK("https://creighton-primo.hosted.exlibrisgroup.com/primo-explore/search?tab=default_tab&amp;search_scope=EVERYTHING&amp;vid=01CRU&amp;lang=en_US&amp;offset=0&amp;query=any,contains,991004955639702656","Catalog Record")</f>
        <v/>
      </c>
      <c r="AT181">
        <f>HYPERLINK("http://www.worldcat.org/oclc/6278184","WorldCat Record")</f>
        <v/>
      </c>
      <c r="AU181" t="inlineStr">
        <is>
          <t>21609951:eng</t>
        </is>
      </c>
      <c r="AV181" t="inlineStr">
        <is>
          <t>6278184</t>
        </is>
      </c>
      <c r="AW181" t="inlineStr">
        <is>
          <t>991004955639702656</t>
        </is>
      </c>
      <c r="AX181" t="inlineStr">
        <is>
          <t>991004955639702656</t>
        </is>
      </c>
      <c r="AY181" t="inlineStr">
        <is>
          <t>2266734110002656</t>
        </is>
      </c>
      <c r="AZ181" t="inlineStr">
        <is>
          <t>BOOK</t>
        </is>
      </c>
      <c r="BB181" t="inlineStr">
        <is>
          <t>9780852243640</t>
        </is>
      </c>
      <c r="BC181" t="inlineStr">
        <is>
          <t>32285000581842</t>
        </is>
      </c>
      <c r="BD181" t="inlineStr">
        <is>
          <t>893782843</t>
        </is>
      </c>
      <c r="BE181" t="inlineStr">
        <is>
          <t>S Brown</t>
        </is>
      </c>
    </row>
    <row r="182">
      <c r="A182" t="inlineStr">
        <is>
          <t>No</t>
        </is>
      </c>
      <c r="B182" t="inlineStr">
        <is>
          <t>BS612 .B77 1990</t>
        </is>
      </c>
      <c r="C182" t="inlineStr">
        <is>
          <t>0                      BS 0612000B  77          1990</t>
        </is>
      </c>
      <c r="D182" t="inlineStr">
        <is>
          <t>Responses to 101 questions on the Bible / by Raymond E. Brown.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Brown, Raymond E. (Raymond Edward), 1928-1998.</t>
        </is>
      </c>
      <c r="L182" t="inlineStr">
        <is>
          <t>New York : Paulist Press, c1990.</t>
        </is>
      </c>
      <c r="M182" t="inlineStr">
        <is>
          <t>1990</t>
        </is>
      </c>
      <c r="O182" t="inlineStr">
        <is>
          <t>eng</t>
        </is>
      </c>
      <c r="P182" t="inlineStr">
        <is>
          <t>nyu</t>
        </is>
      </c>
      <c r="R182" t="inlineStr">
        <is>
          <t xml:space="preserve">BS </t>
        </is>
      </c>
      <c r="S182" t="n">
        <v>9</v>
      </c>
      <c r="T182" t="n">
        <v>9</v>
      </c>
      <c r="U182" t="inlineStr">
        <is>
          <t>2006-02-25</t>
        </is>
      </c>
      <c r="V182" t="inlineStr">
        <is>
          <t>2006-02-25</t>
        </is>
      </c>
      <c r="W182" t="inlineStr">
        <is>
          <t>1990-12-04</t>
        </is>
      </c>
      <c r="X182" t="inlineStr">
        <is>
          <t>1990-12-04</t>
        </is>
      </c>
      <c r="Y182" t="n">
        <v>597</v>
      </c>
      <c r="Z182" t="n">
        <v>537</v>
      </c>
      <c r="AA182" t="n">
        <v>546</v>
      </c>
      <c r="AB182" t="n">
        <v>4</v>
      </c>
      <c r="AC182" t="n">
        <v>4</v>
      </c>
      <c r="AD182" t="n">
        <v>33</v>
      </c>
      <c r="AE182" t="n">
        <v>33</v>
      </c>
      <c r="AF182" t="n">
        <v>14</v>
      </c>
      <c r="AG182" t="n">
        <v>14</v>
      </c>
      <c r="AH182" t="n">
        <v>6</v>
      </c>
      <c r="AI182" t="n">
        <v>6</v>
      </c>
      <c r="AJ182" t="n">
        <v>22</v>
      </c>
      <c r="AK182" t="n">
        <v>22</v>
      </c>
      <c r="AL182" t="n">
        <v>1</v>
      </c>
      <c r="AM182" t="n">
        <v>1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HYPERLINK("https://creighton-primo.hosted.exlibrisgroup.com/primo-explore/search?tab=default_tab&amp;search_scope=EVERYTHING&amp;vid=01CRU&amp;lang=en_US&amp;offset=0&amp;query=any,contains,991001695629702656","Catalog Record")</f>
        <v/>
      </c>
      <c r="AT182">
        <f>HYPERLINK("http://www.worldcat.org/oclc/21483229","WorldCat Record")</f>
        <v/>
      </c>
      <c r="AU182" t="inlineStr">
        <is>
          <t>2278912764:eng</t>
        </is>
      </c>
      <c r="AV182" t="inlineStr">
        <is>
          <t>21483229</t>
        </is>
      </c>
      <c r="AW182" t="inlineStr">
        <is>
          <t>991001695629702656</t>
        </is>
      </c>
      <c r="AX182" t="inlineStr">
        <is>
          <t>991001695629702656</t>
        </is>
      </c>
      <c r="AY182" t="inlineStr">
        <is>
          <t>2261724160002656</t>
        </is>
      </c>
      <c r="AZ182" t="inlineStr">
        <is>
          <t>BOOK</t>
        </is>
      </c>
      <c r="BB182" t="inlineStr">
        <is>
          <t>9780809131884</t>
        </is>
      </c>
      <c r="BC182" t="inlineStr">
        <is>
          <t>32285000357896</t>
        </is>
      </c>
      <c r="BD182" t="inlineStr">
        <is>
          <t>893703251</t>
        </is>
      </c>
      <c r="BE182" t="inlineStr">
        <is>
          <t>S Brown</t>
        </is>
      </c>
    </row>
    <row r="183">
      <c r="A183" t="inlineStr">
        <is>
          <t>No</t>
        </is>
      </c>
      <c r="B183" t="inlineStr">
        <is>
          <t>BS621 .B76 1983</t>
        </is>
      </c>
      <c r="C183" t="inlineStr">
        <is>
          <t>0                      BS 0621000B  76          1983</t>
        </is>
      </c>
      <c r="D183" t="inlineStr">
        <is>
          <t>Recent discoveries and the Biblical world / Raymond E. Brown.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Brown, Raymond E. (Raymond Edward), 1928-1998.</t>
        </is>
      </c>
      <c r="L183" t="inlineStr">
        <is>
          <t>Wilmington, Del. : M. Glazier, 1983.</t>
        </is>
      </c>
      <c r="M183" t="inlineStr">
        <is>
          <t>1983</t>
        </is>
      </c>
      <c r="O183" t="inlineStr">
        <is>
          <t>eng</t>
        </is>
      </c>
      <c r="P183" t="inlineStr">
        <is>
          <t>deu</t>
        </is>
      </c>
      <c r="Q183" t="inlineStr">
        <is>
          <t>Background books</t>
        </is>
      </c>
      <c r="R183" t="inlineStr">
        <is>
          <t xml:space="preserve">BS </t>
        </is>
      </c>
      <c r="S183" t="n">
        <v>6</v>
      </c>
      <c r="T183" t="n">
        <v>6</v>
      </c>
      <c r="U183" t="inlineStr">
        <is>
          <t>2003-06-05</t>
        </is>
      </c>
      <c r="V183" t="inlineStr">
        <is>
          <t>2003-06-05</t>
        </is>
      </c>
      <c r="W183" t="inlineStr">
        <is>
          <t>1991-04-17</t>
        </is>
      </c>
      <c r="X183" t="inlineStr">
        <is>
          <t>1991-04-17</t>
        </is>
      </c>
      <c r="Y183" t="n">
        <v>424</v>
      </c>
      <c r="Z183" t="n">
        <v>350</v>
      </c>
      <c r="AA183" t="n">
        <v>386</v>
      </c>
      <c r="AB183" t="n">
        <v>5</v>
      </c>
      <c r="AC183" t="n">
        <v>5</v>
      </c>
      <c r="AD183" t="n">
        <v>36</v>
      </c>
      <c r="AE183" t="n">
        <v>37</v>
      </c>
      <c r="AF183" t="n">
        <v>15</v>
      </c>
      <c r="AG183" t="n">
        <v>16</v>
      </c>
      <c r="AH183" t="n">
        <v>7</v>
      </c>
      <c r="AI183" t="n">
        <v>7</v>
      </c>
      <c r="AJ183" t="n">
        <v>21</v>
      </c>
      <c r="AK183" t="n">
        <v>21</v>
      </c>
      <c r="AL183" t="n">
        <v>2</v>
      </c>
      <c r="AM183" t="n">
        <v>2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HYPERLINK("https://creighton-primo.hosted.exlibrisgroup.com/primo-explore/search?tab=default_tab&amp;search_scope=EVERYTHING&amp;vid=01CRU&amp;lang=en_US&amp;offset=0&amp;query=any,contains,991000389709702656","Catalog Record")</f>
        <v/>
      </c>
      <c r="AT183">
        <f>HYPERLINK("http://www.worldcat.org/oclc/10535867","WorldCat Record")</f>
        <v/>
      </c>
      <c r="AU183" t="inlineStr">
        <is>
          <t>3468786:eng</t>
        </is>
      </c>
      <c r="AV183" t="inlineStr">
        <is>
          <t>10535867</t>
        </is>
      </c>
      <c r="AW183" t="inlineStr">
        <is>
          <t>991000389709702656</t>
        </is>
      </c>
      <c r="AX183" t="inlineStr">
        <is>
          <t>991000389709702656</t>
        </is>
      </c>
      <c r="AY183" t="inlineStr">
        <is>
          <t>2258685180002656</t>
        </is>
      </c>
      <c r="AZ183" t="inlineStr">
        <is>
          <t>BOOK</t>
        </is>
      </c>
      <c r="BC183" t="inlineStr">
        <is>
          <t>32285000582634</t>
        </is>
      </c>
      <c r="BD183" t="inlineStr">
        <is>
          <t>893339502</t>
        </is>
      </c>
      <c r="BE183" t="inlineStr">
        <is>
          <t>S Brown</t>
        </is>
      </c>
    </row>
    <row r="184">
      <c r="A184" t="inlineStr">
        <is>
          <t>No</t>
        </is>
      </c>
      <c r="B184" t="inlineStr">
        <is>
          <t>BS635.2 .R65 1993</t>
        </is>
      </c>
      <c r="C184" t="inlineStr">
        <is>
          <t>0                      BS 0635200R  65          1993</t>
        </is>
      </c>
      <c r="D184" t="inlineStr">
        <is>
          <t>Testament : the Bible and history / John Romer.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Romer, John.</t>
        </is>
      </c>
      <c r="L184" t="inlineStr">
        <is>
          <t>New York : Holt, 1993, c1988.</t>
        </is>
      </c>
      <c r="M184" t="inlineStr">
        <is>
          <t>1993</t>
        </is>
      </c>
      <c r="N184" t="inlineStr">
        <is>
          <t>1st Owl Book ed.</t>
        </is>
      </c>
      <c r="O184" t="inlineStr">
        <is>
          <t>eng</t>
        </is>
      </c>
      <c r="P184" t="inlineStr">
        <is>
          <t>nyu</t>
        </is>
      </c>
      <c r="R184" t="inlineStr">
        <is>
          <t xml:space="preserve">BS </t>
        </is>
      </c>
      <c r="S184" t="n">
        <v>2</v>
      </c>
      <c r="T184" t="n">
        <v>2</v>
      </c>
      <c r="U184" t="inlineStr">
        <is>
          <t>2008-04-07</t>
        </is>
      </c>
      <c r="V184" t="inlineStr">
        <is>
          <t>2008-04-07</t>
        </is>
      </c>
      <c r="W184" t="inlineStr">
        <is>
          <t>2007-02-22</t>
        </is>
      </c>
      <c r="X184" t="inlineStr">
        <is>
          <t>2007-02-22</t>
        </is>
      </c>
      <c r="Y184" t="n">
        <v>50</v>
      </c>
      <c r="Z184" t="n">
        <v>46</v>
      </c>
      <c r="AA184" t="n">
        <v>867</v>
      </c>
      <c r="AB184" t="n">
        <v>1</v>
      </c>
      <c r="AC184" t="n">
        <v>4</v>
      </c>
      <c r="AD184" t="n">
        <v>0</v>
      </c>
      <c r="AE184" t="n">
        <v>23</v>
      </c>
      <c r="AF184" t="n">
        <v>0</v>
      </c>
      <c r="AG184" t="n">
        <v>11</v>
      </c>
      <c r="AH184" t="n">
        <v>0</v>
      </c>
      <c r="AI184" t="n">
        <v>5</v>
      </c>
      <c r="AJ184" t="n">
        <v>0</v>
      </c>
      <c r="AK184" t="n">
        <v>10</v>
      </c>
      <c r="AL184" t="n">
        <v>0</v>
      </c>
      <c r="AM184" t="n">
        <v>2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HYPERLINK("https://creighton-primo.hosted.exlibrisgroup.com/primo-explore/search?tab=default_tab&amp;search_scope=EVERYTHING&amp;vid=01CRU&amp;lang=en_US&amp;offset=0&amp;query=any,contains,991005043089702656","Catalog Record")</f>
        <v/>
      </c>
      <c r="AT184">
        <f>HYPERLINK("http://www.worldcat.org/oclc/29240495","WorldCat Record")</f>
        <v/>
      </c>
      <c r="AU184" t="inlineStr">
        <is>
          <t>352429:eng</t>
        </is>
      </c>
      <c r="AV184" t="inlineStr">
        <is>
          <t>29240495</t>
        </is>
      </c>
      <c r="AW184" t="inlineStr">
        <is>
          <t>991005043089702656</t>
        </is>
      </c>
      <c r="AX184" t="inlineStr">
        <is>
          <t>991005043089702656</t>
        </is>
      </c>
      <c r="AY184" t="inlineStr">
        <is>
          <t>2256760670002656</t>
        </is>
      </c>
      <c r="AZ184" t="inlineStr">
        <is>
          <t>BOOK</t>
        </is>
      </c>
      <c r="BB184" t="inlineStr">
        <is>
          <t>9780805009392</t>
        </is>
      </c>
      <c r="BC184" t="inlineStr">
        <is>
          <t>32285005278709</t>
        </is>
      </c>
      <c r="BD184" t="inlineStr">
        <is>
          <t>893254365</t>
        </is>
      </c>
      <c r="BE184" t="inlineStr">
        <is>
          <t>Simkins</t>
        </is>
      </c>
    </row>
    <row r="185">
      <c r="A185" t="inlineStr">
        <is>
          <t>No</t>
        </is>
      </c>
      <c r="B185" t="inlineStr">
        <is>
          <t>BS646 .P5513 1968b</t>
        </is>
      </c>
      <c r="C185" t="inlineStr">
        <is>
          <t>0                      BS 0646000P  5513        1968b</t>
        </is>
      </c>
      <c r="D185" t="inlineStr">
        <is>
          <t>Theocracy and eschatology. Translated by S. Rudman.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Plöger, Otto.</t>
        </is>
      </c>
      <c r="L185" t="inlineStr">
        <is>
          <t>Richmond, John Knox Press [1968]</t>
        </is>
      </c>
      <c r="M185" t="inlineStr">
        <is>
          <t>1968</t>
        </is>
      </c>
      <c r="O185" t="inlineStr">
        <is>
          <t>eng</t>
        </is>
      </c>
      <c r="P185" t="inlineStr">
        <is>
          <t>vau</t>
        </is>
      </c>
      <c r="R185" t="inlineStr">
        <is>
          <t xml:space="preserve">BS </t>
        </is>
      </c>
      <c r="S185" t="n">
        <v>8</v>
      </c>
      <c r="T185" t="n">
        <v>8</v>
      </c>
      <c r="U185" t="inlineStr">
        <is>
          <t>1995-10-27</t>
        </is>
      </c>
      <c r="V185" t="inlineStr">
        <is>
          <t>1995-10-27</t>
        </is>
      </c>
      <c r="W185" t="inlineStr">
        <is>
          <t>1991-04-17</t>
        </is>
      </c>
      <c r="X185" t="inlineStr">
        <is>
          <t>1991-04-17</t>
        </is>
      </c>
      <c r="Y185" t="n">
        <v>335</v>
      </c>
      <c r="Z185" t="n">
        <v>311</v>
      </c>
      <c r="AA185" t="n">
        <v>376</v>
      </c>
      <c r="AB185" t="n">
        <v>3</v>
      </c>
      <c r="AC185" t="n">
        <v>3</v>
      </c>
      <c r="AD185" t="n">
        <v>17</v>
      </c>
      <c r="AE185" t="n">
        <v>20</v>
      </c>
      <c r="AF185" t="n">
        <v>4</v>
      </c>
      <c r="AG185" t="n">
        <v>5</v>
      </c>
      <c r="AH185" t="n">
        <v>5</v>
      </c>
      <c r="AI185" t="n">
        <v>6</v>
      </c>
      <c r="AJ185" t="n">
        <v>9</v>
      </c>
      <c r="AK185" t="n">
        <v>12</v>
      </c>
      <c r="AL185" t="n">
        <v>2</v>
      </c>
      <c r="AM185" t="n">
        <v>2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HYPERLINK("https://creighton-primo.hosted.exlibrisgroup.com/primo-explore/search?tab=default_tab&amp;search_scope=EVERYTHING&amp;vid=01CRU&amp;lang=en_US&amp;offset=0&amp;query=any,contains,991002665639702656","Catalog Record")</f>
        <v/>
      </c>
      <c r="AT185">
        <f>HYPERLINK("http://www.worldcat.org/oclc/393097","WorldCat Record")</f>
        <v/>
      </c>
      <c r="AU185" t="inlineStr">
        <is>
          <t>1499129:eng</t>
        </is>
      </c>
      <c r="AV185" t="inlineStr">
        <is>
          <t>393097</t>
        </is>
      </c>
      <c r="AW185" t="inlineStr">
        <is>
          <t>991002665639702656</t>
        </is>
      </c>
      <c r="AX185" t="inlineStr">
        <is>
          <t>991002665639702656</t>
        </is>
      </c>
      <c r="AY185" t="inlineStr">
        <is>
          <t>2263783920002656</t>
        </is>
      </c>
      <c r="AZ185" t="inlineStr">
        <is>
          <t>BOOK</t>
        </is>
      </c>
      <c r="BC185" t="inlineStr">
        <is>
          <t>32285000583202</t>
        </is>
      </c>
      <c r="BD185" t="inlineStr">
        <is>
          <t>893409393</t>
        </is>
      </c>
      <c r="BE185" t="inlineStr">
        <is>
          <t>Simkins</t>
        </is>
      </c>
    </row>
    <row r="186">
      <c r="A186" t="inlineStr">
        <is>
          <t>No</t>
        </is>
      </c>
      <c r="B186" t="inlineStr">
        <is>
          <t>BS680.B5 W413</t>
        </is>
      </c>
      <c r="C186" t="inlineStr">
        <is>
          <t>0                      BS 0680000B  5                  W  413</t>
        </is>
      </c>
      <c r="D186" t="inlineStr">
        <is>
          <t>Blessing in the Bible and the life of the church / by Claus Westermann ; translated by Keith R. Crim. --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Westermann, Claus.</t>
        </is>
      </c>
      <c r="L186" t="inlineStr">
        <is>
          <t>Philadelphia : Fortress Press, c1978.</t>
        </is>
      </c>
      <c r="M186" t="inlineStr">
        <is>
          <t>1978</t>
        </is>
      </c>
      <c r="O186" t="inlineStr">
        <is>
          <t>eng</t>
        </is>
      </c>
      <c r="P186" t="inlineStr">
        <is>
          <t>pau</t>
        </is>
      </c>
      <c r="R186" t="inlineStr">
        <is>
          <t xml:space="preserve">BS </t>
        </is>
      </c>
      <c r="S186" t="n">
        <v>3</v>
      </c>
      <c r="T186" t="n">
        <v>3</v>
      </c>
      <c r="U186" t="inlineStr">
        <is>
          <t>1995-05-17</t>
        </is>
      </c>
      <c r="V186" t="inlineStr">
        <is>
          <t>1995-05-17</t>
        </is>
      </c>
      <c r="W186" t="inlineStr">
        <is>
          <t>1991-04-18</t>
        </is>
      </c>
      <c r="X186" t="inlineStr">
        <is>
          <t>1991-04-18</t>
        </is>
      </c>
      <c r="Y186" t="n">
        <v>523</v>
      </c>
      <c r="Z186" t="n">
        <v>437</v>
      </c>
      <c r="AA186" t="n">
        <v>437</v>
      </c>
      <c r="AB186" t="n">
        <v>3</v>
      </c>
      <c r="AC186" t="n">
        <v>3</v>
      </c>
      <c r="AD186" t="n">
        <v>32</v>
      </c>
      <c r="AE186" t="n">
        <v>32</v>
      </c>
      <c r="AF186" t="n">
        <v>13</v>
      </c>
      <c r="AG186" t="n">
        <v>13</v>
      </c>
      <c r="AH186" t="n">
        <v>7</v>
      </c>
      <c r="AI186" t="n">
        <v>7</v>
      </c>
      <c r="AJ186" t="n">
        <v>20</v>
      </c>
      <c r="AK186" t="n">
        <v>20</v>
      </c>
      <c r="AL186" t="n">
        <v>1</v>
      </c>
      <c r="AM186" t="n">
        <v>1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HYPERLINK("https://creighton-primo.hosted.exlibrisgroup.com/primo-explore/search?tab=default_tab&amp;search_scope=EVERYTHING&amp;vid=01CRU&amp;lang=en_US&amp;offset=0&amp;query=any,contains,991004563059702656","Catalog Record")</f>
        <v/>
      </c>
      <c r="AT186">
        <f>HYPERLINK("http://www.worldcat.org/oclc/4003772","WorldCat Record")</f>
        <v/>
      </c>
      <c r="AU186" t="inlineStr">
        <is>
          <t>449196:eng</t>
        </is>
      </c>
      <c r="AV186" t="inlineStr">
        <is>
          <t>4003772</t>
        </is>
      </c>
      <c r="AW186" t="inlineStr">
        <is>
          <t>991004563059702656</t>
        </is>
      </c>
      <c r="AX186" t="inlineStr">
        <is>
          <t>991004563059702656</t>
        </is>
      </c>
      <c r="AY186" t="inlineStr">
        <is>
          <t>2267712640002656</t>
        </is>
      </c>
      <c r="AZ186" t="inlineStr">
        <is>
          <t>BOOK</t>
        </is>
      </c>
      <c r="BB186" t="inlineStr">
        <is>
          <t>9780800615291</t>
        </is>
      </c>
      <c r="BC186" t="inlineStr">
        <is>
          <t>32285000584036</t>
        </is>
      </c>
      <c r="BD186" t="inlineStr">
        <is>
          <t>893229505</t>
        </is>
      </c>
      <c r="BE186" t="inlineStr">
        <is>
          <t>Simkins</t>
        </is>
      </c>
    </row>
    <row r="187">
      <c r="A187" t="inlineStr">
        <is>
          <t>No</t>
        </is>
      </c>
      <c r="B187" t="inlineStr">
        <is>
          <t>BS709.4 .C47 1986</t>
        </is>
      </c>
      <c r="C187" t="inlineStr">
        <is>
          <t>0                      BS 0709400C  47          1986</t>
        </is>
      </c>
      <c r="D187" t="inlineStr">
        <is>
          <t>Targumic approaches to the Gospels : essays in the mutual definition of Judaism and Christianity / Bruce Chilton.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Chilton, Bruce.</t>
        </is>
      </c>
      <c r="L187" t="inlineStr">
        <is>
          <t>Lanham, MD : University Press of America, c1986.</t>
        </is>
      </c>
      <c r="M187" t="inlineStr">
        <is>
          <t>1986</t>
        </is>
      </c>
      <c r="O187" t="inlineStr">
        <is>
          <t>eng</t>
        </is>
      </c>
      <c r="P187" t="inlineStr">
        <is>
          <t>mdu</t>
        </is>
      </c>
      <c r="Q187" t="inlineStr">
        <is>
          <t>Studies in Judaism</t>
        </is>
      </c>
      <c r="R187" t="inlineStr">
        <is>
          <t xml:space="preserve">BS </t>
        </is>
      </c>
      <c r="S187" t="n">
        <v>1</v>
      </c>
      <c r="T187" t="n">
        <v>1</v>
      </c>
      <c r="U187" t="inlineStr">
        <is>
          <t>1998-02-28</t>
        </is>
      </c>
      <c r="V187" t="inlineStr">
        <is>
          <t>1998-02-28</t>
        </is>
      </c>
      <c r="W187" t="inlineStr">
        <is>
          <t>1991-04-18</t>
        </is>
      </c>
      <c r="X187" t="inlineStr">
        <is>
          <t>1991-04-18</t>
        </is>
      </c>
      <c r="Y187" t="n">
        <v>246</v>
      </c>
      <c r="Z187" t="n">
        <v>184</v>
      </c>
      <c r="AA187" t="n">
        <v>186</v>
      </c>
      <c r="AB187" t="n">
        <v>2</v>
      </c>
      <c r="AC187" t="n">
        <v>2</v>
      </c>
      <c r="AD187" t="n">
        <v>13</v>
      </c>
      <c r="AE187" t="n">
        <v>13</v>
      </c>
      <c r="AF187" t="n">
        <v>4</v>
      </c>
      <c r="AG187" t="n">
        <v>4</v>
      </c>
      <c r="AH187" t="n">
        <v>3</v>
      </c>
      <c r="AI187" t="n">
        <v>3</v>
      </c>
      <c r="AJ187" t="n">
        <v>9</v>
      </c>
      <c r="AK187" t="n">
        <v>9</v>
      </c>
      <c r="AL187" t="n">
        <v>1</v>
      </c>
      <c r="AM187" t="n">
        <v>1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HYPERLINK("http://catalog.hathitrust.org/Record/000486846","HathiTrust Record")</f>
        <v/>
      </c>
      <c r="AS187">
        <f>HYPERLINK("https://creighton-primo.hosted.exlibrisgroup.com/primo-explore/search?tab=default_tab&amp;search_scope=EVERYTHING&amp;vid=01CRU&amp;lang=en_US&amp;offset=0&amp;query=any,contains,991000931279702656","Catalog Record")</f>
        <v/>
      </c>
      <c r="AT187">
        <f>HYPERLINK("http://www.worldcat.org/oclc/14272266","WorldCat Record")</f>
        <v/>
      </c>
      <c r="AU187" t="inlineStr">
        <is>
          <t>433715507:eng</t>
        </is>
      </c>
      <c r="AV187" t="inlineStr">
        <is>
          <t>14272266</t>
        </is>
      </c>
      <c r="AW187" t="inlineStr">
        <is>
          <t>991000931279702656</t>
        </is>
      </c>
      <c r="AX187" t="inlineStr">
        <is>
          <t>991000931279702656</t>
        </is>
      </c>
      <c r="AY187" t="inlineStr">
        <is>
          <t>2261356400002656</t>
        </is>
      </c>
      <c r="AZ187" t="inlineStr">
        <is>
          <t>BOOK</t>
        </is>
      </c>
      <c r="BB187" t="inlineStr">
        <is>
          <t>9780819157324</t>
        </is>
      </c>
      <c r="BC187" t="inlineStr">
        <is>
          <t>32285000584820</t>
        </is>
      </c>
      <c r="BD187" t="inlineStr">
        <is>
          <t>893243728</t>
        </is>
      </c>
      <c r="BE187" t="inlineStr">
        <is>
          <t>S Brown</t>
        </is>
      </c>
    </row>
    <row r="188">
      <c r="A188" t="inlineStr">
        <is>
          <t>No</t>
        </is>
      </c>
      <c r="B188" t="inlineStr">
        <is>
          <t>BS718 .J313</t>
        </is>
      </c>
      <c r="C188" t="inlineStr">
        <is>
          <t>0                      BS 0718000J  313</t>
        </is>
      </c>
      <c r="D188" t="inlineStr">
        <is>
          <t>Introduction to the Rabbinic Bible.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Jacob ben Ḥayyim ben Isaac ibn Adonijah, approximately 1470-approximately 1538.</t>
        </is>
      </c>
      <c r="L188" t="inlineStr">
        <is>
          <t>New York, Ktav [c1968, 1867]</t>
        </is>
      </c>
      <c r="M188" t="inlineStr">
        <is>
          <t>1968</t>
        </is>
      </c>
      <c r="O188" t="inlineStr">
        <is>
          <t>eng</t>
        </is>
      </c>
      <c r="P188" t="inlineStr">
        <is>
          <t>___</t>
        </is>
      </c>
      <c r="Q188" t="inlineStr">
        <is>
          <t>The library of Biblical studies</t>
        </is>
      </c>
      <c r="R188" t="inlineStr">
        <is>
          <t xml:space="preserve">BS </t>
        </is>
      </c>
      <c r="S188" t="n">
        <v>3</v>
      </c>
      <c r="T188" t="n">
        <v>3</v>
      </c>
      <c r="U188" t="inlineStr">
        <is>
          <t>2006-06-19</t>
        </is>
      </c>
      <c r="V188" t="inlineStr">
        <is>
          <t>2006-06-19</t>
        </is>
      </c>
      <c r="W188" t="inlineStr">
        <is>
          <t>1991-04-18</t>
        </is>
      </c>
      <c r="X188" t="inlineStr">
        <is>
          <t>1991-04-18</t>
        </is>
      </c>
      <c r="Y188" t="n">
        <v>193</v>
      </c>
      <c r="Z188" t="n">
        <v>184</v>
      </c>
      <c r="AA188" t="n">
        <v>227</v>
      </c>
      <c r="AB188" t="n">
        <v>1</v>
      </c>
      <c r="AC188" t="n">
        <v>1</v>
      </c>
      <c r="AD188" t="n">
        <v>9</v>
      </c>
      <c r="AE188" t="n">
        <v>11</v>
      </c>
      <c r="AF188" t="n">
        <v>3</v>
      </c>
      <c r="AG188" t="n">
        <v>4</v>
      </c>
      <c r="AH188" t="n">
        <v>3</v>
      </c>
      <c r="AI188" t="n">
        <v>3</v>
      </c>
      <c r="AJ188" t="n">
        <v>5</v>
      </c>
      <c r="AK188" t="n">
        <v>6</v>
      </c>
      <c r="AL188" t="n">
        <v>0</v>
      </c>
      <c r="AM188" t="n">
        <v>0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HYPERLINK("http://catalog.hathitrust.org/Record/001937924","HathiTrust Record")</f>
        <v/>
      </c>
      <c r="AS188">
        <f>HYPERLINK("https://creighton-primo.hosted.exlibrisgroup.com/primo-explore/search?tab=default_tab&amp;search_scope=EVERYTHING&amp;vid=01CRU&amp;lang=en_US&amp;offset=0&amp;query=any,contains,991002639409702656","Catalog Record")</f>
        <v/>
      </c>
      <c r="AT188">
        <f>HYPERLINK("http://www.worldcat.org/oclc/916631","WorldCat Record")</f>
        <v/>
      </c>
      <c r="AU188" t="inlineStr">
        <is>
          <t>3856472089:eng</t>
        </is>
      </c>
      <c r="AV188" t="inlineStr">
        <is>
          <t>916631</t>
        </is>
      </c>
      <c r="AW188" t="inlineStr">
        <is>
          <t>991002639409702656</t>
        </is>
      </c>
      <c r="AX188" t="inlineStr">
        <is>
          <t>991002639409702656</t>
        </is>
      </c>
      <c r="AY188" t="inlineStr">
        <is>
          <t>2260602880002656</t>
        </is>
      </c>
      <c r="AZ188" t="inlineStr">
        <is>
          <t>BOOK</t>
        </is>
      </c>
      <c r="BC188" t="inlineStr">
        <is>
          <t>32285000584911</t>
        </is>
      </c>
      <c r="BD188" t="inlineStr">
        <is>
          <t>893710503</t>
        </is>
      </c>
      <c r="BE188" t="inlineStr">
        <is>
          <t>S Brown</t>
        </is>
      </c>
    </row>
    <row r="189">
      <c r="A189" t="inlineStr">
        <is>
          <t>No</t>
        </is>
      </c>
      <c r="B189" t="inlineStr">
        <is>
          <t>BT110 .R7</t>
        </is>
      </c>
      <c r="C189" t="inlineStr">
        <is>
          <t>0                      BT 0110000R  7</t>
        </is>
      </c>
      <c r="D189" t="inlineStr">
        <is>
          <t>La Trinité; Texte latin. Introd., traduction et notes de Gaston Salet.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Richard, of St. Victor, -1173.</t>
        </is>
      </c>
      <c r="L189" t="inlineStr">
        <is>
          <t>Paris, Éditions du Cerf, 1959.</t>
        </is>
      </c>
      <c r="M189" t="inlineStr">
        <is>
          <t>1959</t>
        </is>
      </c>
      <c r="O189" t="inlineStr">
        <is>
          <t>mul</t>
        </is>
      </c>
      <c r="P189" t="inlineStr">
        <is>
          <t>___</t>
        </is>
      </c>
      <c r="Q189" t="inlineStr">
        <is>
          <t>Série des textes monastiques d'Occident ; 3</t>
        </is>
      </c>
      <c r="R189" t="inlineStr">
        <is>
          <t xml:space="preserve">BT </t>
        </is>
      </c>
      <c r="S189" t="n">
        <v>1</v>
      </c>
      <c r="T189" t="n">
        <v>1</v>
      </c>
      <c r="U189" t="inlineStr">
        <is>
          <t>2010-10-04</t>
        </is>
      </c>
      <c r="V189" t="inlineStr">
        <is>
          <t>2010-10-04</t>
        </is>
      </c>
      <c r="W189" t="inlineStr">
        <is>
          <t>1991-07-30</t>
        </is>
      </c>
      <c r="X189" t="inlineStr">
        <is>
          <t>1991-07-30</t>
        </is>
      </c>
      <c r="Y189" t="n">
        <v>174</v>
      </c>
      <c r="Z189" t="n">
        <v>129</v>
      </c>
      <c r="AA189" t="n">
        <v>136</v>
      </c>
      <c r="AB189" t="n">
        <v>2</v>
      </c>
      <c r="AC189" t="n">
        <v>2</v>
      </c>
      <c r="AD189" t="n">
        <v>18</v>
      </c>
      <c r="AE189" t="n">
        <v>18</v>
      </c>
      <c r="AF189" t="n">
        <v>4</v>
      </c>
      <c r="AG189" t="n">
        <v>4</v>
      </c>
      <c r="AH189" t="n">
        <v>3</v>
      </c>
      <c r="AI189" t="n">
        <v>3</v>
      </c>
      <c r="AJ189" t="n">
        <v>14</v>
      </c>
      <c r="AK189" t="n">
        <v>14</v>
      </c>
      <c r="AL189" t="n">
        <v>1</v>
      </c>
      <c r="AM189" t="n">
        <v>1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HYPERLINK("https://creighton-primo.hosted.exlibrisgroup.com/primo-explore/search?tab=default_tab&amp;search_scope=EVERYTHING&amp;vid=01CRU&amp;lang=en_US&amp;offset=0&amp;query=any,contains,991003333439702656","Catalog Record")</f>
        <v/>
      </c>
      <c r="AT189">
        <f>HYPERLINK("http://www.worldcat.org/oclc/10647201","WorldCat Record")</f>
        <v/>
      </c>
      <c r="AU189" t="inlineStr">
        <is>
          <t>10628070346:fre</t>
        </is>
      </c>
      <c r="AV189" t="inlineStr">
        <is>
          <t>10647201</t>
        </is>
      </c>
      <c r="AW189" t="inlineStr">
        <is>
          <t>991003333439702656</t>
        </is>
      </c>
      <c r="AX189" t="inlineStr">
        <is>
          <t>991003333439702656</t>
        </is>
      </c>
      <c r="AY189" t="inlineStr">
        <is>
          <t>2264885340002656</t>
        </is>
      </c>
      <c r="AZ189" t="inlineStr">
        <is>
          <t>BOOK</t>
        </is>
      </c>
      <c r="BC189" t="inlineStr">
        <is>
          <t>32285000692763</t>
        </is>
      </c>
      <c r="BD189" t="inlineStr">
        <is>
          <t>893323992</t>
        </is>
      </c>
      <c r="BE189" t="inlineStr">
        <is>
          <t>ZB Smith</t>
        </is>
      </c>
    </row>
    <row r="190">
      <c r="A190" t="inlineStr">
        <is>
          <t>No</t>
        </is>
      </c>
      <c r="B190" t="inlineStr">
        <is>
          <t>BT1116.A82 C6 1971</t>
        </is>
      </c>
      <c r="C190" t="inlineStr">
        <is>
          <t>0                      BT 1116000A  82                 C  6           1971</t>
        </is>
      </c>
      <c r="D190" t="inlineStr">
        <is>
          <t>Contra gentes ; and, De Incarnatione / [by] Athanasius; edited and translated by Robert W. Thomson.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Athanasius, Saint, Patriarch of Alexandria, -373.</t>
        </is>
      </c>
      <c r="L190" t="inlineStr">
        <is>
          <t>Oxford, Clarendon Press, 1971.</t>
        </is>
      </c>
      <c r="M190" t="inlineStr">
        <is>
          <t>1971</t>
        </is>
      </c>
      <c r="O190" t="inlineStr">
        <is>
          <t>eng</t>
        </is>
      </c>
      <c r="P190" t="inlineStr">
        <is>
          <t>enk</t>
        </is>
      </c>
      <c r="Q190" t="inlineStr">
        <is>
          <t>Oxford early Christian texts</t>
        </is>
      </c>
      <c r="R190" t="inlineStr">
        <is>
          <t xml:space="preserve">BT </t>
        </is>
      </c>
      <c r="S190" t="n">
        <v>6</v>
      </c>
      <c r="T190" t="n">
        <v>6</v>
      </c>
      <c r="U190" t="inlineStr">
        <is>
          <t>2007-10-23</t>
        </is>
      </c>
      <c r="V190" t="inlineStr">
        <is>
          <t>2007-10-23</t>
        </is>
      </c>
      <c r="W190" t="inlineStr">
        <is>
          <t>1991-07-11</t>
        </is>
      </c>
      <c r="X190" t="inlineStr">
        <is>
          <t>1991-07-11</t>
        </is>
      </c>
      <c r="Y190" t="n">
        <v>471</v>
      </c>
      <c r="Z190" t="n">
        <v>339</v>
      </c>
      <c r="AA190" t="n">
        <v>355</v>
      </c>
      <c r="AB190" t="n">
        <v>6</v>
      </c>
      <c r="AC190" t="n">
        <v>6</v>
      </c>
      <c r="AD190" t="n">
        <v>23</v>
      </c>
      <c r="AE190" t="n">
        <v>24</v>
      </c>
      <c r="AF190" t="n">
        <v>5</v>
      </c>
      <c r="AG190" t="n">
        <v>5</v>
      </c>
      <c r="AH190" t="n">
        <v>5</v>
      </c>
      <c r="AI190" t="n">
        <v>5</v>
      </c>
      <c r="AJ190" t="n">
        <v>12</v>
      </c>
      <c r="AK190" t="n">
        <v>13</v>
      </c>
      <c r="AL190" t="n">
        <v>5</v>
      </c>
      <c r="AM190" t="n">
        <v>5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HYPERLINK("http://catalog.hathitrust.org/Record/001406276","HathiTrust Record")</f>
        <v/>
      </c>
      <c r="AS190">
        <f>HYPERLINK("https://creighton-primo.hosted.exlibrisgroup.com/primo-explore/search?tab=default_tab&amp;search_scope=EVERYTHING&amp;vid=01CRU&amp;lang=en_US&amp;offset=0&amp;query=any,contains,991001258199702656","Catalog Record")</f>
        <v/>
      </c>
      <c r="AT190">
        <f>HYPERLINK("http://www.worldcat.org/oclc/209577","WorldCat Record")</f>
        <v/>
      </c>
      <c r="AU190" t="inlineStr">
        <is>
          <t>2763670342:eng</t>
        </is>
      </c>
      <c r="AV190" t="inlineStr">
        <is>
          <t>209577</t>
        </is>
      </c>
      <c r="AW190" t="inlineStr">
        <is>
          <t>991001258199702656</t>
        </is>
      </c>
      <c r="AX190" t="inlineStr">
        <is>
          <t>991001258199702656</t>
        </is>
      </c>
      <c r="AY190" t="inlineStr">
        <is>
          <t>2270751390002656</t>
        </is>
      </c>
      <c r="AZ190" t="inlineStr">
        <is>
          <t>BOOK</t>
        </is>
      </c>
      <c r="BB190" t="inlineStr">
        <is>
          <t>9780198268017</t>
        </is>
      </c>
      <c r="BC190" t="inlineStr">
        <is>
          <t>32285000637362</t>
        </is>
      </c>
      <c r="BD190" t="inlineStr">
        <is>
          <t>893709137</t>
        </is>
      </c>
      <c r="BE190" t="inlineStr">
        <is>
          <t>ZB Smith</t>
        </is>
      </c>
    </row>
    <row r="191">
      <c r="A191" t="inlineStr">
        <is>
          <t>No</t>
        </is>
      </c>
      <c r="B191" t="inlineStr">
        <is>
          <t>BT120 .B314 1968</t>
        </is>
      </c>
      <c r="C191" t="inlineStr">
        <is>
          <t>0                      BT 0120000B  314         1968</t>
        </is>
      </c>
      <c r="D191" t="inlineStr">
        <is>
          <t>Sur le Saint-Esprit / [par] Basile de Césarée. Introduction, texte, traduction et notes par Benoît Pruche, O.P.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Basil, Saint, Bishop of Caesarea, approximately 329-379.</t>
        </is>
      </c>
      <c r="L191" t="inlineStr">
        <is>
          <t>Paris : Éditions du Cerf, 1968.</t>
        </is>
      </c>
      <c r="M191" t="inlineStr">
        <is>
          <t>1968</t>
        </is>
      </c>
      <c r="N191" t="inlineStr">
        <is>
          <t>2e édition refondue.</t>
        </is>
      </c>
      <c r="O191" t="inlineStr">
        <is>
          <t>fre</t>
        </is>
      </c>
      <c r="P191" t="inlineStr">
        <is>
          <t>___</t>
        </is>
      </c>
      <c r="Q191" t="inlineStr">
        <is>
          <t>Sources chrétiennes ; no. 17 bis</t>
        </is>
      </c>
      <c r="R191" t="inlineStr">
        <is>
          <t xml:space="preserve">BT </t>
        </is>
      </c>
      <c r="S191" t="n">
        <v>3</v>
      </c>
      <c r="T191" t="n">
        <v>3</v>
      </c>
      <c r="U191" t="inlineStr">
        <is>
          <t>2010-12-04</t>
        </is>
      </c>
      <c r="V191" t="inlineStr">
        <is>
          <t>2010-12-04</t>
        </is>
      </c>
      <c r="W191" t="inlineStr">
        <is>
          <t>1991-07-31</t>
        </is>
      </c>
      <c r="X191" t="inlineStr">
        <is>
          <t>1991-07-31</t>
        </is>
      </c>
      <c r="Y191" t="n">
        <v>108</v>
      </c>
      <c r="Z191" t="n">
        <v>56</v>
      </c>
      <c r="AA191" t="n">
        <v>89</v>
      </c>
      <c r="AB191" t="n">
        <v>1</v>
      </c>
      <c r="AC191" t="n">
        <v>1</v>
      </c>
      <c r="AD191" t="n">
        <v>6</v>
      </c>
      <c r="AE191" t="n">
        <v>8</v>
      </c>
      <c r="AF191" t="n">
        <v>1</v>
      </c>
      <c r="AG191" t="n">
        <v>1</v>
      </c>
      <c r="AH191" t="n">
        <v>2</v>
      </c>
      <c r="AI191" t="n">
        <v>3</v>
      </c>
      <c r="AJ191" t="n">
        <v>5</v>
      </c>
      <c r="AK191" t="n">
        <v>6</v>
      </c>
      <c r="AL191" t="n">
        <v>0</v>
      </c>
      <c r="AM191" t="n">
        <v>0</v>
      </c>
      <c r="AN191" t="n">
        <v>0</v>
      </c>
      <c r="AO191" t="n">
        <v>0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HYPERLINK("https://creighton-primo.hosted.exlibrisgroup.com/primo-explore/search?tab=default_tab&amp;search_scope=EVERYTHING&amp;vid=01CRU&amp;lang=en_US&amp;offset=0&amp;query=any,contains,991003638479702656","Catalog Record")</f>
        <v/>
      </c>
      <c r="AT191">
        <f>HYPERLINK("http://www.worldcat.org/oclc/1233525","WorldCat Record")</f>
        <v/>
      </c>
      <c r="AU191" t="inlineStr">
        <is>
          <t>8912269980:fre</t>
        </is>
      </c>
      <c r="AV191" t="inlineStr">
        <is>
          <t>1233525</t>
        </is>
      </c>
      <c r="AW191" t="inlineStr">
        <is>
          <t>991003638479702656</t>
        </is>
      </c>
      <c r="AX191" t="inlineStr">
        <is>
          <t>991003638479702656</t>
        </is>
      </c>
      <c r="AY191" t="inlineStr">
        <is>
          <t>2262072650002656</t>
        </is>
      </c>
      <c r="AZ191" t="inlineStr">
        <is>
          <t>BOOK</t>
        </is>
      </c>
      <c r="BC191" t="inlineStr">
        <is>
          <t>32285000693035</t>
        </is>
      </c>
      <c r="BD191" t="inlineStr">
        <is>
          <t>893598786</t>
        </is>
      </c>
      <c r="BE191" t="inlineStr">
        <is>
          <t>ZB Smith</t>
        </is>
      </c>
    </row>
    <row r="192">
      <c r="A192" t="inlineStr">
        <is>
          <t>No</t>
        </is>
      </c>
      <c r="B192" t="inlineStr">
        <is>
          <t>BT153.W7 L314 1982</t>
        </is>
      </c>
      <c r="C192" t="inlineStr">
        <is>
          <t>0                      BT 0153000W  7                  L  314         1982</t>
        </is>
      </c>
      <c r="D192" t="inlineStr">
        <is>
          <t>La colère de Dieu / Lactance ; introduction, texte critique, traduction, commentaire et index par Christiane Ingremeau.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Lactantius, approximately 240-approximately 320.</t>
        </is>
      </c>
      <c r="L192" t="inlineStr">
        <is>
          <t>Paris : Cerf, 1982.</t>
        </is>
      </c>
      <c r="M192" t="inlineStr">
        <is>
          <t>1982</t>
        </is>
      </c>
      <c r="O192" t="inlineStr">
        <is>
          <t>fre</t>
        </is>
      </c>
      <c r="P192" t="inlineStr">
        <is>
          <t xml:space="preserve">fr </t>
        </is>
      </c>
      <c r="Q192" t="inlineStr">
        <is>
          <t>Sources chrétiennes ; no 289</t>
        </is>
      </c>
      <c r="R192" t="inlineStr">
        <is>
          <t xml:space="preserve">BT </t>
        </is>
      </c>
      <c r="S192" t="n">
        <v>2</v>
      </c>
      <c r="T192" t="n">
        <v>2</v>
      </c>
      <c r="U192" t="inlineStr">
        <is>
          <t>2001-06-11</t>
        </is>
      </c>
      <c r="V192" t="inlineStr">
        <is>
          <t>2001-06-11</t>
        </is>
      </c>
      <c r="W192" t="inlineStr">
        <is>
          <t>1991-08-02</t>
        </is>
      </c>
      <c r="X192" t="inlineStr">
        <is>
          <t>1991-08-02</t>
        </is>
      </c>
      <c r="Y192" t="n">
        <v>209</v>
      </c>
      <c r="Z192" t="n">
        <v>132</v>
      </c>
      <c r="AA192" t="n">
        <v>135</v>
      </c>
      <c r="AB192" t="n">
        <v>2</v>
      </c>
      <c r="AC192" t="n">
        <v>2</v>
      </c>
      <c r="AD192" t="n">
        <v>14</v>
      </c>
      <c r="AE192" t="n">
        <v>14</v>
      </c>
      <c r="AF192" t="n">
        <v>2</v>
      </c>
      <c r="AG192" t="n">
        <v>2</v>
      </c>
      <c r="AH192" t="n">
        <v>3</v>
      </c>
      <c r="AI192" t="n">
        <v>3</v>
      </c>
      <c r="AJ192" t="n">
        <v>11</v>
      </c>
      <c r="AK192" t="n">
        <v>11</v>
      </c>
      <c r="AL192" t="n">
        <v>1</v>
      </c>
      <c r="AM192" t="n">
        <v>1</v>
      </c>
      <c r="AN192" t="n">
        <v>0</v>
      </c>
      <c r="AO192" t="n">
        <v>0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HYPERLINK("http://catalog.hathitrust.org/Record/006662201","HathiTrust Record")</f>
        <v/>
      </c>
      <c r="AS192">
        <f>HYPERLINK("https://creighton-primo.hosted.exlibrisgroup.com/primo-explore/search?tab=default_tab&amp;search_scope=EVERYTHING&amp;vid=01CRU&amp;lang=en_US&amp;offset=0&amp;query=any,contains,991000300579702656","Catalog Record")</f>
        <v/>
      </c>
      <c r="AT192">
        <f>HYPERLINK("http://www.worldcat.org/oclc/10021515","WorldCat Record")</f>
        <v/>
      </c>
      <c r="AU192" t="inlineStr">
        <is>
          <t>1701445:fre</t>
        </is>
      </c>
      <c r="AV192" t="inlineStr">
        <is>
          <t>10021515</t>
        </is>
      </c>
      <c r="AW192" t="inlineStr">
        <is>
          <t>991000300579702656</t>
        </is>
      </c>
      <c r="AX192" t="inlineStr">
        <is>
          <t>991000300579702656</t>
        </is>
      </c>
      <c r="AY192" t="inlineStr">
        <is>
          <t>2266694480002656</t>
        </is>
      </c>
      <c r="AZ192" t="inlineStr">
        <is>
          <t>BOOK</t>
        </is>
      </c>
      <c r="BB192" t="inlineStr">
        <is>
          <t>9782204018678</t>
        </is>
      </c>
      <c r="BC192" t="inlineStr">
        <is>
          <t>32285000694413</t>
        </is>
      </c>
      <c r="BD192" t="inlineStr">
        <is>
          <t>893496110</t>
        </is>
      </c>
      <c r="BE192" t="inlineStr">
        <is>
          <t>ZB Smith</t>
        </is>
      </c>
    </row>
    <row r="193">
      <c r="A193" t="inlineStr">
        <is>
          <t>No</t>
        </is>
      </c>
      <c r="B193" t="inlineStr">
        <is>
          <t>BT430 .M413</t>
        </is>
      </c>
      <c r="C193" t="inlineStr">
        <is>
          <t>0                      BT 0430000M  413</t>
        </is>
      </c>
      <c r="D193" t="inlineStr">
        <is>
          <t>On Pascha and fragments / Melito of Sardis ; texts and translations edited by Stuart George Hall.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Melito, Saint, Bishop of Sardis, active 2nd century.</t>
        </is>
      </c>
      <c r="L193" t="inlineStr">
        <is>
          <t>Oxford : Clarendon Press, 1979.</t>
        </is>
      </c>
      <c r="M193" t="inlineStr">
        <is>
          <t>1979</t>
        </is>
      </c>
      <c r="O193" t="inlineStr">
        <is>
          <t>eng</t>
        </is>
      </c>
      <c r="P193" t="inlineStr">
        <is>
          <t>enk</t>
        </is>
      </c>
      <c r="Q193" t="inlineStr">
        <is>
          <t>Oxford early Christian texts</t>
        </is>
      </c>
      <c r="R193" t="inlineStr">
        <is>
          <t xml:space="preserve">BT </t>
        </is>
      </c>
      <c r="S193" t="n">
        <v>7</v>
      </c>
      <c r="T193" t="n">
        <v>7</v>
      </c>
      <c r="U193" t="inlineStr">
        <is>
          <t>2010-07-02</t>
        </is>
      </c>
      <c r="V193" t="inlineStr">
        <is>
          <t>2010-07-02</t>
        </is>
      </c>
      <c r="W193" t="inlineStr">
        <is>
          <t>1991-08-22</t>
        </is>
      </c>
      <c r="X193" t="inlineStr">
        <is>
          <t>1991-08-22</t>
        </is>
      </c>
      <c r="Y193" t="n">
        <v>357</v>
      </c>
      <c r="Z193" t="n">
        <v>271</v>
      </c>
      <c r="AA193" t="n">
        <v>271</v>
      </c>
      <c r="AB193" t="n">
        <v>3</v>
      </c>
      <c r="AC193" t="n">
        <v>3</v>
      </c>
      <c r="AD193" t="n">
        <v>22</v>
      </c>
      <c r="AE193" t="n">
        <v>22</v>
      </c>
      <c r="AF193" t="n">
        <v>8</v>
      </c>
      <c r="AG193" t="n">
        <v>8</v>
      </c>
      <c r="AH193" t="n">
        <v>3</v>
      </c>
      <c r="AI193" t="n">
        <v>3</v>
      </c>
      <c r="AJ193" t="n">
        <v>13</v>
      </c>
      <c r="AK193" t="n">
        <v>13</v>
      </c>
      <c r="AL193" t="n">
        <v>2</v>
      </c>
      <c r="AM193" t="n">
        <v>2</v>
      </c>
      <c r="AN193" t="n">
        <v>0</v>
      </c>
      <c r="AO193" t="n">
        <v>0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HYPERLINK("https://creighton-primo.hosted.exlibrisgroup.com/primo-explore/search?tab=default_tab&amp;search_scope=EVERYTHING&amp;vid=01CRU&amp;lang=en_US&amp;offset=0&amp;query=any,contains,991004738489702656","Catalog Record")</f>
        <v/>
      </c>
      <c r="AT193">
        <f>HYPERLINK("http://www.worldcat.org/oclc/4867053","WorldCat Record")</f>
        <v/>
      </c>
      <c r="AU193" t="inlineStr">
        <is>
          <t>1862543758:eng</t>
        </is>
      </c>
      <c r="AV193" t="inlineStr">
        <is>
          <t>4867053</t>
        </is>
      </c>
      <c r="AW193" t="inlineStr">
        <is>
          <t>991004738489702656</t>
        </is>
      </c>
      <c r="AX193" t="inlineStr">
        <is>
          <t>991004738489702656</t>
        </is>
      </c>
      <c r="AY193" t="inlineStr">
        <is>
          <t>2265456200002656</t>
        </is>
      </c>
      <c r="AZ193" t="inlineStr">
        <is>
          <t>BOOK</t>
        </is>
      </c>
      <c r="BB193" t="inlineStr">
        <is>
          <t>9780198268116</t>
        </is>
      </c>
      <c r="BC193" t="inlineStr">
        <is>
          <t>32285000745397</t>
        </is>
      </c>
      <c r="BD193" t="inlineStr">
        <is>
          <t>893519995</t>
        </is>
      </c>
      <c r="BE193" t="inlineStr">
        <is>
          <t>ZB Smith</t>
        </is>
      </c>
    </row>
    <row r="194">
      <c r="A194" t="inlineStr">
        <is>
          <t>No</t>
        </is>
      </c>
      <c r="B194" t="inlineStr">
        <is>
          <t>BT761.2 .H38 1992</t>
        </is>
      </c>
      <c r="C194" t="inlineStr">
        <is>
          <t>0                      BT 0761200H  38          1992</t>
        </is>
      </c>
      <c r="D194" t="inlineStr">
        <is>
          <t>Grace and human freedom according to St. Gregory of Nyssa / Verna E.F. Harrison.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Harrison, Nonna Verna, 1953-</t>
        </is>
      </c>
      <c r="L194" t="inlineStr">
        <is>
          <t>Lewiston, N.Y. : E. Mellen Press, c1992.</t>
        </is>
      </c>
      <c r="M194" t="inlineStr">
        <is>
          <t>1992</t>
        </is>
      </c>
      <c r="O194" t="inlineStr">
        <is>
          <t>eng</t>
        </is>
      </c>
      <c r="P194" t="inlineStr">
        <is>
          <t>nyu</t>
        </is>
      </c>
      <c r="Q194" t="inlineStr">
        <is>
          <t>Studies in the Bible and early Christianity ; v. 30</t>
        </is>
      </c>
      <c r="R194" t="inlineStr">
        <is>
          <t xml:space="preserve">BT </t>
        </is>
      </c>
      <c r="S194" t="n">
        <v>17</v>
      </c>
      <c r="T194" t="n">
        <v>17</v>
      </c>
      <c r="U194" t="inlineStr">
        <is>
          <t>2006-02-08</t>
        </is>
      </c>
      <c r="V194" t="inlineStr">
        <is>
          <t>2006-02-08</t>
        </is>
      </c>
      <c r="W194" t="inlineStr">
        <is>
          <t>1994-04-05</t>
        </is>
      </c>
      <c r="X194" t="inlineStr">
        <is>
          <t>1994-04-05</t>
        </is>
      </c>
      <c r="Y194" t="n">
        <v>156</v>
      </c>
      <c r="Z194" t="n">
        <v>114</v>
      </c>
      <c r="AA194" t="n">
        <v>114</v>
      </c>
      <c r="AB194" t="n">
        <v>1</v>
      </c>
      <c r="AC194" t="n">
        <v>1</v>
      </c>
      <c r="AD194" t="n">
        <v>12</v>
      </c>
      <c r="AE194" t="n">
        <v>12</v>
      </c>
      <c r="AF194" t="n">
        <v>5</v>
      </c>
      <c r="AG194" t="n">
        <v>5</v>
      </c>
      <c r="AH194" t="n">
        <v>3</v>
      </c>
      <c r="AI194" t="n">
        <v>3</v>
      </c>
      <c r="AJ194" t="n">
        <v>8</v>
      </c>
      <c r="AK194" t="n">
        <v>8</v>
      </c>
      <c r="AL194" t="n">
        <v>0</v>
      </c>
      <c r="AM194" t="n">
        <v>0</v>
      </c>
      <c r="AN194" t="n">
        <v>0</v>
      </c>
      <c r="AO194" t="n">
        <v>0</v>
      </c>
      <c r="AP194" t="inlineStr">
        <is>
          <t>No</t>
        </is>
      </c>
      <c r="AQ194" t="inlineStr">
        <is>
          <t>No</t>
        </is>
      </c>
      <c r="AS194">
        <f>HYPERLINK("https://creighton-primo.hosted.exlibrisgroup.com/primo-explore/search?tab=default_tab&amp;search_scope=EVERYTHING&amp;vid=01CRU&amp;lang=en_US&amp;offset=0&amp;query=any,contains,991002015429702656","Catalog Record")</f>
        <v/>
      </c>
      <c r="AT194">
        <f>HYPERLINK("http://www.worldcat.org/oclc/25631388","WorldCat Record")</f>
        <v/>
      </c>
      <c r="AU194" t="inlineStr">
        <is>
          <t>18315111:eng</t>
        </is>
      </c>
      <c r="AV194" t="inlineStr">
        <is>
          <t>25631388</t>
        </is>
      </c>
      <c r="AW194" t="inlineStr">
        <is>
          <t>991002015429702656</t>
        </is>
      </c>
      <c r="AX194" t="inlineStr">
        <is>
          <t>991002015429702656</t>
        </is>
      </c>
      <c r="AY194" t="inlineStr">
        <is>
          <t>2266513530002656</t>
        </is>
      </c>
      <c r="AZ194" t="inlineStr">
        <is>
          <t>BOOK</t>
        </is>
      </c>
      <c r="BB194" t="inlineStr">
        <is>
          <t>9780773495425</t>
        </is>
      </c>
      <c r="BC194" t="inlineStr">
        <is>
          <t>32285001858611</t>
        </is>
      </c>
      <c r="BD194" t="inlineStr">
        <is>
          <t>893773122</t>
        </is>
      </c>
      <c r="BE194" t="inlineStr">
        <is>
          <t>ZB Smith</t>
        </is>
      </c>
    </row>
    <row r="195">
      <c r="A195" t="inlineStr">
        <is>
          <t>No</t>
        </is>
      </c>
      <c r="B195" t="inlineStr">
        <is>
          <t>DE3 .I6 2001</t>
        </is>
      </c>
      <c r="C195" t="inlineStr">
        <is>
          <t>0                      DE 0003000I  6           2001</t>
        </is>
      </c>
      <c r="D195" t="inlineStr">
        <is>
          <t>Interpreting late antiquity : essays on the postclassical world / G.W. Bowersock, Peter Brown, Oleg Grabar, editors.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L195" t="inlineStr">
        <is>
          <t>Cambridge, Mass. : Belknap Press of Harvard University Press, 2001.</t>
        </is>
      </c>
      <c r="M195" t="inlineStr">
        <is>
          <t>2001</t>
        </is>
      </c>
      <c r="O195" t="inlineStr">
        <is>
          <t>eng</t>
        </is>
      </c>
      <c r="P195" t="inlineStr">
        <is>
          <t>mau</t>
        </is>
      </c>
      <c r="R195" t="inlineStr">
        <is>
          <t xml:space="preserve">DE </t>
        </is>
      </c>
      <c r="S195" t="n">
        <v>4</v>
      </c>
      <c r="T195" t="n">
        <v>4</v>
      </c>
      <c r="U195" t="inlineStr">
        <is>
          <t>2006-04-29</t>
        </is>
      </c>
      <c r="V195" t="inlineStr">
        <is>
          <t>2006-04-29</t>
        </is>
      </c>
      <c r="W195" t="inlineStr">
        <is>
          <t>2001-11-12</t>
        </is>
      </c>
      <c r="X195" t="inlineStr">
        <is>
          <t>2001-11-12</t>
        </is>
      </c>
      <c r="Y195" t="n">
        <v>396</v>
      </c>
      <c r="Z195" t="n">
        <v>278</v>
      </c>
      <c r="AA195" t="n">
        <v>279</v>
      </c>
      <c r="AB195" t="n">
        <v>2</v>
      </c>
      <c r="AC195" t="n">
        <v>2</v>
      </c>
      <c r="AD195" t="n">
        <v>21</v>
      </c>
      <c r="AE195" t="n">
        <v>21</v>
      </c>
      <c r="AF195" t="n">
        <v>5</v>
      </c>
      <c r="AG195" t="n">
        <v>5</v>
      </c>
      <c r="AH195" t="n">
        <v>8</v>
      </c>
      <c r="AI195" t="n">
        <v>8</v>
      </c>
      <c r="AJ195" t="n">
        <v>14</v>
      </c>
      <c r="AK195" t="n">
        <v>14</v>
      </c>
      <c r="AL195" t="n">
        <v>1</v>
      </c>
      <c r="AM195" t="n">
        <v>1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HYPERLINK("http://catalog.hathitrust.org/Record/004239085","HathiTrust Record")</f>
        <v/>
      </c>
      <c r="AS195">
        <f>HYPERLINK("https://creighton-primo.hosted.exlibrisgroup.com/primo-explore/search?tab=default_tab&amp;search_scope=EVERYTHING&amp;vid=01CRU&amp;lang=en_US&amp;offset=0&amp;query=any,contains,991003673709702656","Catalog Record")</f>
        <v/>
      </c>
      <c r="AT195">
        <f>HYPERLINK("http://www.worldcat.org/oclc/46976515","WorldCat Record")</f>
        <v/>
      </c>
      <c r="AU195" t="inlineStr">
        <is>
          <t>836990555:eng</t>
        </is>
      </c>
      <c r="AV195" t="inlineStr">
        <is>
          <t>46976515</t>
        </is>
      </c>
      <c r="AW195" t="inlineStr">
        <is>
          <t>991003673709702656</t>
        </is>
      </c>
      <c r="AX195" t="inlineStr">
        <is>
          <t>991003673709702656</t>
        </is>
      </c>
      <c r="AY195" t="inlineStr">
        <is>
          <t>2261642500002656</t>
        </is>
      </c>
      <c r="AZ195" t="inlineStr">
        <is>
          <t>BOOK</t>
        </is>
      </c>
      <c r="BB195" t="inlineStr">
        <is>
          <t>9780674005983</t>
        </is>
      </c>
      <c r="BC195" t="inlineStr">
        <is>
          <t>32285004410345</t>
        </is>
      </c>
      <c r="BD195" t="inlineStr">
        <is>
          <t>893499553</t>
        </is>
      </c>
      <c r="BE195" t="inlineStr">
        <is>
          <t>ZB Smith</t>
        </is>
      </c>
    </row>
    <row r="196">
      <c r="A196" t="inlineStr">
        <is>
          <t>No</t>
        </is>
      </c>
      <c r="B196" t="inlineStr">
        <is>
          <t>DE71 .F74 1996</t>
        </is>
      </c>
      <c r="C196" t="inlineStr">
        <is>
          <t>0                      DE 0071000F  74          1996</t>
        </is>
      </c>
      <c r="D196" t="inlineStr">
        <is>
          <t>Egypt, Greece, and Rome : civilizations of the ancient Mediterranean / Charles Freeman.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Freeman, Charles, 1947-</t>
        </is>
      </c>
      <c r="L196" t="inlineStr">
        <is>
          <t>Oxford : Oxford University Press, 1996.</t>
        </is>
      </c>
      <c r="M196" t="inlineStr">
        <is>
          <t>1996</t>
        </is>
      </c>
      <c r="O196" t="inlineStr">
        <is>
          <t>eng</t>
        </is>
      </c>
      <c r="P196" t="inlineStr">
        <is>
          <t>enk</t>
        </is>
      </c>
      <c r="R196" t="inlineStr">
        <is>
          <t xml:space="preserve">DE </t>
        </is>
      </c>
      <c r="S196" t="n">
        <v>5</v>
      </c>
      <c r="T196" t="n">
        <v>5</v>
      </c>
      <c r="U196" t="inlineStr">
        <is>
          <t>2000-02-05</t>
        </is>
      </c>
      <c r="V196" t="inlineStr">
        <is>
          <t>2000-02-05</t>
        </is>
      </c>
      <c r="W196" t="inlineStr">
        <is>
          <t>1997-10-02</t>
        </is>
      </c>
      <c r="X196" t="inlineStr">
        <is>
          <t>1997-10-02</t>
        </is>
      </c>
      <c r="Y196" t="n">
        <v>1181</v>
      </c>
      <c r="Z196" t="n">
        <v>1003</v>
      </c>
      <c r="AA196" t="n">
        <v>1625</v>
      </c>
      <c r="AB196" t="n">
        <v>8</v>
      </c>
      <c r="AC196" t="n">
        <v>13</v>
      </c>
      <c r="AD196" t="n">
        <v>24</v>
      </c>
      <c r="AE196" t="n">
        <v>41</v>
      </c>
      <c r="AF196" t="n">
        <v>7</v>
      </c>
      <c r="AG196" t="n">
        <v>14</v>
      </c>
      <c r="AH196" t="n">
        <v>5</v>
      </c>
      <c r="AI196" t="n">
        <v>8</v>
      </c>
      <c r="AJ196" t="n">
        <v>14</v>
      </c>
      <c r="AK196" t="n">
        <v>19</v>
      </c>
      <c r="AL196" t="n">
        <v>4</v>
      </c>
      <c r="AM196" t="n">
        <v>9</v>
      </c>
      <c r="AN196" t="n">
        <v>0</v>
      </c>
      <c r="AO196" t="n">
        <v>1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HYPERLINK("http://catalog.hathitrust.org/Record/003108233","HathiTrust Record")</f>
        <v/>
      </c>
      <c r="AS196">
        <f>HYPERLINK("https://creighton-primo.hosted.exlibrisgroup.com/primo-explore/search?tab=default_tab&amp;search_scope=EVERYTHING&amp;vid=01CRU&amp;lang=en_US&amp;offset=0&amp;query=any,contains,991002619669702656","Catalog Record")</f>
        <v/>
      </c>
      <c r="AT196">
        <f>HYPERLINK("http://www.worldcat.org/oclc/34323147","WorldCat Record")</f>
        <v/>
      </c>
      <c r="AU196" t="inlineStr">
        <is>
          <t>17774059:eng</t>
        </is>
      </c>
      <c r="AV196" t="inlineStr">
        <is>
          <t>34323147</t>
        </is>
      </c>
      <c r="AW196" t="inlineStr">
        <is>
          <t>991002619669702656</t>
        </is>
      </c>
      <c r="AX196" t="inlineStr">
        <is>
          <t>991002619669702656</t>
        </is>
      </c>
      <c r="AY196" t="inlineStr">
        <is>
          <t>2255278620002656</t>
        </is>
      </c>
      <c r="AZ196" t="inlineStr">
        <is>
          <t>BOOK</t>
        </is>
      </c>
      <c r="BB196" t="inlineStr">
        <is>
          <t>9780198150039</t>
        </is>
      </c>
      <c r="BC196" t="inlineStr">
        <is>
          <t>32285003252193</t>
        </is>
      </c>
      <c r="BD196" t="inlineStr">
        <is>
          <t>893710481</t>
        </is>
      </c>
      <c r="BE196" t="inlineStr">
        <is>
          <t>ZB Smith</t>
        </is>
      </c>
    </row>
    <row r="197">
      <c r="A197" t="inlineStr">
        <is>
          <t>No</t>
        </is>
      </c>
      <c r="B197" t="inlineStr">
        <is>
          <t>DE71 .S6</t>
        </is>
      </c>
      <c r="C197" t="inlineStr">
        <is>
          <t>0                      DE 0071000S  6</t>
        </is>
      </c>
      <c r="D197" t="inlineStr">
        <is>
          <t>Blacks in antiquity; Ethiopians in the Greco-Roman experience [by] Frank M. Snowden, Jr.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Snowden, Frank M., 1911-2007.</t>
        </is>
      </c>
      <c r="L197" t="inlineStr">
        <is>
          <t>Cambridge, Mass., Belknap Press of Harvard University Press, 1970.</t>
        </is>
      </c>
      <c r="M197" t="inlineStr">
        <is>
          <t>1970</t>
        </is>
      </c>
      <c r="O197" t="inlineStr">
        <is>
          <t>eng</t>
        </is>
      </c>
      <c r="P197" t="inlineStr">
        <is>
          <t>mau</t>
        </is>
      </c>
      <c r="R197" t="inlineStr">
        <is>
          <t xml:space="preserve">DE </t>
        </is>
      </c>
      <c r="S197" t="n">
        <v>3</v>
      </c>
      <c r="T197" t="n">
        <v>3</v>
      </c>
      <c r="U197" t="inlineStr">
        <is>
          <t>2003-11-12</t>
        </is>
      </c>
      <c r="V197" t="inlineStr">
        <is>
          <t>2003-11-12</t>
        </is>
      </c>
      <c r="W197" t="inlineStr">
        <is>
          <t>1997-01-28</t>
        </is>
      </c>
      <c r="X197" t="inlineStr">
        <is>
          <t>1997-01-28</t>
        </is>
      </c>
      <c r="Y197" t="n">
        <v>1470</v>
      </c>
      <c r="Z197" t="n">
        <v>1281</v>
      </c>
      <c r="AA197" t="n">
        <v>1355</v>
      </c>
      <c r="AB197" t="n">
        <v>9</v>
      </c>
      <c r="AC197" t="n">
        <v>9</v>
      </c>
      <c r="AD197" t="n">
        <v>50</v>
      </c>
      <c r="AE197" t="n">
        <v>52</v>
      </c>
      <c r="AF197" t="n">
        <v>22</v>
      </c>
      <c r="AG197" t="n">
        <v>24</v>
      </c>
      <c r="AH197" t="n">
        <v>11</v>
      </c>
      <c r="AI197" t="n">
        <v>11</v>
      </c>
      <c r="AJ197" t="n">
        <v>22</v>
      </c>
      <c r="AK197" t="n">
        <v>22</v>
      </c>
      <c r="AL197" t="n">
        <v>8</v>
      </c>
      <c r="AM197" t="n">
        <v>8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HYPERLINK("http://catalog.hathitrust.org/Record/000848062","HathiTrust Record")</f>
        <v/>
      </c>
      <c r="AS197">
        <f>HYPERLINK("https://creighton-primo.hosted.exlibrisgroup.com/primo-explore/search?tab=default_tab&amp;search_scope=EVERYTHING&amp;vid=01CRU&amp;lang=en_US&amp;offset=0&amp;query=any,contains,991000447119702656","Catalog Record")</f>
        <v/>
      </c>
      <c r="AT197">
        <f>HYPERLINK("http://www.worldcat.org/oclc/76827","WorldCat Record")</f>
        <v/>
      </c>
      <c r="AU197" t="inlineStr">
        <is>
          <t>520815:eng</t>
        </is>
      </c>
      <c r="AV197" t="inlineStr">
        <is>
          <t>76827</t>
        </is>
      </c>
      <c r="AW197" t="inlineStr">
        <is>
          <t>991000447119702656</t>
        </is>
      </c>
      <c r="AX197" t="inlineStr">
        <is>
          <t>991000447119702656</t>
        </is>
      </c>
      <c r="AY197" t="inlineStr">
        <is>
          <t>2257139190002656</t>
        </is>
      </c>
      <c r="AZ197" t="inlineStr">
        <is>
          <t>BOOK</t>
        </is>
      </c>
      <c r="BB197" t="inlineStr">
        <is>
          <t>9780674076259</t>
        </is>
      </c>
      <c r="BC197" t="inlineStr">
        <is>
          <t>32285002416823</t>
        </is>
      </c>
      <c r="BD197" t="inlineStr">
        <is>
          <t>893231113</t>
        </is>
      </c>
      <c r="BE197" t="inlineStr">
        <is>
          <t>ZB Smith</t>
        </is>
      </c>
    </row>
    <row r="198">
      <c r="A198" t="inlineStr">
        <is>
          <t>No</t>
        </is>
      </c>
      <c r="B198" t="inlineStr">
        <is>
          <t>DE71 .V65 1996</t>
        </is>
      </c>
      <c r="C198" t="inlineStr">
        <is>
          <t>0                      DE 0071000V  65          1996</t>
        </is>
      </c>
      <c r="D198" t="inlineStr">
        <is>
          <t>Voluntary associations in the Graeco-Roman world / edited by John S. Kloppenborg and Stephen G. Wilson.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L198" t="inlineStr">
        <is>
          <t>London ; New York : Routledge, 1996.</t>
        </is>
      </c>
      <c r="M198" t="inlineStr">
        <is>
          <t>1996</t>
        </is>
      </c>
      <c r="O198" t="inlineStr">
        <is>
          <t>eng</t>
        </is>
      </c>
      <c r="P198" t="inlineStr">
        <is>
          <t>enk</t>
        </is>
      </c>
      <c r="R198" t="inlineStr">
        <is>
          <t xml:space="preserve">DE </t>
        </is>
      </c>
      <c r="S198" t="n">
        <v>11</v>
      </c>
      <c r="T198" t="n">
        <v>11</v>
      </c>
      <c r="U198" t="inlineStr">
        <is>
          <t>2003-05-01</t>
        </is>
      </c>
      <c r="V198" t="inlineStr">
        <is>
          <t>2003-05-01</t>
        </is>
      </c>
      <c r="W198" t="inlineStr">
        <is>
          <t>1997-03-13</t>
        </is>
      </c>
      <c r="X198" t="inlineStr">
        <is>
          <t>1997-03-13</t>
        </is>
      </c>
      <c r="Y198" t="n">
        <v>310</v>
      </c>
      <c r="Z198" t="n">
        <v>212</v>
      </c>
      <c r="AA198" t="n">
        <v>496</v>
      </c>
      <c r="AB198" t="n">
        <v>1</v>
      </c>
      <c r="AC198" t="n">
        <v>27</v>
      </c>
      <c r="AD198" t="n">
        <v>18</v>
      </c>
      <c r="AE198" t="n">
        <v>35</v>
      </c>
      <c r="AF198" t="n">
        <v>7</v>
      </c>
      <c r="AG198" t="n">
        <v>10</v>
      </c>
      <c r="AH198" t="n">
        <v>4</v>
      </c>
      <c r="AI198" t="n">
        <v>4</v>
      </c>
      <c r="AJ198" t="n">
        <v>11</v>
      </c>
      <c r="AK198" t="n">
        <v>14</v>
      </c>
      <c r="AL198" t="n">
        <v>0</v>
      </c>
      <c r="AM198" t="n">
        <v>12</v>
      </c>
      <c r="AN198" t="n">
        <v>0</v>
      </c>
      <c r="AO198" t="n">
        <v>0</v>
      </c>
      <c r="AP198" t="inlineStr">
        <is>
          <t>No</t>
        </is>
      </c>
      <c r="AQ198" t="inlineStr">
        <is>
          <t>No</t>
        </is>
      </c>
      <c r="AS198">
        <f>HYPERLINK("https://creighton-primo.hosted.exlibrisgroup.com/primo-explore/search?tab=default_tab&amp;search_scope=EVERYTHING&amp;vid=01CRU&amp;lang=en_US&amp;offset=0&amp;query=any,contains,991005425429702656","Catalog Record")</f>
        <v/>
      </c>
      <c r="AT198">
        <f>HYPERLINK("http://www.worldcat.org/oclc/36077903","WorldCat Record")</f>
        <v/>
      </c>
      <c r="AU198" t="inlineStr">
        <is>
          <t>398948240:eng</t>
        </is>
      </c>
      <c r="AV198" t="inlineStr">
        <is>
          <t>36077903</t>
        </is>
      </c>
      <c r="AW198" t="inlineStr">
        <is>
          <t>991005425429702656</t>
        </is>
      </c>
      <c r="AX198" t="inlineStr">
        <is>
          <t>991005425429702656</t>
        </is>
      </c>
      <c r="AY198" t="inlineStr">
        <is>
          <t>2260333110002656</t>
        </is>
      </c>
      <c r="AZ198" t="inlineStr">
        <is>
          <t>BOOK</t>
        </is>
      </c>
      <c r="BB198" t="inlineStr">
        <is>
          <t>9780415135931</t>
        </is>
      </c>
      <c r="BC198" t="inlineStr">
        <is>
          <t>32285002442415</t>
        </is>
      </c>
      <c r="BD198" t="inlineStr">
        <is>
          <t>893508247</t>
        </is>
      </c>
      <c r="BE198" t="inlineStr">
        <is>
          <t>ZB Smith</t>
        </is>
      </c>
    </row>
    <row r="199">
      <c r="A199" t="inlineStr">
        <is>
          <t>No</t>
        </is>
      </c>
      <c r="B199" t="inlineStr">
        <is>
          <t>DE8 .F55 1986</t>
        </is>
      </c>
      <c r="C199" t="inlineStr">
        <is>
          <t>0                      DE 0008000F  55          1986</t>
        </is>
      </c>
      <c r="D199" t="inlineStr">
        <is>
          <t>Ancient history : evidence and models / M.I. Finley.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Finley, M. I. (Moses I.), 1912-1986.</t>
        </is>
      </c>
      <c r="L199" t="inlineStr">
        <is>
          <t>New York, N.Y. : Viking, 1986, c1985.</t>
        </is>
      </c>
      <c r="M199" t="inlineStr">
        <is>
          <t>1986</t>
        </is>
      </c>
      <c r="N199" t="inlineStr">
        <is>
          <t>1st American ed.</t>
        </is>
      </c>
      <c r="O199" t="inlineStr">
        <is>
          <t>eng</t>
        </is>
      </c>
      <c r="P199" t="inlineStr">
        <is>
          <t>nyu</t>
        </is>
      </c>
      <c r="R199" t="inlineStr">
        <is>
          <t xml:space="preserve">DE </t>
        </is>
      </c>
      <c r="S199" t="n">
        <v>3</v>
      </c>
      <c r="T199" t="n">
        <v>3</v>
      </c>
      <c r="U199" t="inlineStr">
        <is>
          <t>2004-04-01</t>
        </is>
      </c>
      <c r="V199" t="inlineStr">
        <is>
          <t>2004-04-01</t>
        </is>
      </c>
      <c r="W199" t="inlineStr">
        <is>
          <t>1991-02-11</t>
        </is>
      </c>
      <c r="X199" t="inlineStr">
        <is>
          <t>1991-02-11</t>
        </is>
      </c>
      <c r="Y199" t="n">
        <v>577</v>
      </c>
      <c r="Z199" t="n">
        <v>544</v>
      </c>
      <c r="AA199" t="n">
        <v>704</v>
      </c>
      <c r="AB199" t="n">
        <v>2</v>
      </c>
      <c r="AC199" t="n">
        <v>8</v>
      </c>
      <c r="AD199" t="n">
        <v>25</v>
      </c>
      <c r="AE199" t="n">
        <v>35</v>
      </c>
      <c r="AF199" t="n">
        <v>11</v>
      </c>
      <c r="AG199" t="n">
        <v>12</v>
      </c>
      <c r="AH199" t="n">
        <v>9</v>
      </c>
      <c r="AI199" t="n">
        <v>10</v>
      </c>
      <c r="AJ199" t="n">
        <v>15</v>
      </c>
      <c r="AK199" t="n">
        <v>19</v>
      </c>
      <c r="AL199" t="n">
        <v>0</v>
      </c>
      <c r="AM199" t="n">
        <v>6</v>
      </c>
      <c r="AN199" t="n">
        <v>0</v>
      </c>
      <c r="AO199" t="n">
        <v>0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HYPERLINK("http://catalog.hathitrust.org/Record/102102047","HathiTrust Record")</f>
        <v/>
      </c>
      <c r="AS199">
        <f>HYPERLINK("https://creighton-primo.hosted.exlibrisgroup.com/primo-explore/search?tab=default_tab&amp;search_scope=EVERYTHING&amp;vid=01CRU&amp;lang=en_US&amp;offset=0&amp;query=any,contains,991000700849702656","Catalog Record")</f>
        <v/>
      </c>
      <c r="AT199">
        <f>HYPERLINK("http://www.worldcat.org/oclc/12549483","WorldCat Record")</f>
        <v/>
      </c>
      <c r="AU199" t="inlineStr">
        <is>
          <t>198130169:eng</t>
        </is>
      </c>
      <c r="AV199" t="inlineStr">
        <is>
          <t>12549483</t>
        </is>
      </c>
      <c r="AW199" t="inlineStr">
        <is>
          <t>991000700849702656</t>
        </is>
      </c>
      <c r="AX199" t="inlineStr">
        <is>
          <t>991000700849702656</t>
        </is>
      </c>
      <c r="AY199" t="inlineStr">
        <is>
          <t>2263510310002656</t>
        </is>
      </c>
      <c r="AZ199" t="inlineStr">
        <is>
          <t>BOOK</t>
        </is>
      </c>
      <c r="BB199" t="inlineStr">
        <is>
          <t>9780670809707</t>
        </is>
      </c>
      <c r="BC199" t="inlineStr">
        <is>
          <t>32285000458173</t>
        </is>
      </c>
      <c r="BD199" t="inlineStr">
        <is>
          <t>893708627</t>
        </is>
      </c>
      <c r="BE199" t="inlineStr">
        <is>
          <t>ZB Smith</t>
        </is>
      </c>
    </row>
    <row r="200">
      <c r="A200" t="inlineStr">
        <is>
          <t>No</t>
        </is>
      </c>
      <c r="B200" t="inlineStr">
        <is>
          <t>DE8 .F56 1975</t>
        </is>
      </c>
      <c r="C200" t="inlineStr">
        <is>
          <t>0                      DE 0008000F  56          1975</t>
        </is>
      </c>
      <c r="D200" t="inlineStr">
        <is>
          <t>The use and abuse of history / by M. I. Finley.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Finley, M. I. (Moses I.), 1912-1986.</t>
        </is>
      </c>
      <c r="L200" t="inlineStr">
        <is>
          <t>New York : Viking Press, [1975]</t>
        </is>
      </c>
      <c r="M200" t="inlineStr">
        <is>
          <t>1975</t>
        </is>
      </c>
      <c r="O200" t="inlineStr">
        <is>
          <t>eng</t>
        </is>
      </c>
      <c r="P200" t="inlineStr">
        <is>
          <t>nyu</t>
        </is>
      </c>
      <c r="R200" t="inlineStr">
        <is>
          <t xml:space="preserve">DE </t>
        </is>
      </c>
      <c r="S200" t="n">
        <v>1</v>
      </c>
      <c r="T200" t="n">
        <v>1</v>
      </c>
      <c r="U200" t="inlineStr">
        <is>
          <t>2003-09-11</t>
        </is>
      </c>
      <c r="V200" t="inlineStr">
        <is>
          <t>2003-09-11</t>
        </is>
      </c>
      <c r="W200" t="inlineStr">
        <is>
          <t>1997-01-28</t>
        </is>
      </c>
      <c r="X200" t="inlineStr">
        <is>
          <t>1997-01-28</t>
        </is>
      </c>
      <c r="Y200" t="n">
        <v>617</v>
      </c>
      <c r="Z200" t="n">
        <v>565</v>
      </c>
      <c r="AA200" t="n">
        <v>702</v>
      </c>
      <c r="AB200" t="n">
        <v>5</v>
      </c>
      <c r="AC200" t="n">
        <v>7</v>
      </c>
      <c r="AD200" t="n">
        <v>31</v>
      </c>
      <c r="AE200" t="n">
        <v>35</v>
      </c>
      <c r="AF200" t="n">
        <v>11</v>
      </c>
      <c r="AG200" t="n">
        <v>11</v>
      </c>
      <c r="AH200" t="n">
        <v>9</v>
      </c>
      <c r="AI200" t="n">
        <v>11</v>
      </c>
      <c r="AJ200" t="n">
        <v>16</v>
      </c>
      <c r="AK200" t="n">
        <v>17</v>
      </c>
      <c r="AL200" t="n">
        <v>4</v>
      </c>
      <c r="AM200" t="n">
        <v>6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HYPERLINK("https://creighton-primo.hosted.exlibrisgroup.com/primo-explore/search?tab=default_tab&amp;search_scope=EVERYTHING&amp;vid=01CRU&amp;lang=en_US&amp;offset=0&amp;query=any,contains,991003551669702656","Catalog Record")</f>
        <v/>
      </c>
      <c r="AT200">
        <f>HYPERLINK("http://www.worldcat.org/oclc/1119772","WorldCat Record")</f>
        <v/>
      </c>
      <c r="AU200" t="inlineStr">
        <is>
          <t>20539551:eng</t>
        </is>
      </c>
      <c r="AV200" t="inlineStr">
        <is>
          <t>1119772</t>
        </is>
      </c>
      <c r="AW200" t="inlineStr">
        <is>
          <t>991003551669702656</t>
        </is>
      </c>
      <c r="AX200" t="inlineStr">
        <is>
          <t>991003551669702656</t>
        </is>
      </c>
      <c r="AY200" t="inlineStr">
        <is>
          <t>2255927310002656</t>
        </is>
      </c>
      <c r="AZ200" t="inlineStr">
        <is>
          <t>BOOK</t>
        </is>
      </c>
      <c r="BB200" t="inlineStr">
        <is>
          <t>9780670742158</t>
        </is>
      </c>
      <c r="BC200" t="inlineStr">
        <is>
          <t>32285002416716</t>
        </is>
      </c>
      <c r="BD200" t="inlineStr">
        <is>
          <t>893598695</t>
        </is>
      </c>
      <c r="BE200" t="inlineStr">
        <is>
          <t>ZB Smith</t>
        </is>
      </c>
    </row>
    <row r="201">
      <c r="A201" t="inlineStr">
        <is>
          <t>No</t>
        </is>
      </c>
      <c r="B201" t="inlineStr">
        <is>
          <t>DE80 .L36 2006</t>
        </is>
      </c>
      <c r="C201" t="inlineStr">
        <is>
          <t>0                      DE 0080000L  36          2006</t>
        </is>
      </c>
      <c r="D201" t="inlineStr">
        <is>
          <t>The classical world : an epic history from Homer to Hadrian / Robin Lane Fox.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Lane Fox, Robin, 1946-</t>
        </is>
      </c>
      <c r="L201" t="inlineStr">
        <is>
          <t>New York : Basic Books, c2006.</t>
        </is>
      </c>
      <c r="M201" t="inlineStr">
        <is>
          <t>2006</t>
        </is>
      </c>
      <c r="O201" t="inlineStr">
        <is>
          <t>eng</t>
        </is>
      </c>
      <c r="P201" t="inlineStr">
        <is>
          <t>nyu</t>
        </is>
      </c>
      <c r="R201" t="inlineStr">
        <is>
          <t xml:space="preserve">DE </t>
        </is>
      </c>
      <c r="S201" t="n">
        <v>1</v>
      </c>
      <c r="T201" t="n">
        <v>1</v>
      </c>
      <c r="U201" t="inlineStr">
        <is>
          <t>2006-10-25</t>
        </is>
      </c>
      <c r="V201" t="inlineStr">
        <is>
          <t>2006-10-25</t>
        </is>
      </c>
      <c r="W201" t="inlineStr">
        <is>
          <t>2006-10-25</t>
        </is>
      </c>
      <c r="X201" t="inlineStr">
        <is>
          <t>2006-10-25</t>
        </is>
      </c>
      <c r="Y201" t="n">
        <v>1199</v>
      </c>
      <c r="Z201" t="n">
        <v>1120</v>
      </c>
      <c r="AA201" t="n">
        <v>1222</v>
      </c>
      <c r="AB201" t="n">
        <v>8</v>
      </c>
      <c r="AC201" t="n">
        <v>9</v>
      </c>
      <c r="AD201" t="n">
        <v>22</v>
      </c>
      <c r="AE201" t="n">
        <v>25</v>
      </c>
      <c r="AF201" t="n">
        <v>8</v>
      </c>
      <c r="AG201" t="n">
        <v>8</v>
      </c>
      <c r="AH201" t="n">
        <v>5</v>
      </c>
      <c r="AI201" t="n">
        <v>6</v>
      </c>
      <c r="AJ201" t="n">
        <v>9</v>
      </c>
      <c r="AK201" t="n">
        <v>11</v>
      </c>
      <c r="AL201" t="n">
        <v>5</v>
      </c>
      <c r="AM201" t="n">
        <v>6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HYPERLINK("https://creighton-primo.hosted.exlibrisgroup.com/primo-explore/search?tab=default_tab&amp;search_scope=EVERYTHING&amp;vid=01CRU&amp;lang=en_US&amp;offset=0&amp;query=any,contains,991004905499702656","Catalog Record")</f>
        <v/>
      </c>
      <c r="AT201">
        <f>HYPERLINK("http://www.worldcat.org/oclc/70149306","WorldCat Record")</f>
        <v/>
      </c>
      <c r="AU201" t="inlineStr">
        <is>
          <t>3372201844:eng</t>
        </is>
      </c>
      <c r="AV201" t="inlineStr">
        <is>
          <t>70149306</t>
        </is>
      </c>
      <c r="AW201" t="inlineStr">
        <is>
          <t>991004905499702656</t>
        </is>
      </c>
      <c r="AX201" t="inlineStr">
        <is>
          <t>991004905499702656</t>
        </is>
      </c>
      <c r="AY201" t="inlineStr">
        <is>
          <t>2261383790002656</t>
        </is>
      </c>
      <c r="AZ201" t="inlineStr">
        <is>
          <t>BOOK</t>
        </is>
      </c>
      <c r="BB201" t="inlineStr">
        <is>
          <t>9780465024964</t>
        </is>
      </c>
      <c r="BC201" t="inlineStr">
        <is>
          <t>32285005232656</t>
        </is>
      </c>
      <c r="BD201" t="inlineStr">
        <is>
          <t>893412052</t>
        </is>
      </c>
      <c r="BE201" t="inlineStr">
        <is>
          <t>ZB Smith</t>
        </is>
      </c>
    </row>
    <row r="202">
      <c r="A202" t="inlineStr">
        <is>
          <t>No</t>
        </is>
      </c>
      <c r="B202" t="inlineStr">
        <is>
          <t>DF78 .M635 2000</t>
        </is>
      </c>
      <c r="C202" t="inlineStr">
        <is>
          <t>0                      DF 0078000M  635         2000</t>
        </is>
      </c>
      <c r="D202" t="inlineStr">
        <is>
          <t>Archaeology as cultural history : words and things in Iron Age Greece / Ian Morris.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Morris, Ian, 1960-</t>
        </is>
      </c>
      <c r="L202" t="inlineStr">
        <is>
          <t>Malden, Mass : Blackwall, 2000.</t>
        </is>
      </c>
      <c r="M202" t="inlineStr">
        <is>
          <t>2000</t>
        </is>
      </c>
      <c r="O202" t="inlineStr">
        <is>
          <t>eng</t>
        </is>
      </c>
      <c r="P202" t="inlineStr">
        <is>
          <t>mau</t>
        </is>
      </c>
      <c r="Q202" t="inlineStr">
        <is>
          <t>Social archaeology</t>
        </is>
      </c>
      <c r="R202" t="inlineStr">
        <is>
          <t xml:space="preserve">DF </t>
        </is>
      </c>
      <c r="S202" t="n">
        <v>5</v>
      </c>
      <c r="T202" t="n">
        <v>5</v>
      </c>
      <c r="U202" t="inlineStr">
        <is>
          <t>2006-03-21</t>
        </is>
      </c>
      <c r="V202" t="inlineStr">
        <is>
          <t>2006-03-21</t>
        </is>
      </c>
      <c r="W202" t="inlineStr">
        <is>
          <t>2003-08-12</t>
        </is>
      </c>
      <c r="X202" t="inlineStr">
        <is>
          <t>2003-08-12</t>
        </is>
      </c>
      <c r="Y202" t="n">
        <v>389</v>
      </c>
      <c r="Z202" t="n">
        <v>272</v>
      </c>
      <c r="AA202" t="n">
        <v>272</v>
      </c>
      <c r="AB202" t="n">
        <v>2</v>
      </c>
      <c r="AC202" t="n">
        <v>2</v>
      </c>
      <c r="AD202" t="n">
        <v>18</v>
      </c>
      <c r="AE202" t="n">
        <v>18</v>
      </c>
      <c r="AF202" t="n">
        <v>7</v>
      </c>
      <c r="AG202" t="n">
        <v>7</v>
      </c>
      <c r="AH202" t="n">
        <v>8</v>
      </c>
      <c r="AI202" t="n">
        <v>8</v>
      </c>
      <c r="AJ202" t="n">
        <v>10</v>
      </c>
      <c r="AK202" t="n">
        <v>10</v>
      </c>
      <c r="AL202" t="n">
        <v>1</v>
      </c>
      <c r="AM202" t="n">
        <v>1</v>
      </c>
      <c r="AN202" t="n">
        <v>0</v>
      </c>
      <c r="AO202" t="n">
        <v>0</v>
      </c>
      <c r="AP202" t="inlineStr">
        <is>
          <t>No</t>
        </is>
      </c>
      <c r="AQ202" t="inlineStr">
        <is>
          <t>No</t>
        </is>
      </c>
      <c r="AS202">
        <f>HYPERLINK("https://creighton-primo.hosted.exlibrisgroup.com/primo-explore/search?tab=default_tab&amp;search_scope=EVERYTHING&amp;vid=01CRU&amp;lang=en_US&amp;offset=0&amp;query=any,contains,991004098869702656","Catalog Record")</f>
        <v/>
      </c>
      <c r="AT202">
        <f>HYPERLINK("http://www.worldcat.org/oclc/40821089","WorldCat Record")</f>
        <v/>
      </c>
      <c r="AU202" t="inlineStr">
        <is>
          <t>836914667:eng</t>
        </is>
      </c>
      <c r="AV202" t="inlineStr">
        <is>
          <t>40821089</t>
        </is>
      </c>
      <c r="AW202" t="inlineStr">
        <is>
          <t>991004098869702656</t>
        </is>
      </c>
      <c r="AX202" t="inlineStr">
        <is>
          <t>991004098869702656</t>
        </is>
      </c>
      <c r="AY202" t="inlineStr">
        <is>
          <t>2272001360002656</t>
        </is>
      </c>
      <c r="AZ202" t="inlineStr">
        <is>
          <t>BOOK</t>
        </is>
      </c>
      <c r="BB202" t="inlineStr">
        <is>
          <t>9780631174097</t>
        </is>
      </c>
      <c r="BC202" t="inlineStr">
        <is>
          <t>32285004759204</t>
        </is>
      </c>
      <c r="BD202" t="inlineStr">
        <is>
          <t>893324919</t>
        </is>
      </c>
      <c r="BE202" t="inlineStr">
        <is>
          <t>ZB Smith</t>
        </is>
      </c>
    </row>
    <row r="203">
      <c r="A203" t="inlineStr">
        <is>
          <t>No</t>
        </is>
      </c>
      <c r="B203" t="inlineStr">
        <is>
          <t>DG272 .S55 1996</t>
        </is>
      </c>
      <c r="C203" t="inlineStr">
        <is>
          <t>0                      DG 0272000S  55          1996</t>
        </is>
      </c>
      <c r="D203" t="inlineStr">
        <is>
          <t>Shifting frontiers in late antiquity / edited by Ralph W. Mathisen and Hagith S. Sivan.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L203" t="inlineStr">
        <is>
          <t>Aldershot, Hampshire ; Brookfield, Vt. : Variorum, 1996.</t>
        </is>
      </c>
      <c r="M203" t="inlineStr">
        <is>
          <t>1996</t>
        </is>
      </c>
      <c r="O203" t="inlineStr">
        <is>
          <t>eng</t>
        </is>
      </c>
      <c r="P203" t="inlineStr">
        <is>
          <t>enk</t>
        </is>
      </c>
      <c r="R203" t="inlineStr">
        <is>
          <t xml:space="preserve">DG </t>
        </is>
      </c>
      <c r="S203" t="n">
        <v>2</v>
      </c>
      <c r="T203" t="n">
        <v>2</v>
      </c>
      <c r="U203" t="inlineStr">
        <is>
          <t>2001-05-26</t>
        </is>
      </c>
      <c r="V203" t="inlineStr">
        <is>
          <t>2001-05-26</t>
        </is>
      </c>
      <c r="W203" t="inlineStr">
        <is>
          <t>2001-05-17</t>
        </is>
      </c>
      <c r="X203" t="inlineStr">
        <is>
          <t>2001-05-17</t>
        </is>
      </c>
      <c r="Y203" t="n">
        <v>217</v>
      </c>
      <c r="Z203" t="n">
        <v>133</v>
      </c>
      <c r="AA203" t="n">
        <v>139</v>
      </c>
      <c r="AB203" t="n">
        <v>1</v>
      </c>
      <c r="AC203" t="n">
        <v>1</v>
      </c>
      <c r="AD203" t="n">
        <v>8</v>
      </c>
      <c r="AE203" t="n">
        <v>9</v>
      </c>
      <c r="AF203" t="n">
        <v>0</v>
      </c>
      <c r="AG203" t="n">
        <v>0</v>
      </c>
      <c r="AH203" t="n">
        <v>4</v>
      </c>
      <c r="AI203" t="n">
        <v>5</v>
      </c>
      <c r="AJ203" t="n">
        <v>5</v>
      </c>
      <c r="AK203" t="n">
        <v>6</v>
      </c>
      <c r="AL203" t="n">
        <v>0</v>
      </c>
      <c r="AM203" t="n">
        <v>0</v>
      </c>
      <c r="AN203" t="n">
        <v>0</v>
      </c>
      <c r="AO203" t="n">
        <v>0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HYPERLINK("http://catalog.hathitrust.org/Record/003073490","HathiTrust Record")</f>
        <v/>
      </c>
      <c r="AS203">
        <f>HYPERLINK("https://creighton-primo.hosted.exlibrisgroup.com/primo-explore/search?tab=default_tab&amp;search_scope=EVERYTHING&amp;vid=01CRU&amp;lang=en_US&amp;offset=0&amp;query=any,contains,991003501829702656","Catalog Record")</f>
        <v/>
      </c>
      <c r="AT203">
        <f>HYPERLINK("http://www.worldcat.org/oclc/34114040","WorldCat Record")</f>
        <v/>
      </c>
      <c r="AU203" t="inlineStr">
        <is>
          <t>365198149:eng</t>
        </is>
      </c>
      <c r="AV203" t="inlineStr">
        <is>
          <t>34114040</t>
        </is>
      </c>
      <c r="AW203" t="inlineStr">
        <is>
          <t>991003501829702656</t>
        </is>
      </c>
      <c r="AX203" t="inlineStr">
        <is>
          <t>991003501829702656</t>
        </is>
      </c>
      <c r="AY203" t="inlineStr">
        <is>
          <t>2272771050002656</t>
        </is>
      </c>
      <c r="AZ203" t="inlineStr">
        <is>
          <t>BOOK</t>
        </is>
      </c>
      <c r="BB203" t="inlineStr">
        <is>
          <t>9780860785880</t>
        </is>
      </c>
      <c r="BC203" t="inlineStr">
        <is>
          <t>32285004317995</t>
        </is>
      </c>
      <c r="BD203" t="inlineStr">
        <is>
          <t>893336555</t>
        </is>
      </c>
      <c r="BE203" t="inlineStr">
        <is>
          <t>ZB Smith</t>
        </is>
      </c>
    </row>
    <row r="204">
      <c r="A204" t="inlineStr">
        <is>
          <t>No</t>
        </is>
      </c>
      <c r="B204" t="inlineStr">
        <is>
          <t>DG78 .G78  1996</t>
        </is>
      </c>
      <c r="C204" t="inlineStr">
        <is>
          <t>0                      DG 0078000G  78          1996</t>
        </is>
      </c>
      <c r="D204" t="inlineStr">
        <is>
          <t>Studies in Greek culture and Roman policy / by Erich S. Gruen.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Gruen, Erich S.</t>
        </is>
      </c>
      <c r="L204" t="inlineStr">
        <is>
          <t>Berkeley : University of California Press, [1996]</t>
        </is>
      </c>
      <c r="M204" t="inlineStr">
        <is>
          <t>1996</t>
        </is>
      </c>
      <c r="O204" t="inlineStr">
        <is>
          <t>eng</t>
        </is>
      </c>
      <c r="P204" t="inlineStr">
        <is>
          <t>cau</t>
        </is>
      </c>
      <c r="R204" t="inlineStr">
        <is>
          <t xml:space="preserve">DG </t>
        </is>
      </c>
      <c r="S204" t="n">
        <v>5</v>
      </c>
      <c r="T204" t="n">
        <v>5</v>
      </c>
      <c r="U204" t="inlineStr">
        <is>
          <t>2005-09-26</t>
        </is>
      </c>
      <c r="V204" t="inlineStr">
        <is>
          <t>2005-09-26</t>
        </is>
      </c>
      <c r="W204" t="inlineStr">
        <is>
          <t>2005-06-08</t>
        </is>
      </c>
      <c r="X204" t="inlineStr">
        <is>
          <t>2005-06-08</t>
        </is>
      </c>
      <c r="Y204" t="n">
        <v>166</v>
      </c>
      <c r="Z204" t="n">
        <v>129</v>
      </c>
      <c r="AA204" t="n">
        <v>129</v>
      </c>
      <c r="AB204" t="n">
        <v>1</v>
      </c>
      <c r="AC204" t="n">
        <v>1</v>
      </c>
      <c r="AD204" t="n">
        <v>8</v>
      </c>
      <c r="AE204" t="n">
        <v>8</v>
      </c>
      <c r="AF204" t="n">
        <v>3</v>
      </c>
      <c r="AG204" t="n">
        <v>3</v>
      </c>
      <c r="AH204" t="n">
        <v>2</v>
      </c>
      <c r="AI204" t="n">
        <v>2</v>
      </c>
      <c r="AJ204" t="n">
        <v>5</v>
      </c>
      <c r="AK204" t="n">
        <v>5</v>
      </c>
      <c r="AL204" t="n">
        <v>0</v>
      </c>
      <c r="AM204" t="n">
        <v>0</v>
      </c>
      <c r="AN204" t="n">
        <v>0</v>
      </c>
      <c r="AO204" t="n">
        <v>0</v>
      </c>
      <c r="AP204" t="inlineStr">
        <is>
          <t>No</t>
        </is>
      </c>
      <c r="AQ204" t="inlineStr">
        <is>
          <t>No</t>
        </is>
      </c>
      <c r="AS204">
        <f>HYPERLINK("https://creighton-primo.hosted.exlibrisgroup.com/primo-explore/search?tab=default_tab&amp;search_scope=EVERYTHING&amp;vid=01CRU&amp;lang=en_US&amp;offset=0&amp;query=any,contains,991004499329702656","Catalog Record")</f>
        <v/>
      </c>
      <c r="AT204">
        <f>HYPERLINK("http://www.worldcat.org/oclc/33244115","WorldCat Record")</f>
        <v/>
      </c>
      <c r="AU204" t="inlineStr">
        <is>
          <t>21429839:eng</t>
        </is>
      </c>
      <c r="AV204" t="inlineStr">
        <is>
          <t>33244115</t>
        </is>
      </c>
      <c r="AW204" t="inlineStr">
        <is>
          <t>991004499329702656</t>
        </is>
      </c>
      <c r="AX204" t="inlineStr">
        <is>
          <t>991004499329702656</t>
        </is>
      </c>
      <c r="AY204" t="inlineStr">
        <is>
          <t>2255924820002656</t>
        </is>
      </c>
      <c r="AZ204" t="inlineStr">
        <is>
          <t>BOOK</t>
        </is>
      </c>
      <c r="BB204" t="inlineStr">
        <is>
          <t>9780520204836</t>
        </is>
      </c>
      <c r="BC204" t="inlineStr">
        <is>
          <t>32285005093322</t>
        </is>
      </c>
      <c r="BD204" t="inlineStr">
        <is>
          <t>893876185</t>
        </is>
      </c>
      <c r="BE204" t="inlineStr">
        <is>
          <t>ZB Smith</t>
        </is>
      </c>
    </row>
    <row r="205">
      <c r="A205" t="inlineStr">
        <is>
          <t>No</t>
        </is>
      </c>
      <c r="B205" t="inlineStr">
        <is>
          <t>DS109.25 .U8413 1993</t>
        </is>
      </c>
      <c r="C205" t="inlineStr">
        <is>
          <t>0                      DS 0109250U  8413        1993</t>
        </is>
      </c>
      <c r="D205" t="inlineStr">
        <is>
          <t>The village of Silwan : the necropolis from the period of the Judean kingdom / David Ussishkin ; [English translation, Inna Pommerantz].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Ussishkin, David.</t>
        </is>
      </c>
      <c r="L205" t="inlineStr">
        <is>
          <t>Jerusalem : Israel Exploration Society : Yad Izhak Ben-Zvi, 1993.</t>
        </is>
      </c>
      <c r="M205" t="inlineStr">
        <is>
          <t>1993</t>
        </is>
      </c>
      <c r="O205" t="inlineStr">
        <is>
          <t>eng</t>
        </is>
      </c>
      <c r="P205" t="inlineStr">
        <is>
          <t xml:space="preserve">is </t>
        </is>
      </c>
      <c r="R205" t="inlineStr">
        <is>
          <t xml:space="preserve">DS </t>
        </is>
      </c>
      <c r="S205" t="n">
        <v>1</v>
      </c>
      <c r="T205" t="n">
        <v>1</v>
      </c>
      <c r="U205" t="inlineStr">
        <is>
          <t>2003-11-26</t>
        </is>
      </c>
      <c r="V205" t="inlineStr">
        <is>
          <t>2003-11-26</t>
        </is>
      </c>
      <c r="W205" t="inlineStr">
        <is>
          <t>1997-07-01</t>
        </is>
      </c>
      <c r="X205" t="inlineStr">
        <is>
          <t>1997-07-01</t>
        </is>
      </c>
      <c r="Y205" t="n">
        <v>132</v>
      </c>
      <c r="Z205" t="n">
        <v>88</v>
      </c>
      <c r="AA205" t="n">
        <v>88</v>
      </c>
      <c r="AB205" t="n">
        <v>1</v>
      </c>
      <c r="AC205" t="n">
        <v>1</v>
      </c>
      <c r="AD205" t="n">
        <v>3</v>
      </c>
      <c r="AE205" t="n">
        <v>3</v>
      </c>
      <c r="AF205" t="n">
        <v>0</v>
      </c>
      <c r="AG205" t="n">
        <v>0</v>
      </c>
      <c r="AH205" t="n">
        <v>1</v>
      </c>
      <c r="AI205" t="n">
        <v>1</v>
      </c>
      <c r="AJ205" t="n">
        <v>3</v>
      </c>
      <c r="AK205" t="n">
        <v>3</v>
      </c>
      <c r="AL205" t="n">
        <v>0</v>
      </c>
      <c r="AM205" t="n">
        <v>0</v>
      </c>
      <c r="AN205" t="n">
        <v>0</v>
      </c>
      <c r="AO205" t="n">
        <v>0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HYPERLINK("https://creighton-primo.hosted.exlibrisgroup.com/primo-explore/search?tab=default_tab&amp;search_scope=EVERYTHING&amp;vid=01CRU&amp;lang=en_US&amp;offset=0&amp;query=any,contains,991002235349702656","Catalog Record")</f>
        <v/>
      </c>
      <c r="AT205">
        <f>HYPERLINK("http://www.worldcat.org/oclc/28810281","WorldCat Record")</f>
        <v/>
      </c>
      <c r="AU205" t="inlineStr">
        <is>
          <t>31005908:eng</t>
        </is>
      </c>
      <c r="AV205" t="inlineStr">
        <is>
          <t>28810281</t>
        </is>
      </c>
      <c r="AW205" t="inlineStr">
        <is>
          <t>991002235349702656</t>
        </is>
      </c>
      <c r="AX205" t="inlineStr">
        <is>
          <t>991002235349702656</t>
        </is>
      </c>
      <c r="AY205" t="inlineStr">
        <is>
          <t>2257133670002656</t>
        </is>
      </c>
      <c r="AZ205" t="inlineStr">
        <is>
          <t>BOOK</t>
        </is>
      </c>
      <c r="BB205" t="inlineStr">
        <is>
          <t>9789652210180</t>
        </is>
      </c>
      <c r="BC205" t="inlineStr">
        <is>
          <t>32285002754728</t>
        </is>
      </c>
      <c r="BD205" t="inlineStr">
        <is>
          <t>893445044</t>
        </is>
      </c>
      <c r="BE205" t="inlineStr">
        <is>
          <t>Simkins</t>
        </is>
      </c>
    </row>
    <row r="206">
      <c r="A206" t="inlineStr">
        <is>
          <t>No</t>
        </is>
      </c>
      <c r="B206" t="inlineStr">
        <is>
          <t>DS109.3 .S84 2006</t>
        </is>
      </c>
      <c r="C206" t="inlineStr">
        <is>
          <t>0                      DS 0109300S  84          2006</t>
        </is>
      </c>
      <c r="D206" t="inlineStr">
        <is>
          <t>Temples, tithes, and taxes : the temple and the economic life of ancient Israel / Marty E. Stevens.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Stevens, Marty E., 1953-</t>
        </is>
      </c>
      <c r="L206" t="inlineStr">
        <is>
          <t>Peabody, Mass. : Hendrickson Publishers, c2006.</t>
        </is>
      </c>
      <c r="M206" t="inlineStr">
        <is>
          <t>2006</t>
        </is>
      </c>
      <c r="O206" t="inlineStr">
        <is>
          <t>eng</t>
        </is>
      </c>
      <c r="P206" t="inlineStr">
        <is>
          <t>mau</t>
        </is>
      </c>
      <c r="R206" t="inlineStr">
        <is>
          <t xml:space="preserve">DS </t>
        </is>
      </c>
      <c r="S206" t="n">
        <v>2</v>
      </c>
      <c r="T206" t="n">
        <v>2</v>
      </c>
      <c r="U206" t="inlineStr">
        <is>
          <t>2008-11-13</t>
        </is>
      </c>
      <c r="V206" t="inlineStr">
        <is>
          <t>2008-11-13</t>
        </is>
      </c>
      <c r="W206" t="inlineStr">
        <is>
          <t>2007-04-10</t>
        </is>
      </c>
      <c r="X206" t="inlineStr">
        <is>
          <t>2007-04-10</t>
        </is>
      </c>
      <c r="Y206" t="n">
        <v>251</v>
      </c>
      <c r="Z206" t="n">
        <v>190</v>
      </c>
      <c r="AA206" t="n">
        <v>200</v>
      </c>
      <c r="AB206" t="n">
        <v>1</v>
      </c>
      <c r="AC206" t="n">
        <v>1</v>
      </c>
      <c r="AD206" t="n">
        <v>10</v>
      </c>
      <c r="AE206" t="n">
        <v>12</v>
      </c>
      <c r="AF206" t="n">
        <v>3</v>
      </c>
      <c r="AG206" t="n">
        <v>5</v>
      </c>
      <c r="AH206" t="n">
        <v>2</v>
      </c>
      <c r="AI206" t="n">
        <v>3</v>
      </c>
      <c r="AJ206" t="n">
        <v>5</v>
      </c>
      <c r="AK206" t="n">
        <v>5</v>
      </c>
      <c r="AL206" t="n">
        <v>0</v>
      </c>
      <c r="AM206" t="n">
        <v>0</v>
      </c>
      <c r="AN206" t="n">
        <v>0</v>
      </c>
      <c r="AO206" t="n">
        <v>0</v>
      </c>
      <c r="AP206" t="inlineStr">
        <is>
          <t>No</t>
        </is>
      </c>
      <c r="AQ206" t="inlineStr">
        <is>
          <t>No</t>
        </is>
      </c>
      <c r="AS206">
        <f>HYPERLINK("https://creighton-primo.hosted.exlibrisgroup.com/primo-explore/search?tab=default_tab&amp;search_scope=EVERYTHING&amp;vid=01CRU&amp;lang=en_US&amp;offset=0&amp;query=any,contains,991005070499702656","Catalog Record")</f>
        <v/>
      </c>
      <c r="AT206">
        <f>HYPERLINK("http://www.worldcat.org/oclc/68416829","WorldCat Record")</f>
        <v/>
      </c>
      <c r="AU206" t="inlineStr">
        <is>
          <t>51760689:eng</t>
        </is>
      </c>
      <c r="AV206" t="inlineStr">
        <is>
          <t>68416829</t>
        </is>
      </c>
      <c r="AW206" t="inlineStr">
        <is>
          <t>991005070499702656</t>
        </is>
      </c>
      <c r="AX206" t="inlineStr">
        <is>
          <t>991005070499702656</t>
        </is>
      </c>
      <c r="AY206" t="inlineStr">
        <is>
          <t>2255520800002656</t>
        </is>
      </c>
      <c r="AZ206" t="inlineStr">
        <is>
          <t>BOOK</t>
        </is>
      </c>
      <c r="BB206" t="inlineStr">
        <is>
          <t>9781565639348</t>
        </is>
      </c>
      <c r="BC206" t="inlineStr">
        <is>
          <t>32285005286017</t>
        </is>
      </c>
      <c r="BD206" t="inlineStr">
        <is>
          <t>893248304</t>
        </is>
      </c>
      <c r="BE206" t="inlineStr">
        <is>
          <t>Simkins</t>
        </is>
      </c>
    </row>
    <row r="207">
      <c r="A207" t="inlineStr">
        <is>
          <t>No</t>
        </is>
      </c>
      <c r="B207" t="inlineStr">
        <is>
          <t>DS110.5 .G55</t>
        </is>
      </c>
      <c r="C207" t="inlineStr">
        <is>
          <t>0                      DS 0110500G  55</t>
        </is>
      </c>
      <c r="D207" t="inlineStr">
        <is>
          <t>Deities and dolphins : the story of the Nabataeans.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Glueck, Nelson, 1900-1972.</t>
        </is>
      </c>
      <c r="L207" t="inlineStr">
        <is>
          <t>New York, Farrar, Straus and Giroux [1965]</t>
        </is>
      </c>
      <c r="M207" t="inlineStr">
        <is>
          <t>1965</t>
        </is>
      </c>
      <c r="O207" t="inlineStr">
        <is>
          <t>eng</t>
        </is>
      </c>
      <c r="P207" t="inlineStr">
        <is>
          <t>nyu</t>
        </is>
      </c>
      <c r="R207" t="inlineStr">
        <is>
          <t xml:space="preserve">DS </t>
        </is>
      </c>
      <c r="S207" t="n">
        <v>6</v>
      </c>
      <c r="T207" t="n">
        <v>6</v>
      </c>
      <c r="U207" t="inlineStr">
        <is>
          <t>2008-03-05</t>
        </is>
      </c>
      <c r="V207" t="inlineStr">
        <is>
          <t>2008-03-05</t>
        </is>
      </c>
      <c r="W207" t="inlineStr">
        <is>
          <t>1997-03-04</t>
        </is>
      </c>
      <c r="X207" t="inlineStr">
        <is>
          <t>1997-03-04</t>
        </is>
      </c>
      <c r="Y207" t="n">
        <v>1078</v>
      </c>
      <c r="Z207" t="n">
        <v>978</v>
      </c>
      <c r="AA207" t="n">
        <v>1014</v>
      </c>
      <c r="AB207" t="n">
        <v>6</v>
      </c>
      <c r="AC207" t="n">
        <v>6</v>
      </c>
      <c r="AD207" t="n">
        <v>33</v>
      </c>
      <c r="AE207" t="n">
        <v>35</v>
      </c>
      <c r="AF207" t="n">
        <v>12</v>
      </c>
      <c r="AG207" t="n">
        <v>13</v>
      </c>
      <c r="AH207" t="n">
        <v>9</v>
      </c>
      <c r="AI207" t="n">
        <v>9</v>
      </c>
      <c r="AJ207" t="n">
        <v>15</v>
      </c>
      <c r="AK207" t="n">
        <v>17</v>
      </c>
      <c r="AL207" t="n">
        <v>5</v>
      </c>
      <c r="AM207" t="n">
        <v>5</v>
      </c>
      <c r="AN207" t="n">
        <v>0</v>
      </c>
      <c r="AO207" t="n">
        <v>0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HYPERLINK("http://catalog.hathitrust.org/Record/001242424","HathiTrust Record")</f>
        <v/>
      </c>
      <c r="AS207">
        <f>HYPERLINK("https://creighton-primo.hosted.exlibrisgroup.com/primo-explore/search?tab=default_tab&amp;search_scope=EVERYTHING&amp;vid=01CRU&amp;lang=en_US&amp;offset=0&amp;query=any,contains,991002403859702656","Catalog Record")</f>
        <v/>
      </c>
      <c r="AT207">
        <f>HYPERLINK("http://www.worldcat.org/oclc/338175","WorldCat Record")</f>
        <v/>
      </c>
      <c r="AU207" t="inlineStr">
        <is>
          <t>1463716:eng</t>
        </is>
      </c>
      <c r="AV207" t="inlineStr">
        <is>
          <t>338175</t>
        </is>
      </c>
      <c r="AW207" t="inlineStr">
        <is>
          <t>991002403859702656</t>
        </is>
      </c>
      <c r="AX207" t="inlineStr">
        <is>
          <t>991002403859702656</t>
        </is>
      </c>
      <c r="AY207" t="inlineStr">
        <is>
          <t>2257043130002656</t>
        </is>
      </c>
      <c r="AZ207" t="inlineStr">
        <is>
          <t>BOOK</t>
        </is>
      </c>
      <c r="BC207" t="inlineStr">
        <is>
          <t>32285002463049</t>
        </is>
      </c>
      <c r="BD207" t="inlineStr">
        <is>
          <t>893597422</t>
        </is>
      </c>
      <c r="BE207" t="inlineStr">
        <is>
          <t>Simkins</t>
        </is>
      </c>
    </row>
    <row r="208">
      <c r="A208" t="inlineStr">
        <is>
          <t>No</t>
        </is>
      </c>
      <c r="B208" t="inlineStr">
        <is>
          <t>DS110.B3926 A955 2008</t>
        </is>
      </c>
      <c r="C208" t="inlineStr">
        <is>
          <t>0                      DS 0110000B  3926               A  955         2008</t>
        </is>
      </c>
      <c r="D208" t="inlineStr">
        <is>
          <t>The necropolis of Bet Guvrin-Eleutheropolis / Gideon Avni, Uzi Dahari and Amos Kloner ; with contributions by Jodi Magness, Talila Michaeli and Tamar Winter.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Avni, Gideon.</t>
        </is>
      </c>
      <c r="L208" t="inlineStr">
        <is>
          <t>Jerusalem : Israel Antiquities Authority, 2008.</t>
        </is>
      </c>
      <c r="M208" t="inlineStr">
        <is>
          <t>2008</t>
        </is>
      </c>
      <c r="O208" t="inlineStr">
        <is>
          <t>eng</t>
        </is>
      </c>
      <c r="P208" t="inlineStr">
        <is>
          <t xml:space="preserve">is </t>
        </is>
      </c>
      <c r="Q208" t="inlineStr">
        <is>
          <t>IAA reports ; no. 36</t>
        </is>
      </c>
      <c r="R208" t="inlineStr">
        <is>
          <t xml:space="preserve">DS </t>
        </is>
      </c>
      <c r="S208" t="n">
        <v>1</v>
      </c>
      <c r="T208" t="n">
        <v>1</v>
      </c>
      <c r="U208" t="inlineStr">
        <is>
          <t>2010-01-18</t>
        </is>
      </c>
      <c r="V208" t="inlineStr">
        <is>
          <t>2010-01-18</t>
        </is>
      </c>
      <c r="W208" t="inlineStr">
        <is>
          <t>2010-01-18</t>
        </is>
      </c>
      <c r="X208" t="inlineStr">
        <is>
          <t>2010-01-18</t>
        </is>
      </c>
      <c r="Y208" t="n">
        <v>55</v>
      </c>
      <c r="Z208" t="n">
        <v>30</v>
      </c>
      <c r="AA208" t="n">
        <v>85</v>
      </c>
      <c r="AB208" t="n">
        <v>1</v>
      </c>
      <c r="AC208" t="n">
        <v>2</v>
      </c>
      <c r="AD208" t="n">
        <v>0</v>
      </c>
      <c r="AE208" t="n">
        <v>6</v>
      </c>
      <c r="AF208" t="n">
        <v>0</v>
      </c>
      <c r="AG208" t="n">
        <v>4</v>
      </c>
      <c r="AH208" t="n">
        <v>0</v>
      </c>
      <c r="AI208" t="n">
        <v>1</v>
      </c>
      <c r="AJ208" t="n">
        <v>0</v>
      </c>
      <c r="AK208" t="n">
        <v>1</v>
      </c>
      <c r="AL208" t="n">
        <v>0</v>
      </c>
      <c r="AM208" t="n">
        <v>1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HYPERLINK("http://catalog.hathitrust.org/Record/008565465","HathiTrust Record")</f>
        <v/>
      </c>
      <c r="AS208">
        <f>HYPERLINK("https://creighton-primo.hosted.exlibrisgroup.com/primo-explore/search?tab=default_tab&amp;search_scope=EVERYTHING&amp;vid=01CRU&amp;lang=en_US&amp;offset=0&amp;query=any,contains,991005351919702656","Catalog Record")</f>
        <v/>
      </c>
      <c r="AT208">
        <f>HYPERLINK("http://www.worldcat.org/oclc/318339324","WorldCat Record")</f>
        <v/>
      </c>
      <c r="AU208" t="inlineStr">
        <is>
          <t>195500785:eng</t>
        </is>
      </c>
      <c r="AV208" t="inlineStr">
        <is>
          <t>318339324</t>
        </is>
      </c>
      <c r="AW208" t="inlineStr">
        <is>
          <t>991005351919702656</t>
        </is>
      </c>
      <c r="AX208" t="inlineStr">
        <is>
          <t>991005351919702656</t>
        </is>
      </c>
      <c r="AY208" t="inlineStr">
        <is>
          <t>2270205000002656</t>
        </is>
      </c>
      <c r="AZ208" t="inlineStr">
        <is>
          <t>BOOK</t>
        </is>
      </c>
      <c r="BB208" t="inlineStr">
        <is>
          <t>9789654062145</t>
        </is>
      </c>
      <c r="BC208" t="inlineStr">
        <is>
          <t>32285005557987</t>
        </is>
      </c>
      <c r="BD208" t="inlineStr">
        <is>
          <t>893613559</t>
        </is>
      </c>
      <c r="BE208" t="inlineStr">
        <is>
          <t>Simkins</t>
        </is>
      </c>
    </row>
    <row r="209">
      <c r="A209" t="inlineStr">
        <is>
          <t>No</t>
        </is>
      </c>
      <c r="B209" t="inlineStr">
        <is>
          <t>DS110.M4 D38 1986</t>
        </is>
      </c>
      <c r="C209" t="inlineStr">
        <is>
          <t>0                      DS 0110000M  4                  D  38          1986</t>
        </is>
      </c>
      <c r="D209" t="inlineStr">
        <is>
          <t>Megiddo / Graham I. Davies.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Davies, Graham I.</t>
        </is>
      </c>
      <c r="L209" t="inlineStr">
        <is>
          <t>Cambridge : Lutterworth ; Grand Rapids, Mich. : Eerdmans, 1986.</t>
        </is>
      </c>
      <c r="M209" t="inlineStr">
        <is>
          <t>1986</t>
        </is>
      </c>
      <c r="O209" t="inlineStr">
        <is>
          <t>eng</t>
        </is>
      </c>
      <c r="P209" t="inlineStr">
        <is>
          <t>enk</t>
        </is>
      </c>
      <c r="Q209" t="inlineStr">
        <is>
          <t>Cities of the Biblical World</t>
        </is>
      </c>
      <c r="R209" t="inlineStr">
        <is>
          <t xml:space="preserve">DS </t>
        </is>
      </c>
      <c r="S209" t="n">
        <v>27</v>
      </c>
      <c r="T209" t="n">
        <v>27</v>
      </c>
      <c r="U209" t="inlineStr">
        <is>
          <t>2009-11-11</t>
        </is>
      </c>
      <c r="V209" t="inlineStr">
        <is>
          <t>2009-11-11</t>
        </is>
      </c>
      <c r="W209" t="inlineStr">
        <is>
          <t>1990-09-28</t>
        </is>
      </c>
      <c r="X209" t="inlineStr">
        <is>
          <t>1990-09-28</t>
        </is>
      </c>
      <c r="Y209" t="n">
        <v>439</v>
      </c>
      <c r="Z209" t="n">
        <v>335</v>
      </c>
      <c r="AA209" t="n">
        <v>341</v>
      </c>
      <c r="AB209" t="n">
        <v>5</v>
      </c>
      <c r="AC209" t="n">
        <v>5</v>
      </c>
      <c r="AD209" t="n">
        <v>15</v>
      </c>
      <c r="AE209" t="n">
        <v>15</v>
      </c>
      <c r="AF209" t="n">
        <v>5</v>
      </c>
      <c r="AG209" t="n">
        <v>5</v>
      </c>
      <c r="AH209" t="n">
        <v>3</v>
      </c>
      <c r="AI209" t="n">
        <v>3</v>
      </c>
      <c r="AJ209" t="n">
        <v>7</v>
      </c>
      <c r="AK209" t="n">
        <v>7</v>
      </c>
      <c r="AL209" t="n">
        <v>3</v>
      </c>
      <c r="AM209" t="n">
        <v>3</v>
      </c>
      <c r="AN209" t="n">
        <v>0</v>
      </c>
      <c r="AO209" t="n">
        <v>0</v>
      </c>
      <c r="AP209" t="inlineStr">
        <is>
          <t>No</t>
        </is>
      </c>
      <c r="AQ209" t="inlineStr">
        <is>
          <t>Yes</t>
        </is>
      </c>
      <c r="AR209">
        <f>HYPERLINK("http://catalog.hathitrust.org/Record/000815550","HathiTrust Record")</f>
        <v/>
      </c>
      <c r="AS209">
        <f>HYPERLINK("https://creighton-primo.hosted.exlibrisgroup.com/primo-explore/search?tab=default_tab&amp;search_scope=EVERYTHING&amp;vid=01CRU&amp;lang=en_US&amp;offset=0&amp;query=any,contains,991000954569702656","Catalog Record")</f>
        <v/>
      </c>
      <c r="AT209">
        <f>HYPERLINK("http://www.worldcat.org/oclc/14711488","WorldCat Record")</f>
        <v/>
      </c>
      <c r="AU209" t="inlineStr">
        <is>
          <t>8344095:eng</t>
        </is>
      </c>
      <c r="AV209" t="inlineStr">
        <is>
          <t>14711488</t>
        </is>
      </c>
      <c r="AW209" t="inlineStr">
        <is>
          <t>991000954569702656</t>
        </is>
      </c>
      <c r="AX209" t="inlineStr">
        <is>
          <t>991000954569702656</t>
        </is>
      </c>
      <c r="AY209" t="inlineStr">
        <is>
          <t>2269221790002656</t>
        </is>
      </c>
      <c r="AZ209" t="inlineStr">
        <is>
          <t>BOOK</t>
        </is>
      </c>
      <c r="BB209" t="inlineStr">
        <is>
          <t>9780802802477</t>
        </is>
      </c>
      <c r="BC209" t="inlineStr">
        <is>
          <t>32285004467568</t>
        </is>
      </c>
      <c r="BD209" t="inlineStr">
        <is>
          <t>893432469</t>
        </is>
      </c>
      <c r="BE209" t="inlineStr">
        <is>
          <t>Simkins</t>
        </is>
      </c>
    </row>
    <row r="210">
      <c r="A210" t="inlineStr">
        <is>
          <t>No</t>
        </is>
      </c>
      <c r="B210" t="inlineStr">
        <is>
          <t>DS110.N4 G5 1968</t>
        </is>
      </c>
      <c r="C210" t="inlineStr">
        <is>
          <t>0                      DS 0110000N  4                  G  5           1968</t>
        </is>
      </c>
      <c r="D210" t="inlineStr">
        <is>
          <t>Rivers in the desert : a history of the Negev / Nelson Glueck.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Glueck, Nelson, 1900-1972.</t>
        </is>
      </c>
      <c r="L210" t="inlineStr">
        <is>
          <t>New York : Norton, 1968.</t>
        </is>
      </c>
      <c r="M210" t="inlineStr">
        <is>
          <t>1968</t>
        </is>
      </c>
      <c r="O210" t="inlineStr">
        <is>
          <t>eng</t>
        </is>
      </c>
      <c r="P210" t="inlineStr">
        <is>
          <t>nyu</t>
        </is>
      </c>
      <c r="R210" t="inlineStr">
        <is>
          <t xml:space="preserve">DS </t>
        </is>
      </c>
      <c r="S210" t="n">
        <v>2</v>
      </c>
      <c r="T210" t="n">
        <v>2</v>
      </c>
      <c r="U210" t="inlineStr">
        <is>
          <t>2004-01-31</t>
        </is>
      </c>
      <c r="V210" t="inlineStr">
        <is>
          <t>2004-01-31</t>
        </is>
      </c>
      <c r="W210" t="inlineStr">
        <is>
          <t>1994-06-22</t>
        </is>
      </c>
      <c r="X210" t="inlineStr">
        <is>
          <t>1994-06-22</t>
        </is>
      </c>
      <c r="Y210" t="n">
        <v>181</v>
      </c>
      <c r="Z210" t="n">
        <v>147</v>
      </c>
      <c r="AA210" t="n">
        <v>1106</v>
      </c>
      <c r="AB210" t="n">
        <v>2</v>
      </c>
      <c r="AC210" t="n">
        <v>11</v>
      </c>
      <c r="AD210" t="n">
        <v>7</v>
      </c>
      <c r="AE210" t="n">
        <v>49</v>
      </c>
      <c r="AF210" t="n">
        <v>3</v>
      </c>
      <c r="AG210" t="n">
        <v>20</v>
      </c>
      <c r="AH210" t="n">
        <v>1</v>
      </c>
      <c r="AI210" t="n">
        <v>9</v>
      </c>
      <c r="AJ210" t="n">
        <v>3</v>
      </c>
      <c r="AK210" t="n">
        <v>23</v>
      </c>
      <c r="AL210" t="n">
        <v>1</v>
      </c>
      <c r="AM210" t="n">
        <v>9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HYPERLINK("https://creighton-primo.hosted.exlibrisgroup.com/primo-explore/search?tab=default_tab&amp;search_scope=EVERYTHING&amp;vid=01CRU&amp;lang=en_US&amp;offset=0&amp;query=any,contains,991004181569702656","Catalog Record")</f>
        <v/>
      </c>
      <c r="AT210">
        <f>HYPERLINK("http://www.worldcat.org/oclc/2606012","WorldCat Record")</f>
        <v/>
      </c>
      <c r="AU210" t="inlineStr">
        <is>
          <t>5534212170:eng</t>
        </is>
      </c>
      <c r="AV210" t="inlineStr">
        <is>
          <t>2606012</t>
        </is>
      </c>
      <c r="AW210" t="inlineStr">
        <is>
          <t>991004181569702656</t>
        </is>
      </c>
      <c r="AX210" t="inlineStr">
        <is>
          <t>991004181569702656</t>
        </is>
      </c>
      <c r="AY210" t="inlineStr">
        <is>
          <t>2270584950002656</t>
        </is>
      </c>
      <c r="AZ210" t="inlineStr">
        <is>
          <t>BOOK</t>
        </is>
      </c>
      <c r="BC210" t="inlineStr">
        <is>
          <t>32285001929529</t>
        </is>
      </c>
      <c r="BD210" t="inlineStr">
        <is>
          <t>893500226</t>
        </is>
      </c>
      <c r="BE210" t="inlineStr">
        <is>
          <t>Simkins</t>
        </is>
      </c>
    </row>
    <row r="211">
      <c r="A211" t="inlineStr">
        <is>
          <t>No</t>
        </is>
      </c>
      <c r="B211" t="inlineStr">
        <is>
          <t>DS111 .G57 1970</t>
        </is>
      </c>
      <c r="C211" t="inlineStr">
        <is>
          <t>0                      DS 0111000G  57          1970</t>
        </is>
      </c>
      <c r="D211" t="inlineStr">
        <is>
          <t>The other side of the Jordan, by Nelson Glueck.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Glueck, Nelson, 1900-1972.</t>
        </is>
      </c>
      <c r="L211" t="inlineStr">
        <is>
          <t>New Haven, Conn., American Schools of Oriental Research, 1940.</t>
        </is>
      </c>
      <c r="M211" t="inlineStr">
        <is>
          <t>1940</t>
        </is>
      </c>
      <c r="O211" t="inlineStr">
        <is>
          <t>eng</t>
        </is>
      </c>
      <c r="P211" t="inlineStr">
        <is>
          <t xml:space="preserve">xx </t>
        </is>
      </c>
      <c r="R211" t="inlineStr">
        <is>
          <t xml:space="preserve">DS </t>
        </is>
      </c>
      <c r="S211" t="n">
        <v>1</v>
      </c>
      <c r="T211" t="n">
        <v>1</v>
      </c>
      <c r="U211" t="inlineStr">
        <is>
          <t>2002-10-28</t>
        </is>
      </c>
      <c r="V211" t="inlineStr">
        <is>
          <t>2002-10-28</t>
        </is>
      </c>
      <c r="W211" t="inlineStr">
        <is>
          <t>1997-02-25</t>
        </is>
      </c>
      <c r="X211" t="inlineStr">
        <is>
          <t>1997-02-25</t>
        </is>
      </c>
      <c r="Y211" t="n">
        <v>420</v>
      </c>
      <c r="Z211" t="n">
        <v>349</v>
      </c>
      <c r="AA211" t="n">
        <v>500</v>
      </c>
      <c r="AB211" t="n">
        <v>3</v>
      </c>
      <c r="AC211" t="n">
        <v>6</v>
      </c>
      <c r="AD211" t="n">
        <v>18</v>
      </c>
      <c r="AE211" t="n">
        <v>28</v>
      </c>
      <c r="AF211" t="n">
        <v>4</v>
      </c>
      <c r="AG211" t="n">
        <v>8</v>
      </c>
      <c r="AH211" t="n">
        <v>4</v>
      </c>
      <c r="AI211" t="n">
        <v>6</v>
      </c>
      <c r="AJ211" t="n">
        <v>10</v>
      </c>
      <c r="AK211" t="n">
        <v>13</v>
      </c>
      <c r="AL211" t="n">
        <v>2</v>
      </c>
      <c r="AM211" t="n">
        <v>4</v>
      </c>
      <c r="AN211" t="n">
        <v>0</v>
      </c>
      <c r="AO211" t="n">
        <v>0</v>
      </c>
      <c r="AP211" t="inlineStr">
        <is>
          <t>Yes</t>
        </is>
      </c>
      <c r="AQ211" t="inlineStr">
        <is>
          <t>No</t>
        </is>
      </c>
      <c r="AR211">
        <f>HYPERLINK("http://catalog.hathitrust.org/Record/001242461","HathiTrust Record")</f>
        <v/>
      </c>
      <c r="AS211">
        <f>HYPERLINK("https://creighton-primo.hosted.exlibrisgroup.com/primo-explore/search?tab=default_tab&amp;search_scope=EVERYTHING&amp;vid=01CRU&amp;lang=en_US&amp;offset=0&amp;query=any,contains,991003393789702656","Catalog Record")</f>
        <v/>
      </c>
      <c r="AT211">
        <f>HYPERLINK("http://www.worldcat.org/oclc/932203","WorldCat Record")</f>
        <v/>
      </c>
      <c r="AU211" t="inlineStr">
        <is>
          <t>1478696:eng</t>
        </is>
      </c>
      <c r="AV211" t="inlineStr">
        <is>
          <t>932203</t>
        </is>
      </c>
      <c r="AW211" t="inlineStr">
        <is>
          <t>991003393789702656</t>
        </is>
      </c>
      <c r="AX211" t="inlineStr">
        <is>
          <t>991003393789702656</t>
        </is>
      </c>
      <c r="AY211" t="inlineStr">
        <is>
          <t>2272359550002656</t>
        </is>
      </c>
      <c r="AZ211" t="inlineStr">
        <is>
          <t>BOOK</t>
        </is>
      </c>
      <c r="BC211" t="inlineStr">
        <is>
          <t>32285002461266</t>
        </is>
      </c>
      <c r="BD211" t="inlineStr">
        <is>
          <t>893324047</t>
        </is>
      </c>
      <c r="BE211" t="inlineStr">
        <is>
          <t>Simkins</t>
        </is>
      </c>
    </row>
    <row r="212">
      <c r="A212" t="inlineStr">
        <is>
          <t>No</t>
        </is>
      </c>
      <c r="B212" t="inlineStr">
        <is>
          <t>DS111.1 .K46 1972</t>
        </is>
      </c>
      <c r="C212" t="inlineStr">
        <is>
          <t>0                      DS 0111100K  46          1972</t>
        </is>
      </c>
      <c r="D212" t="inlineStr">
        <is>
          <t>Royal cities of the Old Testament [by] Kathleen Kenyon.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Kenyon, Kathleen M., 1906-1978.</t>
        </is>
      </c>
      <c r="L212" t="inlineStr">
        <is>
          <t>New York, Schocken Books [1971, i.e. 1972, c1971]</t>
        </is>
      </c>
      <c r="M212" t="inlineStr">
        <is>
          <t>1972</t>
        </is>
      </c>
      <c r="O212" t="inlineStr">
        <is>
          <t>eng</t>
        </is>
      </c>
      <c r="P212" t="inlineStr">
        <is>
          <t>nyu</t>
        </is>
      </c>
      <c r="R212" t="inlineStr">
        <is>
          <t xml:space="preserve">DS </t>
        </is>
      </c>
      <c r="S212" t="n">
        <v>3</v>
      </c>
      <c r="T212" t="n">
        <v>3</v>
      </c>
      <c r="U212" t="inlineStr">
        <is>
          <t>2004-04-13</t>
        </is>
      </c>
      <c r="V212" t="inlineStr">
        <is>
          <t>2004-04-13</t>
        </is>
      </c>
      <c r="W212" t="inlineStr">
        <is>
          <t>1996-08-02</t>
        </is>
      </c>
      <c r="X212" t="inlineStr">
        <is>
          <t>1996-08-02</t>
        </is>
      </c>
      <c r="Y212" t="n">
        <v>614</v>
      </c>
      <c r="Z212" t="n">
        <v>581</v>
      </c>
      <c r="AA212" t="n">
        <v>847</v>
      </c>
      <c r="AB212" t="n">
        <v>3</v>
      </c>
      <c r="AC212" t="n">
        <v>4</v>
      </c>
      <c r="AD212" t="n">
        <v>21</v>
      </c>
      <c r="AE212" t="n">
        <v>33</v>
      </c>
      <c r="AF212" t="n">
        <v>9</v>
      </c>
      <c r="AG212" t="n">
        <v>13</v>
      </c>
      <c r="AH212" t="n">
        <v>2</v>
      </c>
      <c r="AI212" t="n">
        <v>7</v>
      </c>
      <c r="AJ212" t="n">
        <v>11</v>
      </c>
      <c r="AK212" t="n">
        <v>17</v>
      </c>
      <c r="AL212" t="n">
        <v>2</v>
      </c>
      <c r="AM212" t="n">
        <v>3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HYPERLINK("http://catalog.hathitrust.org/Record/004409141","HathiTrust Record")</f>
        <v/>
      </c>
      <c r="AS212">
        <f>HYPERLINK("https://creighton-primo.hosted.exlibrisgroup.com/primo-explore/search?tab=default_tab&amp;search_scope=EVERYTHING&amp;vid=01CRU&amp;lang=en_US&amp;offset=0&amp;query=any,contains,991001431229702656","Catalog Record")</f>
        <v/>
      </c>
      <c r="AT212">
        <f>HYPERLINK("http://www.worldcat.org/oclc/231001","WorldCat Record")</f>
        <v/>
      </c>
      <c r="AU212" t="inlineStr">
        <is>
          <t>309522207:eng</t>
        </is>
      </c>
      <c r="AV212" t="inlineStr">
        <is>
          <t>231001</t>
        </is>
      </c>
      <c r="AW212" t="inlineStr">
        <is>
          <t>991001431229702656</t>
        </is>
      </c>
      <c r="AX212" t="inlineStr">
        <is>
          <t>991001431229702656</t>
        </is>
      </c>
      <c r="AY212" t="inlineStr">
        <is>
          <t>2270718300002656</t>
        </is>
      </c>
      <c r="AZ212" t="inlineStr">
        <is>
          <t>BOOK</t>
        </is>
      </c>
      <c r="BB212" t="inlineStr">
        <is>
          <t>9780805234121</t>
        </is>
      </c>
      <c r="BC212" t="inlineStr">
        <is>
          <t>32285002209673</t>
        </is>
      </c>
      <c r="BD212" t="inlineStr">
        <is>
          <t>893891570</t>
        </is>
      </c>
      <c r="BE212" t="inlineStr">
        <is>
          <t>Simkins</t>
        </is>
      </c>
    </row>
    <row r="213">
      <c r="A213" t="inlineStr">
        <is>
          <t>No</t>
        </is>
      </c>
      <c r="B213" t="inlineStr">
        <is>
          <t>DS111.5 .F72 1999</t>
        </is>
      </c>
      <c r="C213" t="inlineStr">
        <is>
          <t>0                      DS 0111500F  72          1999</t>
        </is>
      </c>
      <c r="D213" t="inlineStr">
        <is>
          <t>Wine and oil production in antiquity in Israel and other Mediterranean countries / Rafael Frankel.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Franḳel, Rafi.</t>
        </is>
      </c>
      <c r="L213" t="inlineStr">
        <is>
          <t>Sheffield, England : Sheffield Academic Press, c1999.</t>
        </is>
      </c>
      <c r="M213" t="inlineStr">
        <is>
          <t>1999</t>
        </is>
      </c>
      <c r="O213" t="inlineStr">
        <is>
          <t>eng</t>
        </is>
      </c>
      <c r="P213" t="inlineStr">
        <is>
          <t>enk</t>
        </is>
      </c>
      <c r="Q213" t="inlineStr">
        <is>
          <t>JSOT/ASOR monograph series ; 10</t>
        </is>
      </c>
      <c r="R213" t="inlineStr">
        <is>
          <t xml:space="preserve">DS </t>
        </is>
      </c>
      <c r="S213" t="n">
        <v>4</v>
      </c>
      <c r="T213" t="n">
        <v>4</v>
      </c>
      <c r="U213" t="inlineStr">
        <is>
          <t>2007-03-30</t>
        </is>
      </c>
      <c r="V213" t="inlineStr">
        <is>
          <t>2007-03-30</t>
        </is>
      </c>
      <c r="W213" t="inlineStr">
        <is>
          <t>2004-01-06</t>
        </is>
      </c>
      <c r="X213" t="inlineStr">
        <is>
          <t>2004-01-06</t>
        </is>
      </c>
      <c r="Y213" t="n">
        <v>103</v>
      </c>
      <c r="Z213" t="n">
        <v>74</v>
      </c>
      <c r="AA213" t="n">
        <v>78</v>
      </c>
      <c r="AB213" t="n">
        <v>1</v>
      </c>
      <c r="AC213" t="n">
        <v>1</v>
      </c>
      <c r="AD213" t="n">
        <v>3</v>
      </c>
      <c r="AE213" t="n">
        <v>3</v>
      </c>
      <c r="AF213" t="n">
        <v>3</v>
      </c>
      <c r="AG213" t="n">
        <v>3</v>
      </c>
      <c r="AH213" t="n">
        <v>0</v>
      </c>
      <c r="AI213" t="n">
        <v>0</v>
      </c>
      <c r="AJ213" t="n">
        <v>1</v>
      </c>
      <c r="AK213" t="n">
        <v>1</v>
      </c>
      <c r="AL213" t="n">
        <v>0</v>
      </c>
      <c r="AM213" t="n">
        <v>0</v>
      </c>
      <c r="AN213" t="n">
        <v>0</v>
      </c>
      <c r="AO213" t="n">
        <v>0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HYPERLINK("https://creighton-primo.hosted.exlibrisgroup.com/primo-explore/search?tab=default_tab&amp;search_scope=EVERYTHING&amp;vid=01CRU&amp;lang=en_US&amp;offset=0&amp;query=any,contains,991004198949702656","Catalog Record")</f>
        <v/>
      </c>
      <c r="AT213">
        <f>HYPERLINK("http://www.worldcat.org/oclc/41421387","WorldCat Record")</f>
        <v/>
      </c>
      <c r="AU213" t="inlineStr">
        <is>
          <t>9585785042:eng</t>
        </is>
      </c>
      <c r="AV213" t="inlineStr">
        <is>
          <t>41421387</t>
        </is>
      </c>
      <c r="AW213" t="inlineStr">
        <is>
          <t>991004198949702656</t>
        </is>
      </c>
      <c r="AX213" t="inlineStr">
        <is>
          <t>991004198949702656</t>
        </is>
      </c>
      <c r="AY213" t="inlineStr">
        <is>
          <t>2269687710002656</t>
        </is>
      </c>
      <c r="AZ213" t="inlineStr">
        <is>
          <t>BOOK</t>
        </is>
      </c>
      <c r="BB213" t="inlineStr">
        <is>
          <t>9781850755197</t>
        </is>
      </c>
      <c r="BC213" t="inlineStr">
        <is>
          <t>32285004889316</t>
        </is>
      </c>
      <c r="BD213" t="inlineStr">
        <is>
          <t>893618369</t>
        </is>
      </c>
      <c r="BE213" t="inlineStr">
        <is>
          <t>Simkins</t>
        </is>
      </c>
    </row>
    <row r="214">
      <c r="A214" t="inlineStr">
        <is>
          <t>No</t>
        </is>
      </c>
      <c r="B214" t="inlineStr">
        <is>
          <t>DS121.6 .B43 1992</t>
        </is>
      </c>
      <c r="C214" t="inlineStr">
        <is>
          <t>0                      DS 0121600B  43          1992</t>
        </is>
      </c>
      <c r="D214" t="inlineStr">
        <is>
          <t>The fall of Samaria : an historical and archaeological study / by Bob Becking.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Becking, Bob.</t>
        </is>
      </c>
      <c r="L214" t="inlineStr">
        <is>
          <t>Leiden ; New York : E.J. Brill, 1992.</t>
        </is>
      </c>
      <c r="M214" t="inlineStr">
        <is>
          <t>1992</t>
        </is>
      </c>
      <c r="O214" t="inlineStr">
        <is>
          <t>eng</t>
        </is>
      </c>
      <c r="P214" t="inlineStr">
        <is>
          <t xml:space="preserve">ne </t>
        </is>
      </c>
      <c r="Q214" t="inlineStr">
        <is>
          <t>Studies in the history of the ancient Near East, 0169-9024 ; v. 2</t>
        </is>
      </c>
      <c r="R214" t="inlineStr">
        <is>
          <t xml:space="preserve">DS </t>
        </is>
      </c>
      <c r="S214" t="n">
        <v>11</v>
      </c>
      <c r="T214" t="n">
        <v>11</v>
      </c>
      <c r="U214" t="inlineStr">
        <is>
          <t>2009-09-13</t>
        </is>
      </c>
      <c r="V214" t="inlineStr">
        <is>
          <t>2009-09-13</t>
        </is>
      </c>
      <c r="W214" t="inlineStr">
        <is>
          <t>1993-03-17</t>
        </is>
      </c>
      <c r="X214" t="inlineStr">
        <is>
          <t>1993-03-17</t>
        </is>
      </c>
      <c r="Y214" t="n">
        <v>265</v>
      </c>
      <c r="Z214" t="n">
        <v>194</v>
      </c>
      <c r="AA214" t="n">
        <v>219</v>
      </c>
      <c r="AB214" t="n">
        <v>2</v>
      </c>
      <c r="AC214" t="n">
        <v>2</v>
      </c>
      <c r="AD214" t="n">
        <v>9</v>
      </c>
      <c r="AE214" t="n">
        <v>11</v>
      </c>
      <c r="AF214" t="n">
        <v>4</v>
      </c>
      <c r="AG214" t="n">
        <v>6</v>
      </c>
      <c r="AH214" t="n">
        <v>2</v>
      </c>
      <c r="AI214" t="n">
        <v>2</v>
      </c>
      <c r="AJ214" t="n">
        <v>3</v>
      </c>
      <c r="AK214" t="n">
        <v>3</v>
      </c>
      <c r="AL214" t="n">
        <v>1</v>
      </c>
      <c r="AM214" t="n">
        <v>1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HYPERLINK("http://catalog.hathitrust.org/Record/002604304","HathiTrust Record")</f>
        <v/>
      </c>
      <c r="AS214">
        <f>HYPERLINK("https://creighton-primo.hosted.exlibrisgroup.com/primo-explore/search?tab=default_tab&amp;search_scope=EVERYTHING&amp;vid=01CRU&amp;lang=en_US&amp;offset=0&amp;query=any,contains,991002025649702656","Catalog Record")</f>
        <v/>
      </c>
      <c r="AT214">
        <f>HYPERLINK("http://www.worldcat.org/oclc/25787001","WorldCat Record")</f>
        <v/>
      </c>
      <c r="AU214" t="inlineStr">
        <is>
          <t>806762844:eng</t>
        </is>
      </c>
      <c r="AV214" t="inlineStr">
        <is>
          <t>25787001</t>
        </is>
      </c>
      <c r="AW214" t="inlineStr">
        <is>
          <t>991002025649702656</t>
        </is>
      </c>
      <c r="AX214" t="inlineStr">
        <is>
          <t>991002025649702656</t>
        </is>
      </c>
      <c r="AY214" t="inlineStr">
        <is>
          <t>2256013680002656</t>
        </is>
      </c>
      <c r="AZ214" t="inlineStr">
        <is>
          <t>BOOK</t>
        </is>
      </c>
      <c r="BB214" t="inlineStr">
        <is>
          <t>9789004096332</t>
        </is>
      </c>
      <c r="BC214" t="inlineStr">
        <is>
          <t>32285001497956</t>
        </is>
      </c>
      <c r="BD214" t="inlineStr">
        <is>
          <t>893232470</t>
        </is>
      </c>
      <c r="BE214" t="inlineStr">
        <is>
          <t>Simkins</t>
        </is>
      </c>
    </row>
    <row r="215">
      <c r="A215" t="inlineStr">
        <is>
          <t>No</t>
        </is>
      </c>
      <c r="B215" t="inlineStr">
        <is>
          <t>DS154.22 .B68 1983</t>
        </is>
      </c>
      <c r="C215" t="inlineStr">
        <is>
          <t>0                      DS 0154220B  68          1983</t>
        </is>
      </c>
      <c r="D215" t="inlineStr">
        <is>
          <t>Roman Arabia / G.W. Bowersock.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Bowersock, G. W. (Glen Warren), 1936-</t>
        </is>
      </c>
      <c r="L215" t="inlineStr">
        <is>
          <t>Cambridge, Mass. : Harvard University Press, 1983.</t>
        </is>
      </c>
      <c r="M215" t="inlineStr">
        <is>
          <t>1983</t>
        </is>
      </c>
      <c r="O215" t="inlineStr">
        <is>
          <t>eng</t>
        </is>
      </c>
      <c r="P215" t="inlineStr">
        <is>
          <t>mau</t>
        </is>
      </c>
      <c r="R215" t="inlineStr">
        <is>
          <t xml:space="preserve">DS </t>
        </is>
      </c>
      <c r="S215" t="n">
        <v>1</v>
      </c>
      <c r="T215" t="n">
        <v>1</v>
      </c>
      <c r="U215" t="inlineStr">
        <is>
          <t>2002-10-28</t>
        </is>
      </c>
      <c r="V215" t="inlineStr">
        <is>
          <t>2002-10-28</t>
        </is>
      </c>
      <c r="W215" t="inlineStr">
        <is>
          <t>1990-10-08</t>
        </is>
      </c>
      <c r="X215" t="inlineStr">
        <is>
          <t>1990-10-08</t>
        </is>
      </c>
      <c r="Y215" t="n">
        <v>759</v>
      </c>
      <c r="Z215" t="n">
        <v>576</v>
      </c>
      <c r="AA215" t="n">
        <v>640</v>
      </c>
      <c r="AB215" t="n">
        <v>4</v>
      </c>
      <c r="AC215" t="n">
        <v>4</v>
      </c>
      <c r="AD215" t="n">
        <v>31</v>
      </c>
      <c r="AE215" t="n">
        <v>32</v>
      </c>
      <c r="AF215" t="n">
        <v>13</v>
      </c>
      <c r="AG215" t="n">
        <v>13</v>
      </c>
      <c r="AH215" t="n">
        <v>7</v>
      </c>
      <c r="AI215" t="n">
        <v>7</v>
      </c>
      <c r="AJ215" t="n">
        <v>18</v>
      </c>
      <c r="AK215" t="n">
        <v>19</v>
      </c>
      <c r="AL215" t="n">
        <v>3</v>
      </c>
      <c r="AM215" t="n">
        <v>3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HYPERLINK("http://catalog.hathitrust.org/Record/000276984","HathiTrust Record")</f>
        <v/>
      </c>
      <c r="AS215">
        <f>HYPERLINK("https://creighton-primo.hosted.exlibrisgroup.com/primo-explore/search?tab=default_tab&amp;search_scope=EVERYTHING&amp;vid=01CRU&amp;lang=en_US&amp;offset=0&amp;query=any,contains,991000122479702656","Catalog Record")</f>
        <v/>
      </c>
      <c r="AT215">
        <f>HYPERLINK("http://www.worldcat.org/oclc/9080742","WorldCat Record")</f>
        <v/>
      </c>
      <c r="AU215" t="inlineStr">
        <is>
          <t>2683906:eng</t>
        </is>
      </c>
      <c r="AV215" t="inlineStr">
        <is>
          <t>9080742</t>
        </is>
      </c>
      <c r="AW215" t="inlineStr">
        <is>
          <t>991000122479702656</t>
        </is>
      </c>
      <c r="AX215" t="inlineStr">
        <is>
          <t>991000122479702656</t>
        </is>
      </c>
      <c r="AY215" t="inlineStr">
        <is>
          <t>2255566040002656</t>
        </is>
      </c>
      <c r="AZ215" t="inlineStr">
        <is>
          <t>BOOK</t>
        </is>
      </c>
      <c r="BB215" t="inlineStr">
        <is>
          <t>9780674777552</t>
        </is>
      </c>
      <c r="BC215" t="inlineStr">
        <is>
          <t>32285000335124</t>
        </is>
      </c>
      <c r="BD215" t="inlineStr">
        <is>
          <t>893595303</t>
        </is>
      </c>
      <c r="BE215" t="inlineStr">
        <is>
          <t>Simkins</t>
        </is>
      </c>
    </row>
    <row r="216">
      <c r="A216" t="inlineStr">
        <is>
          <t>No</t>
        </is>
      </c>
      <c r="B216" t="inlineStr">
        <is>
          <t>DS154.9.A24 W56 2001</t>
        </is>
      </c>
      <c r="C216" t="inlineStr">
        <is>
          <t>0                      DS 0154900A  24                 W  56          2001</t>
        </is>
      </c>
      <c r="D216" t="inlineStr">
        <is>
          <t>Ancient Abila : an archeological history / John D. Wineland.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Wineland, John Dennis.</t>
        </is>
      </c>
      <c r="L216" t="inlineStr">
        <is>
          <t>Oxford, England : Archeopress : Available from Hadrian Books, 2001.</t>
        </is>
      </c>
      <c r="M216" t="inlineStr">
        <is>
          <t>2001</t>
        </is>
      </c>
      <c r="O216" t="inlineStr">
        <is>
          <t>eng</t>
        </is>
      </c>
      <c r="P216" t="inlineStr">
        <is>
          <t>enk</t>
        </is>
      </c>
      <c r="Q216" t="inlineStr">
        <is>
          <t>BAR international series ; 989</t>
        </is>
      </c>
      <c r="R216" t="inlineStr">
        <is>
          <t xml:space="preserve">DS </t>
        </is>
      </c>
      <c r="S216" t="n">
        <v>1</v>
      </c>
      <c r="T216" t="n">
        <v>1</v>
      </c>
      <c r="U216" t="inlineStr">
        <is>
          <t>2004-02-11</t>
        </is>
      </c>
      <c r="V216" t="inlineStr">
        <is>
          <t>2004-02-11</t>
        </is>
      </c>
      <c r="W216" t="inlineStr">
        <is>
          <t>2004-02-11</t>
        </is>
      </c>
      <c r="X216" t="inlineStr">
        <is>
          <t>2004-02-11</t>
        </is>
      </c>
      <c r="Y216" t="n">
        <v>90</v>
      </c>
      <c r="Z216" t="n">
        <v>60</v>
      </c>
      <c r="AA216" t="n">
        <v>63</v>
      </c>
      <c r="AB216" t="n">
        <v>1</v>
      </c>
      <c r="AC216" t="n">
        <v>1</v>
      </c>
      <c r="AD216" t="n">
        <v>1</v>
      </c>
      <c r="AE216" t="n">
        <v>1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1</v>
      </c>
      <c r="AL216" t="n">
        <v>0</v>
      </c>
      <c r="AM216" t="n">
        <v>0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HYPERLINK("http://catalog.hathitrust.org/Record/003589441","HathiTrust Record")</f>
        <v/>
      </c>
      <c r="AS216">
        <f>HYPERLINK("https://creighton-primo.hosted.exlibrisgroup.com/primo-explore/search?tab=default_tab&amp;search_scope=EVERYTHING&amp;vid=01CRU&amp;lang=en_US&amp;offset=0&amp;query=any,contains,991004219459702656","Catalog Record")</f>
        <v/>
      </c>
      <c r="AT216">
        <f>HYPERLINK("http://www.worldcat.org/oclc/49727128","WorldCat Record")</f>
        <v/>
      </c>
      <c r="AU216" t="inlineStr">
        <is>
          <t>144855701:eng</t>
        </is>
      </c>
      <c r="AV216" t="inlineStr">
        <is>
          <t>49727128</t>
        </is>
      </c>
      <c r="AW216" t="inlineStr">
        <is>
          <t>991004219459702656</t>
        </is>
      </c>
      <c r="AX216" t="inlineStr">
        <is>
          <t>991004219459702656</t>
        </is>
      </c>
      <c r="AY216" t="inlineStr">
        <is>
          <t>2264738510002656</t>
        </is>
      </c>
      <c r="AZ216" t="inlineStr">
        <is>
          <t>BOOK</t>
        </is>
      </c>
      <c r="BB216" t="inlineStr">
        <is>
          <t>9781841712741</t>
        </is>
      </c>
      <c r="BC216" t="inlineStr">
        <is>
          <t>32285004637756</t>
        </is>
      </c>
      <c r="BD216" t="inlineStr">
        <is>
          <t>893706117</t>
        </is>
      </c>
      <c r="BE216" t="inlineStr">
        <is>
          <t>Simkins</t>
        </is>
      </c>
    </row>
    <row r="217">
      <c r="A217" t="inlineStr">
        <is>
          <t>No</t>
        </is>
      </c>
      <c r="B217" t="inlineStr">
        <is>
          <t>DS154.9.U45 U46 1998, v...</t>
        </is>
      </c>
      <c r="C217" t="inlineStr">
        <is>
          <t>0                      DS 0154900U  45                 U  46          1998                  v...</t>
        </is>
      </c>
      <c r="D217" t="inlineStr">
        <is>
          <t>Umm el-Jimal : a frontier town and its landscape in northern Jordan.</t>
        </is>
      </c>
      <c r="E217" t="inlineStr">
        <is>
          <t>V.1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L217" t="inlineStr">
        <is>
          <t>Portsmouth, R.I. : Journal of Roman Archaeology, 1998-</t>
        </is>
      </c>
      <c r="M217" t="inlineStr">
        <is>
          <t>1998</t>
        </is>
      </c>
      <c r="O217" t="inlineStr">
        <is>
          <t>eng</t>
        </is>
      </c>
      <c r="P217" t="inlineStr">
        <is>
          <t>riu</t>
        </is>
      </c>
      <c r="Q217" t="inlineStr">
        <is>
          <t>Journal of Roman archaeology. Supplementary series ; no. 26</t>
        </is>
      </c>
      <c r="R217" t="inlineStr">
        <is>
          <t xml:space="preserve">DS </t>
        </is>
      </c>
      <c r="S217" t="n">
        <v>1</v>
      </c>
      <c r="T217" t="n">
        <v>1</v>
      </c>
      <c r="U217" t="inlineStr">
        <is>
          <t>2002-08-24</t>
        </is>
      </c>
      <c r="V217" t="inlineStr">
        <is>
          <t>2002-08-24</t>
        </is>
      </c>
      <c r="W217" t="inlineStr">
        <is>
          <t>1999-01-07</t>
        </is>
      </c>
      <c r="X217" t="inlineStr">
        <is>
          <t>1999-01-07</t>
        </is>
      </c>
      <c r="Y217" t="n">
        <v>158</v>
      </c>
      <c r="Z217" t="n">
        <v>108</v>
      </c>
      <c r="AA217" t="n">
        <v>110</v>
      </c>
      <c r="AB217" t="n">
        <v>1</v>
      </c>
      <c r="AC217" t="n">
        <v>1</v>
      </c>
      <c r="AD217" t="n">
        <v>4</v>
      </c>
      <c r="AE217" t="n">
        <v>4</v>
      </c>
      <c r="AF217" t="n">
        <v>0</v>
      </c>
      <c r="AG217" t="n">
        <v>0</v>
      </c>
      <c r="AH217" t="n">
        <v>2</v>
      </c>
      <c r="AI217" t="n">
        <v>2</v>
      </c>
      <c r="AJ217" t="n">
        <v>4</v>
      </c>
      <c r="AK217" t="n">
        <v>4</v>
      </c>
      <c r="AL217" t="n">
        <v>0</v>
      </c>
      <c r="AM217" t="n">
        <v>0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HYPERLINK("http://catalog.hathitrust.org/Record/003259755","HathiTrust Record")</f>
        <v/>
      </c>
      <c r="AS217">
        <f>HYPERLINK("https://creighton-primo.hosted.exlibrisgroup.com/primo-explore/search?tab=default_tab&amp;search_scope=EVERYTHING&amp;vid=01CRU&amp;lang=en_US&amp;offset=0&amp;query=any,contains,991002935669702656","Catalog Record")</f>
        <v/>
      </c>
      <c r="AT217">
        <f>HYPERLINK("http://www.worldcat.org/oclc/39049661","WorldCat Record")</f>
        <v/>
      </c>
      <c r="AU217" t="inlineStr">
        <is>
          <t>3702154723:eng</t>
        </is>
      </c>
      <c r="AV217" t="inlineStr">
        <is>
          <t>39049661</t>
        </is>
      </c>
      <c r="AW217" t="inlineStr">
        <is>
          <t>991002935669702656</t>
        </is>
      </c>
      <c r="AX217" t="inlineStr">
        <is>
          <t>991002935669702656</t>
        </is>
      </c>
      <c r="AY217" t="inlineStr">
        <is>
          <t>2271624850002656</t>
        </is>
      </c>
      <c r="AZ217" t="inlineStr">
        <is>
          <t>BOOK</t>
        </is>
      </c>
      <c r="BB217" t="inlineStr">
        <is>
          <t>9781887829267</t>
        </is>
      </c>
      <c r="BC217" t="inlineStr">
        <is>
          <t>32285003510632</t>
        </is>
      </c>
      <c r="BD217" t="inlineStr">
        <is>
          <t>893505000</t>
        </is>
      </c>
      <c r="BE217" t="inlineStr">
        <is>
          <t>Simkins</t>
        </is>
      </c>
    </row>
    <row r="218">
      <c r="A218" t="inlineStr">
        <is>
          <t>No</t>
        </is>
      </c>
      <c r="B218" t="inlineStr">
        <is>
          <t>DS57 .P67 1997</t>
        </is>
      </c>
      <c r="C218" t="inlineStr">
        <is>
          <t>0                      DS 0057000P  67          1997</t>
        </is>
      </c>
      <c r="D218" t="inlineStr">
        <is>
          <t>Mesopotamian civilization : the material foundations / D.T. Potts.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Potts, Daniel T.</t>
        </is>
      </c>
      <c r="L218" t="inlineStr">
        <is>
          <t>Ithaca, N.Y. : Cornell University Press, 1997.</t>
        </is>
      </c>
      <c r="M218" t="inlineStr">
        <is>
          <t>1997</t>
        </is>
      </c>
      <c r="O218" t="inlineStr">
        <is>
          <t>eng</t>
        </is>
      </c>
      <c r="P218" t="inlineStr">
        <is>
          <t>nyu</t>
        </is>
      </c>
      <c r="R218" t="inlineStr">
        <is>
          <t xml:space="preserve">DS </t>
        </is>
      </c>
      <c r="S218" t="n">
        <v>2</v>
      </c>
      <c r="T218" t="n">
        <v>2</v>
      </c>
      <c r="U218" t="inlineStr">
        <is>
          <t>2003-02-21</t>
        </is>
      </c>
      <c r="V218" t="inlineStr">
        <is>
          <t>2003-02-21</t>
        </is>
      </c>
      <c r="W218" t="inlineStr">
        <is>
          <t>1998-04-13</t>
        </is>
      </c>
      <c r="X218" t="inlineStr">
        <is>
          <t>1998-04-13</t>
        </is>
      </c>
      <c r="Y218" t="n">
        <v>396</v>
      </c>
      <c r="Z218" t="n">
        <v>339</v>
      </c>
      <c r="AA218" t="n">
        <v>360</v>
      </c>
      <c r="AB218" t="n">
        <v>5</v>
      </c>
      <c r="AC218" t="n">
        <v>5</v>
      </c>
      <c r="AD218" t="n">
        <v>20</v>
      </c>
      <c r="AE218" t="n">
        <v>22</v>
      </c>
      <c r="AF218" t="n">
        <v>4</v>
      </c>
      <c r="AG218" t="n">
        <v>4</v>
      </c>
      <c r="AH218" t="n">
        <v>4</v>
      </c>
      <c r="AI218" t="n">
        <v>6</v>
      </c>
      <c r="AJ218" t="n">
        <v>12</v>
      </c>
      <c r="AK218" t="n">
        <v>14</v>
      </c>
      <c r="AL218" t="n">
        <v>4</v>
      </c>
      <c r="AM218" t="n">
        <v>4</v>
      </c>
      <c r="AN218" t="n">
        <v>0</v>
      </c>
      <c r="AO218" t="n">
        <v>0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HYPERLINK("https://creighton-primo.hosted.exlibrisgroup.com/primo-explore/search?tab=default_tab&amp;search_scope=EVERYTHING&amp;vid=01CRU&amp;lang=en_US&amp;offset=0&amp;query=any,contains,991002700579702656","Catalog Record")</f>
        <v/>
      </c>
      <c r="AT218">
        <f>HYPERLINK("http://www.worldcat.org/oclc/35262365","WorldCat Record")</f>
        <v/>
      </c>
      <c r="AU218" t="inlineStr">
        <is>
          <t>837073437:eng</t>
        </is>
      </c>
      <c r="AV218" t="inlineStr">
        <is>
          <t>35262365</t>
        </is>
      </c>
      <c r="AW218" t="inlineStr">
        <is>
          <t>991002700579702656</t>
        </is>
      </c>
      <c r="AX218" t="inlineStr">
        <is>
          <t>991002700579702656</t>
        </is>
      </c>
      <c r="AY218" t="inlineStr">
        <is>
          <t>2264306620002656</t>
        </is>
      </c>
      <c r="AZ218" t="inlineStr">
        <is>
          <t>BOOK</t>
        </is>
      </c>
      <c r="BB218" t="inlineStr">
        <is>
          <t>9780801433399</t>
        </is>
      </c>
      <c r="BC218" t="inlineStr">
        <is>
          <t>32285003384723</t>
        </is>
      </c>
      <c r="BD218" t="inlineStr">
        <is>
          <t>893773932</t>
        </is>
      </c>
      <c r="BE218" t="inlineStr">
        <is>
          <t>Simkins</t>
        </is>
      </c>
    </row>
    <row r="219">
      <c r="A219" t="inlineStr">
        <is>
          <t>No</t>
        </is>
      </c>
      <c r="B219" t="inlineStr">
        <is>
          <t>DS62.23 .U78 2001</t>
        </is>
      </c>
      <c r="C219" t="inlineStr">
        <is>
          <t>0                      DS 0062230U  78          2001</t>
        </is>
      </c>
      <c r="D219" t="inlineStr">
        <is>
          <t>Uruk Mesopotamia &amp; its neighbors : cross-cultural interactions in the era of state formation / edited by Mitchell S. Rothman.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L219" t="inlineStr">
        <is>
          <t>Sante Fe, NM : School of American Research Press, 2001.</t>
        </is>
      </c>
      <c r="M219" t="inlineStr">
        <is>
          <t>2001</t>
        </is>
      </c>
      <c r="N219" t="inlineStr">
        <is>
          <t>1st ed.</t>
        </is>
      </c>
      <c r="O219" t="inlineStr">
        <is>
          <t>eng</t>
        </is>
      </c>
      <c r="P219" t="inlineStr">
        <is>
          <t>nmu</t>
        </is>
      </c>
      <c r="Q219" t="inlineStr">
        <is>
          <t>School of American Research advanced seminar series</t>
        </is>
      </c>
      <c r="R219" t="inlineStr">
        <is>
          <t xml:space="preserve">DS </t>
        </is>
      </c>
      <c r="S219" t="n">
        <v>2</v>
      </c>
      <c r="T219" t="n">
        <v>2</v>
      </c>
      <c r="U219" t="inlineStr">
        <is>
          <t>2004-02-28</t>
        </is>
      </c>
      <c r="V219" t="inlineStr">
        <is>
          <t>2004-02-28</t>
        </is>
      </c>
      <c r="W219" t="inlineStr">
        <is>
          <t>2003-03-26</t>
        </is>
      </c>
      <c r="X219" t="inlineStr">
        <is>
          <t>2003-03-26</t>
        </is>
      </c>
      <c r="Y219" t="n">
        <v>289</v>
      </c>
      <c r="Z219" t="n">
        <v>209</v>
      </c>
      <c r="AA219" t="n">
        <v>212</v>
      </c>
      <c r="AB219" t="n">
        <v>2</v>
      </c>
      <c r="AC219" t="n">
        <v>2</v>
      </c>
      <c r="AD219" t="n">
        <v>11</v>
      </c>
      <c r="AE219" t="n">
        <v>11</v>
      </c>
      <c r="AF219" t="n">
        <v>2</v>
      </c>
      <c r="AG219" t="n">
        <v>2</v>
      </c>
      <c r="AH219" t="n">
        <v>4</v>
      </c>
      <c r="AI219" t="n">
        <v>4</v>
      </c>
      <c r="AJ219" t="n">
        <v>6</v>
      </c>
      <c r="AK219" t="n">
        <v>6</v>
      </c>
      <c r="AL219" t="n">
        <v>1</v>
      </c>
      <c r="AM219" t="n">
        <v>1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HYPERLINK("http://catalog.hathitrust.org/Record/004214715","HathiTrust Record")</f>
        <v/>
      </c>
      <c r="AS219">
        <f>HYPERLINK("https://creighton-primo.hosted.exlibrisgroup.com/primo-explore/search?tab=default_tab&amp;search_scope=EVERYTHING&amp;vid=01CRU&amp;lang=en_US&amp;offset=0&amp;query=any,contains,991003990389702656","Catalog Record")</f>
        <v/>
      </c>
      <c r="AT219">
        <f>HYPERLINK("http://www.worldcat.org/oclc/47271122","WorldCat Record")</f>
        <v/>
      </c>
      <c r="AU219" t="inlineStr">
        <is>
          <t>837023277:eng</t>
        </is>
      </c>
      <c r="AV219" t="inlineStr">
        <is>
          <t>47271122</t>
        </is>
      </c>
      <c r="AW219" t="inlineStr">
        <is>
          <t>991003990389702656</t>
        </is>
      </c>
      <c r="AX219" t="inlineStr">
        <is>
          <t>991003990389702656</t>
        </is>
      </c>
      <c r="AY219" t="inlineStr">
        <is>
          <t>2263255310002656</t>
        </is>
      </c>
      <c r="AZ219" t="inlineStr">
        <is>
          <t>BOOK</t>
        </is>
      </c>
      <c r="BB219" t="inlineStr">
        <is>
          <t>9780852554609</t>
        </is>
      </c>
      <c r="BC219" t="inlineStr">
        <is>
          <t>32285004687090</t>
        </is>
      </c>
      <c r="BD219" t="inlineStr">
        <is>
          <t>893718322</t>
        </is>
      </c>
      <c r="BE219" t="inlineStr">
        <is>
          <t>Simkins</t>
        </is>
      </c>
    </row>
    <row r="220">
      <c r="A220" t="inlineStr">
        <is>
          <t>No</t>
        </is>
      </c>
      <c r="B220" t="inlineStr">
        <is>
          <t>DS68 .L8 1968</t>
        </is>
      </c>
      <c r="C220" t="inlineStr">
        <is>
          <t>0                      DS 0068000L  8           1968</t>
        </is>
      </c>
      <c r="D220" t="inlineStr">
        <is>
          <t>Ancient records of Assyria and Babylonia.</t>
        </is>
      </c>
      <c r="E220" t="inlineStr">
        <is>
          <t>V.2</t>
        </is>
      </c>
      <c r="F220" t="inlineStr">
        <is>
          <t>Yes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Luckenbill, Daniel David, 1881-1927.</t>
        </is>
      </c>
      <c r="L220" t="inlineStr">
        <is>
          <t>New York, Greenwood Press [1968, c1926]</t>
        </is>
      </c>
      <c r="M220" t="inlineStr">
        <is>
          <t>1968</t>
        </is>
      </c>
      <c r="O220" t="inlineStr">
        <is>
          <t>eng</t>
        </is>
      </c>
      <c r="P220" t="inlineStr">
        <is>
          <t>nyu</t>
        </is>
      </c>
      <c r="R220" t="inlineStr">
        <is>
          <t xml:space="preserve">DS </t>
        </is>
      </c>
      <c r="S220" t="n">
        <v>4</v>
      </c>
      <c r="T220" t="n">
        <v>9</v>
      </c>
      <c r="U220" t="inlineStr">
        <is>
          <t>2006-11-05</t>
        </is>
      </c>
      <c r="V220" t="inlineStr">
        <is>
          <t>2006-11-05</t>
        </is>
      </c>
      <c r="W220" t="inlineStr">
        <is>
          <t>1997-02-24</t>
        </is>
      </c>
      <c r="X220" t="inlineStr">
        <is>
          <t>1997-02-24</t>
        </is>
      </c>
      <c r="Y220" t="n">
        <v>338</v>
      </c>
      <c r="Z220" t="n">
        <v>295</v>
      </c>
      <c r="AA220" t="n">
        <v>299</v>
      </c>
      <c r="AB220" t="n">
        <v>4</v>
      </c>
      <c r="AC220" t="n">
        <v>4</v>
      </c>
      <c r="AD220" t="n">
        <v>7</v>
      </c>
      <c r="AE220" t="n">
        <v>7</v>
      </c>
      <c r="AF220" t="n">
        <v>2</v>
      </c>
      <c r="AG220" t="n">
        <v>2</v>
      </c>
      <c r="AH220" t="n">
        <v>1</v>
      </c>
      <c r="AI220" t="n">
        <v>1</v>
      </c>
      <c r="AJ220" t="n">
        <v>4</v>
      </c>
      <c r="AK220" t="n">
        <v>4</v>
      </c>
      <c r="AL220" t="n">
        <v>2</v>
      </c>
      <c r="AM220" t="n">
        <v>2</v>
      </c>
      <c r="AN220" t="n">
        <v>0</v>
      </c>
      <c r="AO220" t="n">
        <v>0</v>
      </c>
      <c r="AP220" t="inlineStr">
        <is>
          <t>No</t>
        </is>
      </c>
      <c r="AQ220" t="inlineStr">
        <is>
          <t>Yes</t>
        </is>
      </c>
      <c r="AR220">
        <f>HYPERLINK("http://catalog.hathitrust.org/Record/007124035","HathiTrust Record")</f>
        <v/>
      </c>
      <c r="AS220">
        <f>HYPERLINK("https://creighton-primo.hosted.exlibrisgroup.com/primo-explore/search?tab=default_tab&amp;search_scope=EVERYTHING&amp;vid=01CRU&amp;lang=en_US&amp;offset=0&amp;query=any,contains,991005435179702656","Catalog Record")</f>
        <v/>
      </c>
      <c r="AT220">
        <f>HYPERLINK("http://www.worldcat.org/oclc/2845","WorldCat Record")</f>
        <v/>
      </c>
      <c r="AU220" t="inlineStr">
        <is>
          <t>5579916093:eng</t>
        </is>
      </c>
      <c r="AV220" t="inlineStr">
        <is>
          <t>2845</t>
        </is>
      </c>
      <c r="AW220" t="inlineStr">
        <is>
          <t>991005435179702656</t>
        </is>
      </c>
      <c r="AX220" t="inlineStr">
        <is>
          <t>991005435179702656</t>
        </is>
      </c>
      <c r="AY220" t="inlineStr">
        <is>
          <t>2262892490002656</t>
        </is>
      </c>
      <c r="AZ220" t="inlineStr">
        <is>
          <t>BOOK</t>
        </is>
      </c>
      <c r="BC220" t="inlineStr">
        <is>
          <t>32285002460250</t>
        </is>
      </c>
      <c r="BD220" t="inlineStr">
        <is>
          <t>893620005</t>
        </is>
      </c>
      <c r="BE220" t="inlineStr">
        <is>
          <t>Simkins</t>
        </is>
      </c>
    </row>
    <row r="221">
      <c r="A221" t="inlineStr">
        <is>
          <t>No</t>
        </is>
      </c>
      <c r="B221" t="inlineStr">
        <is>
          <t>DS68 .L8 1968</t>
        </is>
      </c>
      <c r="C221" t="inlineStr">
        <is>
          <t>0                      DS 0068000L  8           1968</t>
        </is>
      </c>
      <c r="D221" t="inlineStr">
        <is>
          <t>Ancient records of Assyria and Babylonia.</t>
        </is>
      </c>
      <c r="E221" t="inlineStr">
        <is>
          <t>V.1</t>
        </is>
      </c>
      <c r="F221" t="inlineStr">
        <is>
          <t>Yes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Luckenbill, Daniel David, 1881-1927.</t>
        </is>
      </c>
      <c r="L221" t="inlineStr">
        <is>
          <t>New York, Greenwood Press [1968, c1926]</t>
        </is>
      </c>
      <c r="M221" t="inlineStr">
        <is>
          <t>1968</t>
        </is>
      </c>
      <c r="O221" t="inlineStr">
        <is>
          <t>eng</t>
        </is>
      </c>
      <c r="P221" t="inlineStr">
        <is>
          <t>nyu</t>
        </is>
      </c>
      <c r="R221" t="inlineStr">
        <is>
          <t xml:space="preserve">DS </t>
        </is>
      </c>
      <c r="S221" t="n">
        <v>5</v>
      </c>
      <c r="T221" t="n">
        <v>9</v>
      </c>
      <c r="U221" t="inlineStr">
        <is>
          <t>2004-09-09</t>
        </is>
      </c>
      <c r="V221" t="inlineStr">
        <is>
          <t>2006-11-05</t>
        </is>
      </c>
      <c r="W221" t="inlineStr">
        <is>
          <t>1997-02-24</t>
        </is>
      </c>
      <c r="X221" t="inlineStr">
        <is>
          <t>1997-02-24</t>
        </is>
      </c>
      <c r="Y221" t="n">
        <v>338</v>
      </c>
      <c r="Z221" t="n">
        <v>295</v>
      </c>
      <c r="AA221" t="n">
        <v>299</v>
      </c>
      <c r="AB221" t="n">
        <v>4</v>
      </c>
      <c r="AC221" t="n">
        <v>4</v>
      </c>
      <c r="AD221" t="n">
        <v>7</v>
      </c>
      <c r="AE221" t="n">
        <v>7</v>
      </c>
      <c r="AF221" t="n">
        <v>2</v>
      </c>
      <c r="AG221" t="n">
        <v>2</v>
      </c>
      <c r="AH221" t="n">
        <v>1</v>
      </c>
      <c r="AI221" t="n">
        <v>1</v>
      </c>
      <c r="AJ221" t="n">
        <v>4</v>
      </c>
      <c r="AK221" t="n">
        <v>4</v>
      </c>
      <c r="AL221" t="n">
        <v>2</v>
      </c>
      <c r="AM221" t="n">
        <v>2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HYPERLINK("http://catalog.hathitrust.org/Record/007124035","HathiTrust Record")</f>
        <v/>
      </c>
      <c r="AS221">
        <f>HYPERLINK("https://creighton-primo.hosted.exlibrisgroup.com/primo-explore/search?tab=default_tab&amp;search_scope=EVERYTHING&amp;vid=01CRU&amp;lang=en_US&amp;offset=0&amp;query=any,contains,991005435179702656","Catalog Record")</f>
        <v/>
      </c>
      <c r="AT221">
        <f>HYPERLINK("http://www.worldcat.org/oclc/2845","WorldCat Record")</f>
        <v/>
      </c>
      <c r="AU221" t="inlineStr">
        <is>
          <t>5579916093:eng</t>
        </is>
      </c>
      <c r="AV221" t="inlineStr">
        <is>
          <t>2845</t>
        </is>
      </c>
      <c r="AW221" t="inlineStr">
        <is>
          <t>991005435179702656</t>
        </is>
      </c>
      <c r="AX221" t="inlineStr">
        <is>
          <t>991005435179702656</t>
        </is>
      </c>
      <c r="AY221" t="inlineStr">
        <is>
          <t>2262892490002656</t>
        </is>
      </c>
      <c r="AZ221" t="inlineStr">
        <is>
          <t>BOOK</t>
        </is>
      </c>
      <c r="BC221" t="inlineStr">
        <is>
          <t>32285002460243</t>
        </is>
      </c>
      <c r="BD221" t="inlineStr">
        <is>
          <t>893595062</t>
        </is>
      </c>
      <c r="BE221" t="inlineStr">
        <is>
          <t>Simkins</t>
        </is>
      </c>
    </row>
    <row r="222">
      <c r="A222" t="inlineStr">
        <is>
          <t>No</t>
        </is>
      </c>
      <c r="B222" t="inlineStr">
        <is>
          <t>DS69.6 .J23 1970</t>
        </is>
      </c>
      <c r="C222" t="inlineStr">
        <is>
          <t>0                      DS 0069600J  23          1970</t>
        </is>
      </c>
      <c r="D222" t="inlineStr">
        <is>
          <t>Toward the image of Tammuz and other essays on Mesopotamian history and culture / edited by William L. Moran.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Jacobsen, Thorkild, 1904-1993.</t>
        </is>
      </c>
      <c r="L222" t="inlineStr">
        <is>
          <t>Cambridge : Harvard University Press, 1970.</t>
        </is>
      </c>
      <c r="M222" t="inlineStr">
        <is>
          <t>1970</t>
        </is>
      </c>
      <c r="O222" t="inlineStr">
        <is>
          <t>eng</t>
        </is>
      </c>
      <c r="P222" t="inlineStr">
        <is>
          <t>mau</t>
        </is>
      </c>
      <c r="Q222" t="inlineStr">
        <is>
          <t>Harvard Semitic series ; v. 21</t>
        </is>
      </c>
      <c r="R222" t="inlineStr">
        <is>
          <t xml:space="preserve">DS </t>
        </is>
      </c>
      <c r="S222" t="n">
        <v>2</v>
      </c>
      <c r="T222" t="n">
        <v>2</v>
      </c>
      <c r="U222" t="inlineStr">
        <is>
          <t>2007-04-03</t>
        </is>
      </c>
      <c r="V222" t="inlineStr">
        <is>
          <t>2007-04-03</t>
        </is>
      </c>
      <c r="W222" t="inlineStr">
        <is>
          <t>1992-03-11</t>
        </is>
      </c>
      <c r="X222" t="inlineStr">
        <is>
          <t>1992-03-11</t>
        </is>
      </c>
      <c r="Y222" t="n">
        <v>662</v>
      </c>
      <c r="Z222" t="n">
        <v>525</v>
      </c>
      <c r="AA222" t="n">
        <v>531</v>
      </c>
      <c r="AB222" t="n">
        <v>5</v>
      </c>
      <c r="AC222" t="n">
        <v>5</v>
      </c>
      <c r="AD222" t="n">
        <v>23</v>
      </c>
      <c r="AE222" t="n">
        <v>23</v>
      </c>
      <c r="AF222" t="n">
        <v>6</v>
      </c>
      <c r="AG222" t="n">
        <v>6</v>
      </c>
      <c r="AH222" t="n">
        <v>7</v>
      </c>
      <c r="AI222" t="n">
        <v>7</v>
      </c>
      <c r="AJ222" t="n">
        <v>10</v>
      </c>
      <c r="AK222" t="n">
        <v>10</v>
      </c>
      <c r="AL222" t="n">
        <v>4</v>
      </c>
      <c r="AM222" t="n">
        <v>4</v>
      </c>
      <c r="AN222" t="n">
        <v>0</v>
      </c>
      <c r="AO222" t="n">
        <v>0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HYPERLINK("http://catalog.hathitrust.org/Record/000001497","HathiTrust Record")</f>
        <v/>
      </c>
      <c r="AS222">
        <f>HYPERLINK("https://creighton-primo.hosted.exlibrisgroup.com/primo-explore/search?tab=default_tab&amp;search_scope=EVERYTHING&amp;vid=01CRU&amp;lang=en_US&amp;offset=0&amp;query=any,contains,991000635119702656","Catalog Record")</f>
        <v/>
      </c>
      <c r="AT222">
        <f>HYPERLINK("http://www.worldcat.org/oclc/107416","WorldCat Record")</f>
        <v/>
      </c>
      <c r="AU222" t="inlineStr">
        <is>
          <t>314038992:eng</t>
        </is>
      </c>
      <c r="AV222" t="inlineStr">
        <is>
          <t>107416</t>
        </is>
      </c>
      <c r="AW222" t="inlineStr">
        <is>
          <t>991000635119702656</t>
        </is>
      </c>
      <c r="AX222" t="inlineStr">
        <is>
          <t>991000635119702656</t>
        </is>
      </c>
      <c r="AY222" t="inlineStr">
        <is>
          <t>2261906320002656</t>
        </is>
      </c>
      <c r="AZ222" t="inlineStr">
        <is>
          <t>BOOK</t>
        </is>
      </c>
      <c r="BB222" t="inlineStr">
        <is>
          <t>9780674898103</t>
        </is>
      </c>
      <c r="BC222" t="inlineStr">
        <is>
          <t>32285000996743</t>
        </is>
      </c>
      <c r="BD222" t="inlineStr">
        <is>
          <t>893255591</t>
        </is>
      </c>
      <c r="BE222" t="inlineStr">
        <is>
          <t>Simkins</t>
        </is>
      </c>
    </row>
    <row r="223">
      <c r="A223" t="inlineStr">
        <is>
          <t>No</t>
        </is>
      </c>
      <c r="B223" t="inlineStr">
        <is>
          <t>DS70 .L42 1852</t>
        </is>
      </c>
      <c r="C223" t="inlineStr">
        <is>
          <t>0                      DS 0070000L  42          1852</t>
        </is>
      </c>
      <c r="D223" t="inlineStr">
        <is>
          <t>Nineveh and its remains: with an account of a visit to the Chaldæan Christians of Kurdistan, and the Yezidis, or devil worshippers; and an inquiry into the manners and arts of the ancient Assyrians. By Austen Henry Layard.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Layard, Austen Henry, 1817-1894.</t>
        </is>
      </c>
      <c r="L223" t="inlineStr">
        <is>
          <t>New York, G. P. Putnam, 1852.</t>
        </is>
      </c>
      <c r="M223" t="inlineStr">
        <is>
          <t>1852</t>
        </is>
      </c>
      <c r="N223" t="inlineStr">
        <is>
          <t>13th thousand.</t>
        </is>
      </c>
      <c r="O223" t="inlineStr">
        <is>
          <t>eng</t>
        </is>
      </c>
      <c r="P223" t="inlineStr">
        <is>
          <t>nyu</t>
        </is>
      </c>
      <c r="R223" t="inlineStr">
        <is>
          <t xml:space="preserve">DS </t>
        </is>
      </c>
      <c r="S223" t="n">
        <v>3</v>
      </c>
      <c r="T223" t="n">
        <v>3</v>
      </c>
      <c r="U223" t="inlineStr">
        <is>
          <t>2000-09-11</t>
        </is>
      </c>
      <c r="V223" t="inlineStr">
        <is>
          <t>2000-09-11</t>
        </is>
      </c>
      <c r="W223" t="inlineStr">
        <is>
          <t>1997-02-24</t>
        </is>
      </c>
      <c r="X223" t="inlineStr">
        <is>
          <t>1997-02-24</t>
        </is>
      </c>
      <c r="Y223" t="n">
        <v>52</v>
      </c>
      <c r="Z223" t="n">
        <v>49</v>
      </c>
      <c r="AA223" t="n">
        <v>408</v>
      </c>
      <c r="AB223" t="n">
        <v>1</v>
      </c>
      <c r="AC223" t="n">
        <v>3</v>
      </c>
      <c r="AD223" t="n">
        <v>1</v>
      </c>
      <c r="AE223" t="n">
        <v>22</v>
      </c>
      <c r="AF223" t="n">
        <v>1</v>
      </c>
      <c r="AG223" t="n">
        <v>8</v>
      </c>
      <c r="AH223" t="n">
        <v>0</v>
      </c>
      <c r="AI223" t="n">
        <v>7</v>
      </c>
      <c r="AJ223" t="n">
        <v>0</v>
      </c>
      <c r="AK223" t="n">
        <v>11</v>
      </c>
      <c r="AL223" t="n">
        <v>0</v>
      </c>
      <c r="AM223" t="n">
        <v>2</v>
      </c>
      <c r="AN223" t="n">
        <v>0</v>
      </c>
      <c r="AO223" t="n">
        <v>0</v>
      </c>
      <c r="AP223" t="inlineStr">
        <is>
          <t>Yes</t>
        </is>
      </c>
      <c r="AQ223" t="inlineStr">
        <is>
          <t>No</t>
        </is>
      </c>
      <c r="AR223">
        <f>HYPERLINK("http://catalog.hathitrust.org/Record/011560584","HathiTrust Record")</f>
        <v/>
      </c>
      <c r="AS223">
        <f>HYPERLINK("https://creighton-primo.hosted.exlibrisgroup.com/primo-explore/search?tab=default_tab&amp;search_scope=EVERYTHING&amp;vid=01CRU&amp;lang=en_US&amp;offset=0&amp;query=any,contains,991004853769702656","Catalog Record")</f>
        <v/>
      </c>
      <c r="AT223">
        <f>HYPERLINK("http://www.worldcat.org/oclc/5654518","WorldCat Record")</f>
        <v/>
      </c>
      <c r="AU223" t="inlineStr">
        <is>
          <t>5453690072:eng</t>
        </is>
      </c>
      <c r="AV223" t="inlineStr">
        <is>
          <t>5654518</t>
        </is>
      </c>
      <c r="AW223" t="inlineStr">
        <is>
          <t>991004853769702656</t>
        </is>
      </c>
      <c r="AX223" t="inlineStr">
        <is>
          <t>991004853769702656</t>
        </is>
      </c>
      <c r="AY223" t="inlineStr">
        <is>
          <t>2255426410002656</t>
        </is>
      </c>
      <c r="AZ223" t="inlineStr">
        <is>
          <t>BOOK</t>
        </is>
      </c>
      <c r="BC223" t="inlineStr">
        <is>
          <t>32285002460268</t>
        </is>
      </c>
      <c r="BD223" t="inlineStr">
        <is>
          <t>893619156</t>
        </is>
      </c>
      <c r="BE223" t="inlineStr">
        <is>
          <t>Simkins</t>
        </is>
      </c>
    </row>
    <row r="224">
      <c r="A224" t="inlineStr">
        <is>
          <t>No</t>
        </is>
      </c>
      <c r="B224" t="inlineStr">
        <is>
          <t>DS70 .L437</t>
        </is>
      </c>
      <c r="C224" t="inlineStr">
        <is>
          <t>0                      DS 0070000L  437</t>
        </is>
      </c>
      <c r="D224" t="inlineStr">
        <is>
          <t>Discoveries among the ruins of Nineveh and Babylon : with travels in Armenia, Kurdistan, and the desert : being the result of a second expedition undertaken for the Trustees of the British museum / by Austen H. Layard.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Layard, Austen Henry, 1817-1894.</t>
        </is>
      </c>
      <c r="L224" t="inlineStr">
        <is>
          <t>New York : Harper &amp; brothers, 1853.</t>
        </is>
      </c>
      <c r="M224" t="inlineStr">
        <is>
          <t>1853</t>
        </is>
      </c>
      <c r="O224" t="inlineStr">
        <is>
          <t>eng</t>
        </is>
      </c>
      <c r="P224" t="inlineStr">
        <is>
          <t>nyu</t>
        </is>
      </c>
      <c r="R224" t="inlineStr">
        <is>
          <t xml:space="preserve">DS </t>
        </is>
      </c>
      <c r="S224" t="n">
        <v>4</v>
      </c>
      <c r="T224" t="n">
        <v>4</v>
      </c>
      <c r="U224" t="inlineStr">
        <is>
          <t>2002-09-24</t>
        </is>
      </c>
      <c r="V224" t="inlineStr">
        <is>
          <t>2002-09-24</t>
        </is>
      </c>
      <c r="W224" t="inlineStr">
        <is>
          <t>1992-04-24</t>
        </is>
      </c>
      <c r="X224" t="inlineStr">
        <is>
          <t>1992-04-24</t>
        </is>
      </c>
      <c r="Y224" t="n">
        <v>156</v>
      </c>
      <c r="Z224" t="n">
        <v>143</v>
      </c>
      <c r="AA224" t="n">
        <v>312</v>
      </c>
      <c r="AB224" t="n">
        <v>2</v>
      </c>
      <c r="AC224" t="n">
        <v>3</v>
      </c>
      <c r="AD224" t="n">
        <v>8</v>
      </c>
      <c r="AE224" t="n">
        <v>14</v>
      </c>
      <c r="AF224" t="n">
        <v>3</v>
      </c>
      <c r="AG224" t="n">
        <v>6</v>
      </c>
      <c r="AH224" t="n">
        <v>2</v>
      </c>
      <c r="AI224" t="n">
        <v>3</v>
      </c>
      <c r="AJ224" t="n">
        <v>4</v>
      </c>
      <c r="AK224" t="n">
        <v>6</v>
      </c>
      <c r="AL224" t="n">
        <v>1</v>
      </c>
      <c r="AM224" t="n">
        <v>2</v>
      </c>
      <c r="AN224" t="n">
        <v>0</v>
      </c>
      <c r="AO224" t="n">
        <v>0</v>
      </c>
      <c r="AP224" t="inlineStr">
        <is>
          <t>Yes</t>
        </is>
      </c>
      <c r="AQ224" t="inlineStr">
        <is>
          <t>No</t>
        </is>
      </c>
      <c r="AR224">
        <f>HYPERLINK("http://catalog.hathitrust.org/Record/005062711","HathiTrust Record")</f>
        <v/>
      </c>
      <c r="AS224">
        <f>HYPERLINK("https://creighton-primo.hosted.exlibrisgroup.com/primo-explore/search?tab=default_tab&amp;search_scope=EVERYTHING&amp;vid=01CRU&amp;lang=en_US&amp;offset=0&amp;query=any,contains,991003911119702656","Catalog Record")</f>
        <v/>
      </c>
      <c r="AT224">
        <f>HYPERLINK("http://www.worldcat.org/oclc/1852091","WorldCat Record")</f>
        <v/>
      </c>
      <c r="AU224" t="inlineStr">
        <is>
          <t>3901123143:eng</t>
        </is>
      </c>
      <c r="AV224" t="inlineStr">
        <is>
          <t>1852091</t>
        </is>
      </c>
      <c r="AW224" t="inlineStr">
        <is>
          <t>991003911119702656</t>
        </is>
      </c>
      <c r="AX224" t="inlineStr">
        <is>
          <t>991003911119702656</t>
        </is>
      </c>
      <c r="AY224" t="inlineStr">
        <is>
          <t>2263798970002656</t>
        </is>
      </c>
      <c r="AZ224" t="inlineStr">
        <is>
          <t>BOOK</t>
        </is>
      </c>
      <c r="BC224" t="inlineStr">
        <is>
          <t>32285001086809</t>
        </is>
      </c>
      <c r="BD224" t="inlineStr">
        <is>
          <t>893423145</t>
        </is>
      </c>
      <c r="BE224" t="inlineStr">
        <is>
          <t>Simkins</t>
        </is>
      </c>
    </row>
    <row r="225">
      <c r="A225" t="inlineStr">
        <is>
          <t>No</t>
        </is>
      </c>
      <c r="B225" t="inlineStr">
        <is>
          <t>DS70.5.U7 W63 1982</t>
        </is>
      </c>
      <c r="C225" t="inlineStr">
        <is>
          <t>0                      DS 0070500U  7                  W  63          1982</t>
        </is>
      </c>
      <c r="D225" t="inlineStr">
        <is>
          <t>Ur 'of the Chaldees' : a revised and updated edition of Sir Leonard Woolley's Excavations at Ur / by P.R.S. Moorey.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Woolley, Leonard, 1880-1960.</t>
        </is>
      </c>
      <c r="L225" t="inlineStr">
        <is>
          <t>Ithaca, N.Y. : Cornell University Press, 1982.</t>
        </is>
      </c>
      <c r="M225" t="inlineStr">
        <is>
          <t>1982</t>
        </is>
      </c>
      <c r="N225" t="inlineStr">
        <is>
          <t>Rev., updated ed.</t>
        </is>
      </c>
      <c r="O225" t="inlineStr">
        <is>
          <t>eng</t>
        </is>
      </c>
      <c r="P225" t="inlineStr">
        <is>
          <t>nyu</t>
        </is>
      </c>
      <c r="R225" t="inlineStr">
        <is>
          <t xml:space="preserve">DS </t>
        </is>
      </c>
      <c r="S225" t="n">
        <v>5</v>
      </c>
      <c r="T225" t="n">
        <v>5</v>
      </c>
      <c r="U225" t="inlineStr">
        <is>
          <t>2004-10-05</t>
        </is>
      </c>
      <c r="V225" t="inlineStr">
        <is>
          <t>2004-10-05</t>
        </is>
      </c>
      <c r="W225" t="inlineStr">
        <is>
          <t>1990-08-16</t>
        </is>
      </c>
      <c r="X225" t="inlineStr">
        <is>
          <t>1990-08-16</t>
        </is>
      </c>
      <c r="Y225" t="n">
        <v>627</v>
      </c>
      <c r="Z225" t="n">
        <v>585</v>
      </c>
      <c r="AA225" t="n">
        <v>632</v>
      </c>
      <c r="AB225" t="n">
        <v>5</v>
      </c>
      <c r="AC225" t="n">
        <v>7</v>
      </c>
      <c r="AD225" t="n">
        <v>19</v>
      </c>
      <c r="AE225" t="n">
        <v>22</v>
      </c>
      <c r="AF225" t="n">
        <v>7</v>
      </c>
      <c r="AG225" t="n">
        <v>8</v>
      </c>
      <c r="AH225" t="n">
        <v>5</v>
      </c>
      <c r="AI225" t="n">
        <v>5</v>
      </c>
      <c r="AJ225" t="n">
        <v>10</v>
      </c>
      <c r="AK225" t="n">
        <v>11</v>
      </c>
      <c r="AL225" t="n">
        <v>3</v>
      </c>
      <c r="AM225" t="n">
        <v>5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HYPERLINK("http://catalog.hathitrust.org/Record/004733110","HathiTrust Record")</f>
        <v/>
      </c>
      <c r="AS225">
        <f>HYPERLINK("https://creighton-primo.hosted.exlibrisgroup.com/primo-explore/search?tab=default_tab&amp;search_scope=EVERYTHING&amp;vid=01CRU&amp;lang=en_US&amp;offset=0&amp;query=any,contains,991000073939702656","Catalog Record")</f>
        <v/>
      </c>
      <c r="AT225">
        <f>HYPERLINK("http://www.worldcat.org/oclc/8800122","WorldCat Record")</f>
        <v/>
      </c>
      <c r="AU225" t="inlineStr">
        <is>
          <t>3768521133:eng</t>
        </is>
      </c>
      <c r="AV225" t="inlineStr">
        <is>
          <t>8800122</t>
        </is>
      </c>
      <c r="AW225" t="inlineStr">
        <is>
          <t>991000073939702656</t>
        </is>
      </c>
      <c r="AX225" t="inlineStr">
        <is>
          <t>991000073939702656</t>
        </is>
      </c>
      <c r="AY225" t="inlineStr">
        <is>
          <t>2264401700002656</t>
        </is>
      </c>
      <c r="AZ225" t="inlineStr">
        <is>
          <t>BOOK</t>
        </is>
      </c>
      <c r="BB225" t="inlineStr">
        <is>
          <t>9780801415180</t>
        </is>
      </c>
      <c r="BC225" t="inlineStr">
        <is>
          <t>32285000274653</t>
        </is>
      </c>
      <c r="BD225" t="inlineStr">
        <is>
          <t>893326984</t>
        </is>
      </c>
      <c r="BE225" t="inlineStr">
        <is>
          <t>Simkins</t>
        </is>
      </c>
    </row>
    <row r="226">
      <c r="A226" t="inlineStr">
        <is>
          <t>No</t>
        </is>
      </c>
      <c r="B226" t="inlineStr">
        <is>
          <t>DS71 .V35 1999</t>
        </is>
      </c>
      <c r="C226" t="inlineStr">
        <is>
          <t>0                      DS 0071000V  35          1999</t>
        </is>
      </c>
      <c r="D226" t="inlineStr">
        <is>
          <t>Cuneiform texts and the writing of history / Marc Van de Mieroop.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Van de Mieroop, Marc.</t>
        </is>
      </c>
      <c r="L226" t="inlineStr">
        <is>
          <t>London ; New York : Routledge, 1999.</t>
        </is>
      </c>
      <c r="M226" t="inlineStr">
        <is>
          <t>1999</t>
        </is>
      </c>
      <c r="O226" t="inlineStr">
        <is>
          <t>eng</t>
        </is>
      </c>
      <c r="P226" t="inlineStr">
        <is>
          <t>enk</t>
        </is>
      </c>
      <c r="Q226" t="inlineStr">
        <is>
          <t>Approaching the ancient world</t>
        </is>
      </c>
      <c r="R226" t="inlineStr">
        <is>
          <t xml:space="preserve">DS </t>
        </is>
      </c>
      <c r="S226" t="n">
        <v>3</v>
      </c>
      <c r="T226" t="n">
        <v>3</v>
      </c>
      <c r="U226" t="inlineStr">
        <is>
          <t>2003-09-22</t>
        </is>
      </c>
      <c r="V226" t="inlineStr">
        <is>
          <t>2003-09-22</t>
        </is>
      </c>
      <c r="W226" t="inlineStr">
        <is>
          <t>2003-08-19</t>
        </is>
      </c>
      <c r="X226" t="inlineStr">
        <is>
          <t>2003-08-19</t>
        </is>
      </c>
      <c r="Y226" t="n">
        <v>353</v>
      </c>
      <c r="Z226" t="n">
        <v>240</v>
      </c>
      <c r="AA226" t="n">
        <v>267</v>
      </c>
      <c r="AB226" t="n">
        <v>1</v>
      </c>
      <c r="AC226" t="n">
        <v>1</v>
      </c>
      <c r="AD226" t="n">
        <v>12</v>
      </c>
      <c r="AE226" t="n">
        <v>12</v>
      </c>
      <c r="AF226" t="n">
        <v>3</v>
      </c>
      <c r="AG226" t="n">
        <v>3</v>
      </c>
      <c r="AH226" t="n">
        <v>3</v>
      </c>
      <c r="AI226" t="n">
        <v>3</v>
      </c>
      <c r="AJ226" t="n">
        <v>9</v>
      </c>
      <c r="AK226" t="n">
        <v>9</v>
      </c>
      <c r="AL226" t="n">
        <v>0</v>
      </c>
      <c r="AM226" t="n">
        <v>0</v>
      </c>
      <c r="AN226" t="n">
        <v>0</v>
      </c>
      <c r="AO226" t="n">
        <v>0</v>
      </c>
      <c r="AP226" t="inlineStr">
        <is>
          <t>No</t>
        </is>
      </c>
      <c r="AQ226" t="inlineStr">
        <is>
          <t>No</t>
        </is>
      </c>
      <c r="AS226">
        <f>HYPERLINK("https://creighton-primo.hosted.exlibrisgroup.com/primo-explore/search?tab=default_tab&amp;search_scope=EVERYTHING&amp;vid=01CRU&amp;lang=en_US&amp;offset=0&amp;query=any,contains,991004099249702656","Catalog Record")</f>
        <v/>
      </c>
      <c r="AT226">
        <f>HYPERLINK("http://www.worldcat.org/oclc/40180227","WorldCat Record")</f>
        <v/>
      </c>
      <c r="AU226" t="inlineStr">
        <is>
          <t>2527903:eng</t>
        </is>
      </c>
      <c r="AV226" t="inlineStr">
        <is>
          <t>40180227</t>
        </is>
      </c>
      <c r="AW226" t="inlineStr">
        <is>
          <t>991004099249702656</t>
        </is>
      </c>
      <c r="AX226" t="inlineStr">
        <is>
          <t>991004099249702656</t>
        </is>
      </c>
      <c r="AY226" t="inlineStr">
        <is>
          <t>2262528750002656</t>
        </is>
      </c>
      <c r="AZ226" t="inlineStr">
        <is>
          <t>BOOK</t>
        </is>
      </c>
      <c r="BB226" t="inlineStr">
        <is>
          <t>9780415195324</t>
        </is>
      </c>
      <c r="BC226" t="inlineStr">
        <is>
          <t>32285004759873</t>
        </is>
      </c>
      <c r="BD226" t="inlineStr">
        <is>
          <t>893687365</t>
        </is>
      </c>
      <c r="BE226" t="inlineStr">
        <is>
          <t>Simkins</t>
        </is>
      </c>
    </row>
    <row r="227">
      <c r="A227" t="inlineStr">
        <is>
          <t>No</t>
        </is>
      </c>
      <c r="B227" t="inlineStr">
        <is>
          <t>DS73.1 .A44 1993</t>
        </is>
      </c>
      <c r="C227" t="inlineStr">
        <is>
          <t>0                      DS 0073100A  44          1993</t>
        </is>
      </c>
      <c r="D227" t="inlineStr">
        <is>
          <t>The Uruk world system : the dynamics of expansion of early Mesopotamian civilization / Guillermo Algaze.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Algaze, Guillermo, 1954-</t>
        </is>
      </c>
      <c r="L227" t="inlineStr">
        <is>
          <t>Chicago : University of Chicago Press, c1993.</t>
        </is>
      </c>
      <c r="M227" t="inlineStr">
        <is>
          <t>1993</t>
        </is>
      </c>
      <c r="O227" t="inlineStr">
        <is>
          <t>eng</t>
        </is>
      </c>
      <c r="P227" t="inlineStr">
        <is>
          <t>ilu</t>
        </is>
      </c>
      <c r="R227" t="inlineStr">
        <is>
          <t xml:space="preserve">DS </t>
        </is>
      </c>
      <c r="S227" t="n">
        <v>1</v>
      </c>
      <c r="T227" t="n">
        <v>1</v>
      </c>
      <c r="U227" t="inlineStr">
        <is>
          <t>1995-08-26</t>
        </is>
      </c>
      <c r="V227" t="inlineStr">
        <is>
          <t>1995-08-26</t>
        </is>
      </c>
      <c r="W227" t="inlineStr">
        <is>
          <t>1995-05-24</t>
        </is>
      </c>
      <c r="X227" t="inlineStr">
        <is>
          <t>1995-05-24</t>
        </is>
      </c>
      <c r="Y227" t="n">
        <v>380</v>
      </c>
      <c r="Z227" t="n">
        <v>293</v>
      </c>
      <c r="AA227" t="n">
        <v>341</v>
      </c>
      <c r="AB227" t="n">
        <v>4</v>
      </c>
      <c r="AC227" t="n">
        <v>5</v>
      </c>
      <c r="AD227" t="n">
        <v>14</v>
      </c>
      <c r="AE227" t="n">
        <v>20</v>
      </c>
      <c r="AF227" t="n">
        <v>4</v>
      </c>
      <c r="AG227" t="n">
        <v>7</v>
      </c>
      <c r="AH227" t="n">
        <v>5</v>
      </c>
      <c r="AI227" t="n">
        <v>6</v>
      </c>
      <c r="AJ227" t="n">
        <v>4</v>
      </c>
      <c r="AK227" t="n">
        <v>8</v>
      </c>
      <c r="AL227" t="n">
        <v>3</v>
      </c>
      <c r="AM227" t="n">
        <v>4</v>
      </c>
      <c r="AN227" t="n">
        <v>0</v>
      </c>
      <c r="AO227" t="n">
        <v>0</v>
      </c>
      <c r="AP227" t="inlineStr">
        <is>
          <t>No</t>
        </is>
      </c>
      <c r="AQ227" t="inlineStr">
        <is>
          <t>No</t>
        </is>
      </c>
      <c r="AS227">
        <f>HYPERLINK("https://creighton-primo.hosted.exlibrisgroup.com/primo-explore/search?tab=default_tab&amp;search_scope=EVERYTHING&amp;vid=01CRU&amp;lang=en_US&amp;offset=0&amp;query=any,contains,991002057249702656","Catalog Record")</f>
        <v/>
      </c>
      <c r="AT227">
        <f>HYPERLINK("http://www.worldcat.org/oclc/26306576","WorldCat Record")</f>
        <v/>
      </c>
      <c r="AU227" t="inlineStr">
        <is>
          <t>18195529:eng</t>
        </is>
      </c>
      <c r="AV227" t="inlineStr">
        <is>
          <t>26306576</t>
        </is>
      </c>
      <c r="AW227" t="inlineStr">
        <is>
          <t>991002057249702656</t>
        </is>
      </c>
      <c r="AX227" t="inlineStr">
        <is>
          <t>991002057249702656</t>
        </is>
      </c>
      <c r="AY227" t="inlineStr">
        <is>
          <t>2266422810002656</t>
        </is>
      </c>
      <c r="AZ227" t="inlineStr">
        <is>
          <t>BOOK</t>
        </is>
      </c>
      <c r="BB227" t="inlineStr">
        <is>
          <t>9780226013817</t>
        </is>
      </c>
      <c r="BC227" t="inlineStr">
        <is>
          <t>32285002047198</t>
        </is>
      </c>
      <c r="BD227" t="inlineStr">
        <is>
          <t>893408640</t>
        </is>
      </c>
      <c r="BE227" t="inlineStr">
        <is>
          <t>Simkins</t>
        </is>
      </c>
    </row>
    <row r="228">
      <c r="A228" t="inlineStr">
        <is>
          <t>No</t>
        </is>
      </c>
      <c r="B228" t="inlineStr">
        <is>
          <t>DS73.2 .V47 1996</t>
        </is>
      </c>
      <c r="C228" t="inlineStr">
        <is>
          <t>0                      DS 0073200V  47          1996</t>
        </is>
      </c>
      <c r="D228" t="inlineStr">
        <is>
          <t>Berossos and Manetho, introduced and translated : native traditions in ancient Mesopotamia and Egypt / Gerald P. Verbrugghe, John M. Wickersham.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Verbrugghe, Gerald.</t>
        </is>
      </c>
      <c r="L228" t="inlineStr">
        <is>
          <t>Ann Arbor : University of Michigan Press, c1996.</t>
        </is>
      </c>
      <c r="M228" t="inlineStr">
        <is>
          <t>1996</t>
        </is>
      </c>
      <c r="O228" t="inlineStr">
        <is>
          <t>eng</t>
        </is>
      </c>
      <c r="P228" t="inlineStr">
        <is>
          <t>miu</t>
        </is>
      </c>
      <c r="R228" t="inlineStr">
        <is>
          <t xml:space="preserve">DS </t>
        </is>
      </c>
      <c r="S228" t="n">
        <v>4</v>
      </c>
      <c r="T228" t="n">
        <v>4</v>
      </c>
      <c r="U228" t="inlineStr">
        <is>
          <t>2003-03-18</t>
        </is>
      </c>
      <c r="V228" t="inlineStr">
        <is>
          <t>2003-03-18</t>
        </is>
      </c>
      <c r="W228" t="inlineStr">
        <is>
          <t>1997-11-04</t>
        </is>
      </c>
      <c r="X228" t="inlineStr">
        <is>
          <t>1997-11-04</t>
        </is>
      </c>
      <c r="Y228" t="n">
        <v>261</v>
      </c>
      <c r="Z228" t="n">
        <v>201</v>
      </c>
      <c r="AA228" t="n">
        <v>239</v>
      </c>
      <c r="AB228" t="n">
        <v>1</v>
      </c>
      <c r="AC228" t="n">
        <v>1</v>
      </c>
      <c r="AD228" t="n">
        <v>10</v>
      </c>
      <c r="AE228" t="n">
        <v>12</v>
      </c>
      <c r="AF228" t="n">
        <v>1</v>
      </c>
      <c r="AG228" t="n">
        <v>2</v>
      </c>
      <c r="AH228" t="n">
        <v>4</v>
      </c>
      <c r="AI228" t="n">
        <v>4</v>
      </c>
      <c r="AJ228" t="n">
        <v>8</v>
      </c>
      <c r="AK228" t="n">
        <v>10</v>
      </c>
      <c r="AL228" t="n">
        <v>0</v>
      </c>
      <c r="AM228" t="n">
        <v>0</v>
      </c>
      <c r="AN228" t="n">
        <v>0</v>
      </c>
      <c r="AO228" t="n">
        <v>0</v>
      </c>
      <c r="AP228" t="inlineStr">
        <is>
          <t>Yes</t>
        </is>
      </c>
      <c r="AQ228" t="inlineStr">
        <is>
          <t>No</t>
        </is>
      </c>
      <c r="AR228">
        <f>HYPERLINK("http://catalog.hathitrust.org/Record/003143853","HathiTrust Record")</f>
        <v/>
      </c>
      <c r="AS228">
        <f>HYPERLINK("https://creighton-primo.hosted.exlibrisgroup.com/primo-explore/search?tab=default_tab&amp;search_scope=EVERYTHING&amp;vid=01CRU&amp;lang=en_US&amp;offset=0&amp;query=any,contains,991002604979702656","Catalog Record")</f>
        <v/>
      </c>
      <c r="AT228">
        <f>HYPERLINK("http://www.worldcat.org/oclc/34117151","WorldCat Record")</f>
        <v/>
      </c>
      <c r="AU228" t="inlineStr">
        <is>
          <t>20656134:eng</t>
        </is>
      </c>
      <c r="AV228" t="inlineStr">
        <is>
          <t>34117151</t>
        </is>
      </c>
      <c r="AW228" t="inlineStr">
        <is>
          <t>991002604979702656</t>
        </is>
      </c>
      <c r="AX228" t="inlineStr">
        <is>
          <t>991002604979702656</t>
        </is>
      </c>
      <c r="AY228" t="inlineStr">
        <is>
          <t>2272304700002656</t>
        </is>
      </c>
      <c r="AZ228" t="inlineStr">
        <is>
          <t>BOOK</t>
        </is>
      </c>
      <c r="BB228" t="inlineStr">
        <is>
          <t>9780472107223</t>
        </is>
      </c>
      <c r="BC228" t="inlineStr">
        <is>
          <t>32285003275582</t>
        </is>
      </c>
      <c r="BD228" t="inlineStr">
        <is>
          <t>893227061</t>
        </is>
      </c>
      <c r="BE228" t="inlineStr">
        <is>
          <t>Simkins</t>
        </is>
      </c>
    </row>
    <row r="229">
      <c r="A229" t="inlineStr">
        <is>
          <t>No</t>
        </is>
      </c>
      <c r="B229" t="inlineStr">
        <is>
          <t>DS73.35 .V36 2005</t>
        </is>
      </c>
      <c r="C229" t="inlineStr">
        <is>
          <t>0                      DS 0073350V  36          2005</t>
        </is>
      </c>
      <c r="D229" t="inlineStr">
        <is>
          <t>King Hammurabi of Babylon : a biography / Marc Van de Mieroop.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Van de Mieroop, Marc.</t>
        </is>
      </c>
      <c r="L229" t="inlineStr">
        <is>
          <t>Malden, MA : Blackwell Pub., c2005.</t>
        </is>
      </c>
      <c r="M229" t="inlineStr">
        <is>
          <t>2005</t>
        </is>
      </c>
      <c r="O229" t="inlineStr">
        <is>
          <t>eng</t>
        </is>
      </c>
      <c r="P229" t="inlineStr">
        <is>
          <t>mau</t>
        </is>
      </c>
      <c r="Q229" t="inlineStr">
        <is>
          <t>Blackwell ancient lives</t>
        </is>
      </c>
      <c r="R229" t="inlineStr">
        <is>
          <t xml:space="preserve">DS </t>
        </is>
      </c>
      <c r="S229" t="n">
        <v>3</v>
      </c>
      <c r="T229" t="n">
        <v>3</v>
      </c>
      <c r="U229" t="inlineStr">
        <is>
          <t>2008-09-04</t>
        </is>
      </c>
      <c r="V229" t="inlineStr">
        <is>
          <t>2008-09-04</t>
        </is>
      </c>
      <c r="W229" t="inlineStr">
        <is>
          <t>2007-01-25</t>
        </is>
      </c>
      <c r="X229" t="inlineStr">
        <is>
          <t>2007-01-25</t>
        </is>
      </c>
      <c r="Y229" t="n">
        <v>511</v>
      </c>
      <c r="Z229" t="n">
        <v>432</v>
      </c>
      <c r="AA229" t="n">
        <v>801</v>
      </c>
      <c r="AB229" t="n">
        <v>2</v>
      </c>
      <c r="AC229" t="n">
        <v>6</v>
      </c>
      <c r="AD229" t="n">
        <v>17</v>
      </c>
      <c r="AE229" t="n">
        <v>34</v>
      </c>
      <c r="AF229" t="n">
        <v>8</v>
      </c>
      <c r="AG229" t="n">
        <v>13</v>
      </c>
      <c r="AH229" t="n">
        <v>6</v>
      </c>
      <c r="AI229" t="n">
        <v>9</v>
      </c>
      <c r="AJ229" t="n">
        <v>8</v>
      </c>
      <c r="AK229" t="n">
        <v>13</v>
      </c>
      <c r="AL229" t="n">
        <v>1</v>
      </c>
      <c r="AM229" t="n">
        <v>5</v>
      </c>
      <c r="AN229" t="n">
        <v>0</v>
      </c>
      <c r="AO229" t="n">
        <v>1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HYPERLINK("https://creighton-primo.hosted.exlibrisgroup.com/primo-explore/search?tab=default_tab&amp;search_scope=EVERYTHING&amp;vid=01CRU&amp;lang=en_US&amp;offset=0&amp;query=any,contains,991004965589702656","Catalog Record")</f>
        <v/>
      </c>
      <c r="AT229">
        <f>HYPERLINK("http://www.worldcat.org/oclc/55645033","WorldCat Record")</f>
        <v/>
      </c>
      <c r="AU229" t="inlineStr">
        <is>
          <t>797301173:eng</t>
        </is>
      </c>
      <c r="AV229" t="inlineStr">
        <is>
          <t>55645033</t>
        </is>
      </c>
      <c r="AW229" t="inlineStr">
        <is>
          <t>991004965589702656</t>
        </is>
      </c>
      <c r="AX229" t="inlineStr">
        <is>
          <t>991004965589702656</t>
        </is>
      </c>
      <c r="AY229" t="inlineStr">
        <is>
          <t>2265248440002656</t>
        </is>
      </c>
      <c r="AZ229" t="inlineStr">
        <is>
          <t>BOOK</t>
        </is>
      </c>
      <c r="BB229" t="inlineStr">
        <is>
          <t>9781405126595</t>
        </is>
      </c>
      <c r="BC229" t="inlineStr">
        <is>
          <t>32285005272686</t>
        </is>
      </c>
      <c r="BD229" t="inlineStr">
        <is>
          <t>893436968</t>
        </is>
      </c>
      <c r="BE229" t="inlineStr">
        <is>
          <t>Simkins</t>
        </is>
      </c>
    </row>
    <row r="230">
      <c r="A230" t="inlineStr">
        <is>
          <t>No</t>
        </is>
      </c>
      <c r="B230" t="inlineStr">
        <is>
          <t>DS96.2 .B87 2003</t>
        </is>
      </c>
      <c r="C230" t="inlineStr">
        <is>
          <t>0                      DS 0096200B  87          2003</t>
        </is>
      </c>
      <c r="D230" t="inlineStr">
        <is>
          <t>Roman Syria and the Near East / Kevin Butcher.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Butcher, Kevin.</t>
        </is>
      </c>
      <c r="L230" t="inlineStr">
        <is>
          <t>Los Angeles : J. Paul Getty Museum/Getty Publications, 2003.</t>
        </is>
      </c>
      <c r="M230" t="inlineStr">
        <is>
          <t>2003</t>
        </is>
      </c>
      <c r="O230" t="inlineStr">
        <is>
          <t>eng</t>
        </is>
      </c>
      <c r="P230" t="inlineStr">
        <is>
          <t>cau</t>
        </is>
      </c>
      <c r="R230" t="inlineStr">
        <is>
          <t xml:space="preserve">DS </t>
        </is>
      </c>
      <c r="S230" t="n">
        <v>4</v>
      </c>
      <c r="T230" t="n">
        <v>4</v>
      </c>
      <c r="U230" t="inlineStr">
        <is>
          <t>2010-07-27</t>
        </is>
      </c>
      <c r="V230" t="inlineStr">
        <is>
          <t>2010-07-27</t>
        </is>
      </c>
      <c r="W230" t="inlineStr">
        <is>
          <t>2004-02-23</t>
        </is>
      </c>
      <c r="X230" t="inlineStr">
        <is>
          <t>2004-02-23</t>
        </is>
      </c>
      <c r="Y230" t="n">
        <v>509</v>
      </c>
      <c r="Z230" t="n">
        <v>409</v>
      </c>
      <c r="AA230" t="n">
        <v>416</v>
      </c>
      <c r="AB230" t="n">
        <v>3</v>
      </c>
      <c r="AC230" t="n">
        <v>3</v>
      </c>
      <c r="AD230" t="n">
        <v>27</v>
      </c>
      <c r="AE230" t="n">
        <v>27</v>
      </c>
      <c r="AF230" t="n">
        <v>12</v>
      </c>
      <c r="AG230" t="n">
        <v>12</v>
      </c>
      <c r="AH230" t="n">
        <v>8</v>
      </c>
      <c r="AI230" t="n">
        <v>8</v>
      </c>
      <c r="AJ230" t="n">
        <v>13</v>
      </c>
      <c r="AK230" t="n">
        <v>13</v>
      </c>
      <c r="AL230" t="n">
        <v>2</v>
      </c>
      <c r="AM230" t="n">
        <v>2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HYPERLINK("https://creighton-primo.hosted.exlibrisgroup.com/primo-explore/search?tab=default_tab&amp;search_scope=EVERYTHING&amp;vid=01CRU&amp;lang=en_US&amp;offset=0&amp;query=any,contains,991004201299702656","Catalog Record")</f>
        <v/>
      </c>
      <c r="AT230">
        <f>HYPERLINK("http://www.worldcat.org/oclc/52001730","WorldCat Record")</f>
        <v/>
      </c>
      <c r="AU230" t="inlineStr">
        <is>
          <t>737418:eng</t>
        </is>
      </c>
      <c r="AV230" t="inlineStr">
        <is>
          <t>52001730</t>
        </is>
      </c>
      <c r="AW230" t="inlineStr">
        <is>
          <t>991004201299702656</t>
        </is>
      </c>
      <c r="AX230" t="inlineStr">
        <is>
          <t>991004201299702656</t>
        </is>
      </c>
      <c r="AY230" t="inlineStr">
        <is>
          <t>2263371470002656</t>
        </is>
      </c>
      <c r="AZ230" t="inlineStr">
        <is>
          <t>BOOK</t>
        </is>
      </c>
      <c r="BB230" t="inlineStr">
        <is>
          <t>9780892367153</t>
        </is>
      </c>
      <c r="BC230" t="inlineStr">
        <is>
          <t>32285004639711</t>
        </is>
      </c>
      <c r="BD230" t="inlineStr">
        <is>
          <t>893506538</t>
        </is>
      </c>
      <c r="BE230" t="inlineStr">
        <is>
          <t>Simkins</t>
        </is>
      </c>
    </row>
    <row r="231">
      <c r="A231" t="inlineStr">
        <is>
          <t>No</t>
        </is>
      </c>
      <c r="B231" t="inlineStr">
        <is>
          <t>DS99.D3 B867 2007</t>
        </is>
      </c>
      <c r="C231" t="inlineStr">
        <is>
          <t>0                      DS 0099000D  3                  B  867         2007</t>
        </is>
      </c>
      <c r="D231" t="inlineStr">
        <is>
          <t>Damascus : a history / Ross Burns.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Burns, Ross.</t>
        </is>
      </c>
      <c r="L231" t="inlineStr">
        <is>
          <t>London ; New York : Routledge, 2007, c2005.</t>
        </is>
      </c>
      <c r="M231" t="inlineStr">
        <is>
          <t>2007</t>
        </is>
      </c>
      <c r="N231" t="inlineStr">
        <is>
          <t>1st pbk. ed.</t>
        </is>
      </c>
      <c r="O231" t="inlineStr">
        <is>
          <t>eng</t>
        </is>
      </c>
      <c r="P231" t="inlineStr">
        <is>
          <t>enk</t>
        </is>
      </c>
      <c r="R231" t="inlineStr">
        <is>
          <t xml:space="preserve">DS </t>
        </is>
      </c>
      <c r="S231" t="n">
        <v>2</v>
      </c>
      <c r="T231" t="n">
        <v>2</v>
      </c>
      <c r="U231" t="inlineStr">
        <is>
          <t>2007-11-05</t>
        </is>
      </c>
      <c r="V231" t="inlineStr">
        <is>
          <t>2007-11-05</t>
        </is>
      </c>
      <c r="W231" t="inlineStr">
        <is>
          <t>2007-10-24</t>
        </is>
      </c>
      <c r="X231" t="inlineStr">
        <is>
          <t>2007-10-24</t>
        </is>
      </c>
      <c r="Y231" t="n">
        <v>266</v>
      </c>
      <c r="Z231" t="n">
        <v>168</v>
      </c>
      <c r="AA231" t="n">
        <v>564</v>
      </c>
      <c r="AB231" t="n">
        <v>1</v>
      </c>
      <c r="AC231" t="n">
        <v>5</v>
      </c>
      <c r="AD231" t="n">
        <v>7</v>
      </c>
      <c r="AE231" t="n">
        <v>27</v>
      </c>
      <c r="AF231" t="n">
        <v>2</v>
      </c>
      <c r="AG231" t="n">
        <v>9</v>
      </c>
      <c r="AH231" t="n">
        <v>4</v>
      </c>
      <c r="AI231" t="n">
        <v>8</v>
      </c>
      <c r="AJ231" t="n">
        <v>5</v>
      </c>
      <c r="AK231" t="n">
        <v>12</v>
      </c>
      <c r="AL231" t="n">
        <v>0</v>
      </c>
      <c r="AM231" t="n">
        <v>4</v>
      </c>
      <c r="AN231" t="n">
        <v>0</v>
      </c>
      <c r="AO231" t="n">
        <v>1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HYPERLINK("https://creighton-primo.hosted.exlibrisgroup.com/primo-explore/search?tab=default_tab&amp;search_scope=EVERYTHING&amp;vid=01CRU&amp;lang=en_US&amp;offset=0&amp;query=any,contains,991005136789702656","Catalog Record")</f>
        <v/>
      </c>
      <c r="AT231">
        <f>HYPERLINK("http://www.worldcat.org/oclc/55067557","WorldCat Record")</f>
        <v/>
      </c>
      <c r="AU231" t="inlineStr">
        <is>
          <t>902713:eng</t>
        </is>
      </c>
      <c r="AV231" t="inlineStr">
        <is>
          <t>55067557</t>
        </is>
      </c>
      <c r="AW231" t="inlineStr">
        <is>
          <t>991005136789702656</t>
        </is>
      </c>
      <c r="AX231" t="inlineStr">
        <is>
          <t>991005136789702656</t>
        </is>
      </c>
      <c r="AY231" t="inlineStr">
        <is>
          <t>2265073620002656</t>
        </is>
      </c>
      <c r="AZ231" t="inlineStr">
        <is>
          <t>BOOK</t>
        </is>
      </c>
      <c r="BB231" t="inlineStr">
        <is>
          <t>9780415271059</t>
        </is>
      </c>
      <c r="BC231" t="inlineStr">
        <is>
          <t>32285005360614</t>
        </is>
      </c>
      <c r="BD231" t="inlineStr">
        <is>
          <t>893501382</t>
        </is>
      </c>
      <c r="BE231" t="inlineStr">
        <is>
          <t>Simkins</t>
        </is>
      </c>
    </row>
    <row r="232">
      <c r="A232" t="inlineStr">
        <is>
          <t>No</t>
        </is>
      </c>
      <c r="B232" t="inlineStr">
        <is>
          <t>DS99.E52 E45 1996</t>
        </is>
      </c>
      <c r="C232" t="inlineStr">
        <is>
          <t>0                      DS 0099000E  52                 E  45          1996</t>
        </is>
      </c>
      <c r="D232" t="inlineStr">
        <is>
          <t>Emar : the history, religion, and culture of a Syrian town in the late Bronze Age / edited by Mark W. Chavalas.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L232" t="inlineStr">
        <is>
          <t>Bethesda, Md. : CDL Press, c1996.</t>
        </is>
      </c>
      <c r="M232" t="inlineStr">
        <is>
          <t>1996</t>
        </is>
      </c>
      <c r="O232" t="inlineStr">
        <is>
          <t>eng</t>
        </is>
      </c>
      <c r="P232" t="inlineStr">
        <is>
          <t>mdu</t>
        </is>
      </c>
      <c r="R232" t="inlineStr">
        <is>
          <t xml:space="preserve">DS </t>
        </is>
      </c>
      <c r="S232" t="n">
        <v>2</v>
      </c>
      <c r="T232" t="n">
        <v>2</v>
      </c>
      <c r="U232" t="inlineStr">
        <is>
          <t>2007-04-10</t>
        </is>
      </c>
      <c r="V232" t="inlineStr">
        <is>
          <t>2007-04-10</t>
        </is>
      </c>
      <c r="W232" t="inlineStr">
        <is>
          <t>1997-06-05</t>
        </is>
      </c>
      <c r="X232" t="inlineStr">
        <is>
          <t>1997-06-05</t>
        </is>
      </c>
      <c r="Y232" t="n">
        <v>158</v>
      </c>
      <c r="Z232" t="n">
        <v>109</v>
      </c>
      <c r="AA232" t="n">
        <v>109</v>
      </c>
      <c r="AB232" t="n">
        <v>1</v>
      </c>
      <c r="AC232" t="n">
        <v>1</v>
      </c>
      <c r="AD232" t="n">
        <v>5</v>
      </c>
      <c r="AE232" t="n">
        <v>5</v>
      </c>
      <c r="AF232" t="n">
        <v>1</v>
      </c>
      <c r="AG232" t="n">
        <v>1</v>
      </c>
      <c r="AH232" t="n">
        <v>1</v>
      </c>
      <c r="AI232" t="n">
        <v>1</v>
      </c>
      <c r="AJ232" t="n">
        <v>4</v>
      </c>
      <c r="AK232" t="n">
        <v>4</v>
      </c>
      <c r="AL232" t="n">
        <v>0</v>
      </c>
      <c r="AM232" t="n">
        <v>0</v>
      </c>
      <c r="AN232" t="n">
        <v>0</v>
      </c>
      <c r="AO232" t="n">
        <v>0</v>
      </c>
      <c r="AP232" t="inlineStr">
        <is>
          <t>No</t>
        </is>
      </c>
      <c r="AQ232" t="inlineStr">
        <is>
          <t>No</t>
        </is>
      </c>
      <c r="AS232">
        <f>HYPERLINK("https://creighton-primo.hosted.exlibrisgroup.com/primo-explore/search?tab=default_tab&amp;search_scope=EVERYTHING&amp;vid=01CRU&amp;lang=en_US&amp;offset=0&amp;query=any,contains,991002612669702656","Catalog Record")</f>
        <v/>
      </c>
      <c r="AT232">
        <f>HYPERLINK("http://www.worldcat.org/oclc/34244364","WorldCat Record")</f>
        <v/>
      </c>
      <c r="AU232" t="inlineStr">
        <is>
          <t>890104135:eng</t>
        </is>
      </c>
      <c r="AV232" t="inlineStr">
        <is>
          <t>34244364</t>
        </is>
      </c>
      <c r="AW232" t="inlineStr">
        <is>
          <t>991002612669702656</t>
        </is>
      </c>
      <c r="AX232" t="inlineStr">
        <is>
          <t>991002612669702656</t>
        </is>
      </c>
      <c r="AY232" t="inlineStr">
        <is>
          <t>2272152220002656</t>
        </is>
      </c>
      <c r="AZ232" t="inlineStr">
        <is>
          <t>BOOK</t>
        </is>
      </c>
      <c r="BB232" t="inlineStr">
        <is>
          <t>9781883053185</t>
        </is>
      </c>
      <c r="BC232" t="inlineStr">
        <is>
          <t>32285002614567</t>
        </is>
      </c>
      <c r="BD232" t="inlineStr">
        <is>
          <t>893773807</t>
        </is>
      </c>
      <c r="BE232" t="inlineStr">
        <is>
          <t>Simkins</t>
        </is>
      </c>
    </row>
    <row r="233">
      <c r="A233" t="inlineStr">
        <is>
          <t>No</t>
        </is>
      </c>
      <c r="B233" t="inlineStr">
        <is>
          <t>D52 .M6 1969</t>
        </is>
      </c>
      <c r="C233" t="inlineStr">
        <is>
          <t>0                      D  0052000M  6           1969</t>
        </is>
      </c>
      <c r="D233" t="inlineStr">
        <is>
          <t>Quarto contributo alla storia degli studi classici e del mondo antico / Arnaldo Momigliano.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Momigliano, Arnaldo compiler.</t>
        </is>
      </c>
      <c r="L233" t="inlineStr">
        <is>
          <t>Roma : Edizioni di storia e letteratura, 1969.</t>
        </is>
      </c>
      <c r="M233" t="inlineStr">
        <is>
          <t>1969</t>
        </is>
      </c>
      <c r="O233" t="inlineStr">
        <is>
          <t>ita</t>
        </is>
      </c>
      <c r="P233" t="inlineStr">
        <is>
          <t xml:space="preserve">it </t>
        </is>
      </c>
      <c r="Q233" t="inlineStr">
        <is>
          <t>Storia e letteratura ; 115</t>
        </is>
      </c>
      <c r="R233" t="inlineStr">
        <is>
          <t xml:space="preserve">D  </t>
        </is>
      </c>
      <c r="S233" t="n">
        <v>1</v>
      </c>
      <c r="T233" t="n">
        <v>1</v>
      </c>
      <c r="U233" t="inlineStr">
        <is>
          <t>2003-12-18</t>
        </is>
      </c>
      <c r="V233" t="inlineStr">
        <is>
          <t>2003-12-18</t>
        </is>
      </c>
      <c r="W233" t="inlineStr">
        <is>
          <t>2003-12-18</t>
        </is>
      </c>
      <c r="X233" t="inlineStr">
        <is>
          <t>2003-12-18</t>
        </is>
      </c>
      <c r="Y233" t="n">
        <v>153</v>
      </c>
      <c r="Z233" t="n">
        <v>86</v>
      </c>
      <c r="AA233" t="n">
        <v>92</v>
      </c>
      <c r="AB233" t="n">
        <v>1</v>
      </c>
      <c r="AC233" t="n">
        <v>1</v>
      </c>
      <c r="AD233" t="n">
        <v>7</v>
      </c>
      <c r="AE233" t="n">
        <v>7</v>
      </c>
      <c r="AF233" t="n">
        <v>1</v>
      </c>
      <c r="AG233" t="n">
        <v>1</v>
      </c>
      <c r="AH233" t="n">
        <v>3</v>
      </c>
      <c r="AI233" t="n">
        <v>3</v>
      </c>
      <c r="AJ233" t="n">
        <v>6</v>
      </c>
      <c r="AK233" t="n">
        <v>6</v>
      </c>
      <c r="AL233" t="n">
        <v>0</v>
      </c>
      <c r="AM233" t="n">
        <v>0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HYPERLINK("http://catalog.hathitrust.org/Record/000478953","HathiTrust Record")</f>
        <v/>
      </c>
      <c r="AS233">
        <f>HYPERLINK("https://creighton-primo.hosted.exlibrisgroup.com/primo-explore/search?tab=default_tab&amp;search_scope=EVERYTHING&amp;vid=01CRU&amp;lang=en_US&amp;offset=0&amp;query=any,contains,991004182719702656","Catalog Record")</f>
        <v/>
      </c>
      <c r="AT233">
        <f>HYPERLINK("http://www.worldcat.org/oclc/2100589","WorldCat Record")</f>
        <v/>
      </c>
      <c r="AU233" t="inlineStr">
        <is>
          <t>3768626639:ita</t>
        </is>
      </c>
      <c r="AV233" t="inlineStr">
        <is>
          <t>2100589</t>
        </is>
      </c>
      <c r="AW233" t="inlineStr">
        <is>
          <t>991004182719702656</t>
        </is>
      </c>
      <c r="AX233" t="inlineStr">
        <is>
          <t>991004182719702656</t>
        </is>
      </c>
      <c r="AY233" t="inlineStr">
        <is>
          <t>2272502400002656</t>
        </is>
      </c>
      <c r="AZ233" t="inlineStr">
        <is>
          <t>BOOK</t>
        </is>
      </c>
      <c r="BC233" t="inlineStr">
        <is>
          <t>32285004848288</t>
        </is>
      </c>
      <c r="BD233" t="inlineStr">
        <is>
          <t>893806767</t>
        </is>
      </c>
      <c r="BE233" t="inlineStr">
        <is>
          <t>ZB Smith</t>
        </is>
      </c>
    </row>
    <row r="234">
      <c r="A234" t="inlineStr">
        <is>
          <t>No</t>
        </is>
      </c>
      <c r="B234" t="inlineStr">
        <is>
          <t>D56 .B34 1995</t>
        </is>
      </c>
      <c r="C234" t="inlineStr">
        <is>
          <t>0                      D  0056000B  34          1995</t>
        </is>
      </c>
      <c r="D234" t="inlineStr">
        <is>
          <t>Reading papyri, writing ancient history / Roger S. Bagnall.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Bagnall, Roger S.</t>
        </is>
      </c>
      <c r="L234" t="inlineStr">
        <is>
          <t>London ; New York : Routledge, 1995.</t>
        </is>
      </c>
      <c r="M234" t="inlineStr">
        <is>
          <t>1995</t>
        </is>
      </c>
      <c r="O234" t="inlineStr">
        <is>
          <t>eng</t>
        </is>
      </c>
      <c r="P234" t="inlineStr">
        <is>
          <t>enk</t>
        </is>
      </c>
      <c r="Q234" t="inlineStr">
        <is>
          <t>Approaching the ancient world</t>
        </is>
      </c>
      <c r="R234" t="inlineStr">
        <is>
          <t xml:space="preserve">D  </t>
        </is>
      </c>
      <c r="S234" t="n">
        <v>4</v>
      </c>
      <c r="T234" t="n">
        <v>4</v>
      </c>
      <c r="U234" t="inlineStr">
        <is>
          <t>2003-09-15</t>
        </is>
      </c>
      <c r="V234" t="inlineStr">
        <is>
          <t>2003-09-15</t>
        </is>
      </c>
      <c r="W234" t="inlineStr">
        <is>
          <t>1997-05-29</t>
        </is>
      </c>
      <c r="X234" t="inlineStr">
        <is>
          <t>1997-05-29</t>
        </is>
      </c>
      <c r="Y234" t="n">
        <v>429</v>
      </c>
      <c r="Z234" t="n">
        <v>289</v>
      </c>
      <c r="AA234" t="n">
        <v>823</v>
      </c>
      <c r="AB234" t="n">
        <v>2</v>
      </c>
      <c r="AC234" t="n">
        <v>5</v>
      </c>
      <c r="AD234" t="n">
        <v>20</v>
      </c>
      <c r="AE234" t="n">
        <v>33</v>
      </c>
      <c r="AF234" t="n">
        <v>8</v>
      </c>
      <c r="AG234" t="n">
        <v>15</v>
      </c>
      <c r="AH234" t="n">
        <v>6</v>
      </c>
      <c r="AI234" t="n">
        <v>8</v>
      </c>
      <c r="AJ234" t="n">
        <v>11</v>
      </c>
      <c r="AK234" t="n">
        <v>16</v>
      </c>
      <c r="AL234" t="n">
        <v>1</v>
      </c>
      <c r="AM234" t="n">
        <v>4</v>
      </c>
      <c r="AN234" t="n">
        <v>0</v>
      </c>
      <c r="AO234" t="n">
        <v>0</v>
      </c>
      <c r="AP234" t="inlineStr">
        <is>
          <t>No</t>
        </is>
      </c>
      <c r="AQ234" t="inlineStr">
        <is>
          <t>No</t>
        </is>
      </c>
      <c r="AS234">
        <f>HYPERLINK("https://creighton-primo.hosted.exlibrisgroup.com/primo-explore/search?tab=default_tab&amp;search_scope=EVERYTHING&amp;vid=01CRU&amp;lang=en_US&amp;offset=0&amp;query=any,contains,991002461779702656","Catalog Record")</f>
        <v/>
      </c>
      <c r="AT234">
        <f>HYPERLINK("http://www.worldcat.org/oclc/32085761","WorldCat Record")</f>
        <v/>
      </c>
      <c r="AU234" t="inlineStr">
        <is>
          <t>15526828:eng</t>
        </is>
      </c>
      <c r="AV234" t="inlineStr">
        <is>
          <t>32085761</t>
        </is>
      </c>
      <c r="AW234" t="inlineStr">
        <is>
          <t>991002461779702656</t>
        </is>
      </c>
      <c r="AX234" t="inlineStr">
        <is>
          <t>991002461779702656</t>
        </is>
      </c>
      <c r="AY234" t="inlineStr">
        <is>
          <t>2272326490002656</t>
        </is>
      </c>
      <c r="AZ234" t="inlineStr">
        <is>
          <t>BOOK</t>
        </is>
      </c>
      <c r="BB234" t="inlineStr">
        <is>
          <t>9780415093767</t>
        </is>
      </c>
      <c r="BC234" t="inlineStr">
        <is>
          <t>32285002612454</t>
        </is>
      </c>
      <c r="BD234" t="inlineStr">
        <is>
          <t>893710319</t>
        </is>
      </c>
      <c r="BE234" t="inlineStr">
        <is>
          <t>ZB Smith</t>
        </is>
      </c>
    </row>
    <row r="235">
      <c r="A235" t="inlineStr">
        <is>
          <t>No</t>
        </is>
      </c>
      <c r="B235" t="inlineStr">
        <is>
          <t>E111 .K65 1991</t>
        </is>
      </c>
      <c r="C235" t="inlineStr">
        <is>
          <t>0                      E  0111000K  65          1991</t>
        </is>
      </c>
      <c r="D235" t="inlineStr">
        <is>
          <t>Columbus : his enterprise : exploding the myth / by Hans Koning ; including, Columbus in the classroom, by Bill Bigelow.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Koning, Hans.</t>
        </is>
      </c>
      <c r="L235" t="inlineStr">
        <is>
          <t>New York : Monthly Review Press, 1991.</t>
        </is>
      </c>
      <c r="M235" t="inlineStr">
        <is>
          <t>1991</t>
        </is>
      </c>
      <c r="O235" t="inlineStr">
        <is>
          <t>eng</t>
        </is>
      </c>
      <c r="P235" t="inlineStr">
        <is>
          <t>nyu</t>
        </is>
      </c>
      <c r="R235" t="inlineStr">
        <is>
          <t xml:space="preserve">E  </t>
        </is>
      </c>
      <c r="S235" t="n">
        <v>24</v>
      </c>
      <c r="T235" t="n">
        <v>24</v>
      </c>
      <c r="U235" t="inlineStr">
        <is>
          <t>2003-03-18</t>
        </is>
      </c>
      <c r="V235" t="inlineStr">
        <is>
          <t>2003-03-18</t>
        </is>
      </c>
      <c r="W235" t="inlineStr">
        <is>
          <t>1991-06-13</t>
        </is>
      </c>
      <c r="X235" t="inlineStr">
        <is>
          <t>1991-06-13</t>
        </is>
      </c>
      <c r="Y235" t="n">
        <v>595</v>
      </c>
      <c r="Z235" t="n">
        <v>548</v>
      </c>
      <c r="AA235" t="n">
        <v>817</v>
      </c>
      <c r="AB235" t="n">
        <v>7</v>
      </c>
      <c r="AC235" t="n">
        <v>10</v>
      </c>
      <c r="AD235" t="n">
        <v>22</v>
      </c>
      <c r="AE235" t="n">
        <v>38</v>
      </c>
      <c r="AF235" t="n">
        <v>8</v>
      </c>
      <c r="AG235" t="n">
        <v>14</v>
      </c>
      <c r="AH235" t="n">
        <v>6</v>
      </c>
      <c r="AI235" t="n">
        <v>8</v>
      </c>
      <c r="AJ235" t="n">
        <v>7</v>
      </c>
      <c r="AK235" t="n">
        <v>14</v>
      </c>
      <c r="AL235" t="n">
        <v>5</v>
      </c>
      <c r="AM235" t="n">
        <v>8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HYPERLINK("http://catalog.hathitrust.org/Record/008309938","HathiTrust Record")</f>
        <v/>
      </c>
      <c r="AS235">
        <f>HYPERLINK("https://creighton-primo.hosted.exlibrisgroup.com/primo-explore/search?tab=default_tab&amp;search_scope=EVERYTHING&amp;vid=01CRU&amp;lang=en_US&amp;offset=0&amp;query=any,contains,991001823609702656","Catalog Record")</f>
        <v/>
      </c>
      <c r="AT235">
        <f>HYPERLINK("http://www.worldcat.org/oclc/22908283","WorldCat Record")</f>
        <v/>
      </c>
      <c r="AU235" t="inlineStr">
        <is>
          <t>836920475:eng</t>
        </is>
      </c>
      <c r="AV235" t="inlineStr">
        <is>
          <t>22908283</t>
        </is>
      </c>
      <c r="AW235" t="inlineStr">
        <is>
          <t>991001823609702656</t>
        </is>
      </c>
      <c r="AX235" t="inlineStr">
        <is>
          <t>991001823609702656</t>
        </is>
      </c>
      <c r="AY235" t="inlineStr">
        <is>
          <t>2263409300002656</t>
        </is>
      </c>
      <c r="AZ235" t="inlineStr">
        <is>
          <t>BOOK</t>
        </is>
      </c>
      <c r="BB235" t="inlineStr">
        <is>
          <t>9780853458258</t>
        </is>
      </c>
      <c r="BC235" t="inlineStr">
        <is>
          <t>32285000655794</t>
        </is>
      </c>
      <c r="BD235" t="inlineStr">
        <is>
          <t>893238363</t>
        </is>
      </c>
      <c r="BE235" t="inlineStr">
        <is>
          <t>Wishart</t>
        </is>
      </c>
    </row>
    <row r="236">
      <c r="A236" t="inlineStr">
        <is>
          <t>No</t>
        </is>
      </c>
      <c r="B236" t="inlineStr">
        <is>
          <t>E161 .C85 2002</t>
        </is>
      </c>
      <c r="C236" t="inlineStr">
        <is>
          <t>0                      E  0161000C  85          2002</t>
        </is>
      </c>
      <c r="D236" t="inlineStr">
        <is>
          <t>The art of democracy : a concise history of popular culture in the United States / by Jim Cullen.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Yes</t>
        </is>
      </c>
      <c r="J236" t="inlineStr">
        <is>
          <t>0</t>
        </is>
      </c>
      <c r="K236" t="inlineStr">
        <is>
          <t>Cullen, Jim, 1962-</t>
        </is>
      </c>
      <c r="L236" t="inlineStr">
        <is>
          <t>New York : Monthly Review Press, 2002.</t>
        </is>
      </c>
      <c r="M236" t="inlineStr">
        <is>
          <t>2002</t>
        </is>
      </c>
      <c r="N236" t="inlineStr">
        <is>
          <t>2nd ed.</t>
        </is>
      </c>
      <c r="O236" t="inlineStr">
        <is>
          <t>eng</t>
        </is>
      </c>
      <c r="P236" t="inlineStr">
        <is>
          <t>nyu</t>
        </is>
      </c>
      <c r="R236" t="inlineStr">
        <is>
          <t xml:space="preserve">E  </t>
        </is>
      </c>
      <c r="S236" t="n">
        <v>3</v>
      </c>
      <c r="T236" t="n">
        <v>3</v>
      </c>
      <c r="U236" t="inlineStr">
        <is>
          <t>2004-06-28</t>
        </is>
      </c>
      <c r="V236" t="inlineStr">
        <is>
          <t>2004-06-28</t>
        </is>
      </c>
      <c r="W236" t="inlineStr">
        <is>
          <t>2003-02-06</t>
        </is>
      </c>
      <c r="X236" t="inlineStr">
        <is>
          <t>2003-02-06</t>
        </is>
      </c>
      <c r="Y236" t="n">
        <v>232</v>
      </c>
      <c r="Z236" t="n">
        <v>190</v>
      </c>
      <c r="AA236" t="n">
        <v>1026</v>
      </c>
      <c r="AB236" t="n">
        <v>3</v>
      </c>
      <c r="AC236" t="n">
        <v>7</v>
      </c>
      <c r="AD236" t="n">
        <v>8</v>
      </c>
      <c r="AE236" t="n">
        <v>39</v>
      </c>
      <c r="AF236" t="n">
        <v>2</v>
      </c>
      <c r="AG236" t="n">
        <v>14</v>
      </c>
      <c r="AH236" t="n">
        <v>3</v>
      </c>
      <c r="AI236" t="n">
        <v>9</v>
      </c>
      <c r="AJ236" t="n">
        <v>4</v>
      </c>
      <c r="AK236" t="n">
        <v>16</v>
      </c>
      <c r="AL236" t="n">
        <v>2</v>
      </c>
      <c r="AM236" t="n">
        <v>6</v>
      </c>
      <c r="AN236" t="n">
        <v>0</v>
      </c>
      <c r="AO236" t="n">
        <v>1</v>
      </c>
      <c r="AP236" t="inlineStr">
        <is>
          <t>No</t>
        </is>
      </c>
      <c r="AQ236" t="inlineStr">
        <is>
          <t>No</t>
        </is>
      </c>
      <c r="AS236">
        <f>HYPERLINK("https://creighton-primo.hosted.exlibrisgroup.com/primo-explore/search?tab=default_tab&amp;search_scope=EVERYTHING&amp;vid=01CRU&amp;lang=en_US&amp;offset=0&amp;query=any,contains,991003968939702656","Catalog Record")</f>
        <v/>
      </c>
      <c r="AT236">
        <f>HYPERLINK("http://www.worldcat.org/oclc/49495019","WorldCat Record")</f>
        <v/>
      </c>
      <c r="AU236" t="inlineStr">
        <is>
          <t>1057503:eng</t>
        </is>
      </c>
      <c r="AV236" t="inlineStr">
        <is>
          <t>49495019</t>
        </is>
      </c>
      <c r="AW236" t="inlineStr">
        <is>
          <t>991003968939702656</t>
        </is>
      </c>
      <c r="AX236" t="inlineStr">
        <is>
          <t>991003968939702656</t>
        </is>
      </c>
      <c r="AY236" t="inlineStr">
        <is>
          <t>2266564950002656</t>
        </is>
      </c>
      <c r="AZ236" t="inlineStr">
        <is>
          <t>BOOK</t>
        </is>
      </c>
      <c r="BB236" t="inlineStr">
        <is>
          <t>9781583670644</t>
        </is>
      </c>
      <c r="BC236" t="inlineStr">
        <is>
          <t>32285004697933</t>
        </is>
      </c>
      <c r="BD236" t="inlineStr">
        <is>
          <t>893693370</t>
        </is>
      </c>
      <c r="BE236" t="inlineStr">
        <is>
          <t>Wishart</t>
        </is>
      </c>
    </row>
    <row r="237">
      <c r="A237" t="inlineStr">
        <is>
          <t>No</t>
        </is>
      </c>
      <c r="B237" t="inlineStr">
        <is>
          <t>E183.8.M628 A2413 2002</t>
        </is>
      </c>
      <c r="C237" t="inlineStr">
        <is>
          <t>0                      E  0183800M  628                A  2413        2002</t>
        </is>
      </c>
      <c r="D237" t="inlineStr">
        <is>
          <t>The clash of barbarisms : September 11 and the making of the new world disorder / Gilbert Achcar ; translated by Peter Drucker.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Achcar, Gilbert.</t>
        </is>
      </c>
      <c r="L237" t="inlineStr">
        <is>
          <t>New York : Monthly Review Press, c2002.</t>
        </is>
      </c>
      <c r="M237" t="inlineStr">
        <is>
          <t>2002</t>
        </is>
      </c>
      <c r="O237" t="inlineStr">
        <is>
          <t>eng</t>
        </is>
      </c>
      <c r="P237" t="inlineStr">
        <is>
          <t>nyu</t>
        </is>
      </c>
      <c r="R237" t="inlineStr">
        <is>
          <t xml:space="preserve">E  </t>
        </is>
      </c>
      <c r="S237" t="n">
        <v>6</v>
      </c>
      <c r="T237" t="n">
        <v>6</v>
      </c>
      <c r="U237" t="inlineStr">
        <is>
          <t>2005-03-20</t>
        </is>
      </c>
      <c r="V237" t="inlineStr">
        <is>
          <t>2005-03-20</t>
        </is>
      </c>
      <c r="W237" t="inlineStr">
        <is>
          <t>2003-02-06</t>
        </is>
      </c>
      <c r="X237" t="inlineStr">
        <is>
          <t>2003-02-06</t>
        </is>
      </c>
      <c r="Y237" t="n">
        <v>348</v>
      </c>
      <c r="Z237" t="n">
        <v>288</v>
      </c>
      <c r="AA237" t="n">
        <v>350</v>
      </c>
      <c r="AB237" t="n">
        <v>2</v>
      </c>
      <c r="AC237" t="n">
        <v>2</v>
      </c>
      <c r="AD237" t="n">
        <v>14</v>
      </c>
      <c r="AE237" t="n">
        <v>15</v>
      </c>
      <c r="AF237" t="n">
        <v>6</v>
      </c>
      <c r="AG237" t="n">
        <v>6</v>
      </c>
      <c r="AH237" t="n">
        <v>4</v>
      </c>
      <c r="AI237" t="n">
        <v>4</v>
      </c>
      <c r="AJ237" t="n">
        <v>9</v>
      </c>
      <c r="AK237" t="n">
        <v>10</v>
      </c>
      <c r="AL237" t="n">
        <v>1</v>
      </c>
      <c r="AM237" t="n">
        <v>1</v>
      </c>
      <c r="AN237" t="n">
        <v>0</v>
      </c>
      <c r="AO237" t="n">
        <v>0</v>
      </c>
      <c r="AP237" t="inlineStr">
        <is>
          <t>No</t>
        </is>
      </c>
      <c r="AQ237" t="inlineStr">
        <is>
          <t>Yes</t>
        </is>
      </c>
      <c r="AR237">
        <f>HYPERLINK("http://catalog.hathitrust.org/Record/003836535","HathiTrust Record")</f>
        <v/>
      </c>
      <c r="AS237">
        <f>HYPERLINK("https://creighton-primo.hosted.exlibrisgroup.com/primo-explore/search?tab=default_tab&amp;search_scope=EVERYTHING&amp;vid=01CRU&amp;lang=en_US&amp;offset=0&amp;query=any,contains,991003977079702656","Catalog Record")</f>
        <v/>
      </c>
      <c r="AT237">
        <f>HYPERLINK("http://www.worldcat.org/oclc/50479201","WorldCat Record")</f>
        <v/>
      </c>
      <c r="AU237" t="inlineStr">
        <is>
          <t>945649:eng</t>
        </is>
      </c>
      <c r="AV237" t="inlineStr">
        <is>
          <t>50479201</t>
        </is>
      </c>
      <c r="AW237" t="inlineStr">
        <is>
          <t>991003977079702656</t>
        </is>
      </c>
      <c r="AX237" t="inlineStr">
        <is>
          <t>991003977079702656</t>
        </is>
      </c>
      <c r="AY237" t="inlineStr">
        <is>
          <t>2257710570002656</t>
        </is>
      </c>
      <c r="AZ237" t="inlineStr">
        <is>
          <t>BOOK</t>
        </is>
      </c>
      <c r="BB237" t="inlineStr">
        <is>
          <t>9781583670811</t>
        </is>
      </c>
      <c r="BC237" t="inlineStr">
        <is>
          <t>32285004697685</t>
        </is>
      </c>
      <c r="BD237" t="inlineStr">
        <is>
          <t>893531833</t>
        </is>
      </c>
      <c r="BE237" t="inlineStr">
        <is>
          <t>Wishart</t>
        </is>
      </c>
    </row>
    <row r="238">
      <c r="A238" t="inlineStr">
        <is>
          <t>No</t>
        </is>
      </c>
      <c r="B238" t="inlineStr">
        <is>
          <t>E469.8 .M374</t>
        </is>
      </c>
      <c r="C238" t="inlineStr">
        <is>
          <t>0                      E  0469800M  374</t>
        </is>
      </c>
      <c r="D238" t="inlineStr">
        <is>
          <t>The Civil War in the United States.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Marx, Karl, 1818-1883.</t>
        </is>
      </c>
      <c r="L238" t="inlineStr">
        <is>
          <t>New York : International Publishers, [1961]</t>
        </is>
      </c>
      <c r="M238" t="inlineStr">
        <is>
          <t>1961</t>
        </is>
      </c>
      <c r="N238" t="inlineStr">
        <is>
          <t>Centennial [i.e. 3d] ed.</t>
        </is>
      </c>
      <c r="O238" t="inlineStr">
        <is>
          <t>eng</t>
        </is>
      </c>
      <c r="P238" t="inlineStr">
        <is>
          <t xml:space="preserve">xx </t>
        </is>
      </c>
      <c r="R238" t="inlineStr">
        <is>
          <t xml:space="preserve">E  </t>
        </is>
      </c>
      <c r="S238" t="n">
        <v>2</v>
      </c>
      <c r="T238" t="n">
        <v>2</v>
      </c>
      <c r="U238" t="inlineStr">
        <is>
          <t>1998-07-22</t>
        </is>
      </c>
      <c r="V238" t="inlineStr">
        <is>
          <t>1998-07-22</t>
        </is>
      </c>
      <c r="W238" t="inlineStr">
        <is>
          <t>1990-03-21</t>
        </is>
      </c>
      <c r="X238" t="inlineStr">
        <is>
          <t>1990-03-21</t>
        </is>
      </c>
      <c r="Y238" t="n">
        <v>481</v>
      </c>
      <c r="Z238" t="n">
        <v>428</v>
      </c>
      <c r="AA238" t="n">
        <v>572</v>
      </c>
      <c r="AB238" t="n">
        <v>3</v>
      </c>
      <c r="AC238" t="n">
        <v>3</v>
      </c>
      <c r="AD238" t="n">
        <v>22</v>
      </c>
      <c r="AE238" t="n">
        <v>26</v>
      </c>
      <c r="AF238" t="n">
        <v>10</v>
      </c>
      <c r="AG238" t="n">
        <v>14</v>
      </c>
      <c r="AH238" t="n">
        <v>5</v>
      </c>
      <c r="AI238" t="n">
        <v>6</v>
      </c>
      <c r="AJ238" t="n">
        <v>9</v>
      </c>
      <c r="AK238" t="n">
        <v>11</v>
      </c>
      <c r="AL238" t="n">
        <v>2</v>
      </c>
      <c r="AM238" t="n">
        <v>2</v>
      </c>
      <c r="AN238" t="n">
        <v>0</v>
      </c>
      <c r="AO238" t="n">
        <v>0</v>
      </c>
      <c r="AP238" t="inlineStr">
        <is>
          <t>No</t>
        </is>
      </c>
      <c r="AQ238" t="inlineStr">
        <is>
          <t>No</t>
        </is>
      </c>
      <c r="AR238">
        <f>HYPERLINK("http://catalog.hathitrust.org/Record/000604340","HathiTrust Record")</f>
        <v/>
      </c>
      <c r="AS238">
        <f>HYPERLINK("https://creighton-primo.hosted.exlibrisgroup.com/primo-explore/search?tab=default_tab&amp;search_scope=EVERYTHING&amp;vid=01CRU&amp;lang=en_US&amp;offset=0&amp;query=any,contains,991002793599702656","Catalog Record")</f>
        <v/>
      </c>
      <c r="AT238">
        <f>HYPERLINK("http://www.worldcat.org/oclc/444477","WorldCat Record")</f>
        <v/>
      </c>
      <c r="AU238" t="inlineStr">
        <is>
          <t>197005407:eng</t>
        </is>
      </c>
      <c r="AV238" t="inlineStr">
        <is>
          <t>444477</t>
        </is>
      </c>
      <c r="AW238" t="inlineStr">
        <is>
          <t>991002793599702656</t>
        </is>
      </c>
      <c r="AX238" t="inlineStr">
        <is>
          <t>991002793599702656</t>
        </is>
      </c>
      <c r="AY238" t="inlineStr">
        <is>
          <t>2265123710002656</t>
        </is>
      </c>
      <c r="AZ238" t="inlineStr">
        <is>
          <t>BOOK</t>
        </is>
      </c>
      <c r="BC238" t="inlineStr">
        <is>
          <t>32285000091818</t>
        </is>
      </c>
      <c r="BD238" t="inlineStr">
        <is>
          <t>893524057</t>
        </is>
      </c>
      <c r="BE238" t="inlineStr">
        <is>
          <t>Wishart</t>
        </is>
      </c>
    </row>
    <row r="239">
      <c r="A239" t="inlineStr">
        <is>
          <t>No</t>
        </is>
      </c>
      <c r="B239" t="inlineStr">
        <is>
          <t>G286.M2 P543</t>
        </is>
      </c>
      <c r="C239" t="inlineStr">
        <is>
          <t>0                      G  0286000M  2                  P  543</t>
        </is>
      </c>
      <c r="D239" t="inlineStr">
        <is>
          <t>The voyage of Magellan; the journal of Antonio Pigafetta. A translation by Paula Spurlin Paige from the ed. in the William L. Clements Library, University of Michigan, Ann Arbor.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Pigafetta, Antonio, approximately 1480-approximately 1534.</t>
        </is>
      </c>
      <c r="L239" t="inlineStr">
        <is>
          <t>Englewood Cliffs, N.J., Prentice-Hall [1969]</t>
        </is>
      </c>
      <c r="M239" t="inlineStr">
        <is>
          <t>1969</t>
        </is>
      </c>
      <c r="O239" t="inlineStr">
        <is>
          <t>eng</t>
        </is>
      </c>
      <c r="P239" t="inlineStr">
        <is>
          <t>nju</t>
        </is>
      </c>
      <c r="R239" t="inlineStr">
        <is>
          <t xml:space="preserve">G  </t>
        </is>
      </c>
      <c r="S239" t="n">
        <v>1</v>
      </c>
      <c r="T239" t="n">
        <v>1</v>
      </c>
      <c r="U239" t="inlineStr">
        <is>
          <t>2002-11-04</t>
        </is>
      </c>
      <c r="V239" t="inlineStr">
        <is>
          <t>2002-11-04</t>
        </is>
      </c>
      <c r="W239" t="inlineStr">
        <is>
          <t>1997-05-21</t>
        </is>
      </c>
      <c r="X239" t="inlineStr">
        <is>
          <t>1997-05-21</t>
        </is>
      </c>
      <c r="Y239" t="n">
        <v>795</v>
      </c>
      <c r="Z239" t="n">
        <v>747</v>
      </c>
      <c r="AA239" t="n">
        <v>758</v>
      </c>
      <c r="AB239" t="n">
        <v>3</v>
      </c>
      <c r="AC239" t="n">
        <v>3</v>
      </c>
      <c r="AD239" t="n">
        <v>23</v>
      </c>
      <c r="AE239" t="n">
        <v>23</v>
      </c>
      <c r="AF239" t="n">
        <v>11</v>
      </c>
      <c r="AG239" t="n">
        <v>11</v>
      </c>
      <c r="AH239" t="n">
        <v>6</v>
      </c>
      <c r="AI239" t="n">
        <v>6</v>
      </c>
      <c r="AJ239" t="n">
        <v>11</v>
      </c>
      <c r="AK239" t="n">
        <v>11</v>
      </c>
      <c r="AL239" t="n">
        <v>2</v>
      </c>
      <c r="AM239" t="n">
        <v>2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HYPERLINK("http://catalog.hathitrust.org/Record/001270833","HathiTrust Record")</f>
        <v/>
      </c>
      <c r="AS239">
        <f>HYPERLINK("https://creighton-primo.hosted.exlibrisgroup.com/primo-explore/search?tab=default_tab&amp;search_scope=EVERYTHING&amp;vid=01CRU&amp;lang=en_US&amp;offset=0&amp;query=any,contains,991000121709702656","Catalog Record")</f>
        <v/>
      </c>
      <c r="AT239">
        <f>HYPERLINK("http://www.worldcat.org/oclc/50409","WorldCat Record")</f>
        <v/>
      </c>
      <c r="AU239" t="inlineStr">
        <is>
          <t>195025232:eng</t>
        </is>
      </c>
      <c r="AV239" t="inlineStr">
        <is>
          <t>50409</t>
        </is>
      </c>
      <c r="AW239" t="inlineStr">
        <is>
          <t>991000121709702656</t>
        </is>
      </c>
      <c r="AX239" t="inlineStr">
        <is>
          <t>991000121709702656</t>
        </is>
      </c>
      <c r="AY239" t="inlineStr">
        <is>
          <t>2256070730002656</t>
        </is>
      </c>
      <c r="AZ239" t="inlineStr">
        <is>
          <t>BOOK</t>
        </is>
      </c>
      <c r="BB239" t="inlineStr">
        <is>
          <t>9780139441738</t>
        </is>
      </c>
      <c r="BC239" t="inlineStr">
        <is>
          <t>32285002691300</t>
        </is>
      </c>
      <c r="BD239" t="inlineStr">
        <is>
          <t>893689449</t>
        </is>
      </c>
      <c r="BE239" t="inlineStr">
        <is>
          <t>Maria T Vanderboegh</t>
        </is>
      </c>
    </row>
    <row r="240">
      <c r="A240" t="inlineStr">
        <is>
          <t>No</t>
        </is>
      </c>
      <c r="B240" t="inlineStr">
        <is>
          <t>GN479.65 .O77 1996</t>
        </is>
      </c>
      <c r="C240" t="inlineStr">
        <is>
          <t>0                      GN 0479650O  77          1996</t>
        </is>
      </c>
      <c r="D240" t="inlineStr">
        <is>
          <t>Making gender : the politics and erotics of culture / Sherry B. Ortner.</t>
        </is>
      </c>
      <c r="F240" t="inlineStr">
        <is>
          <t>No</t>
        </is>
      </c>
      <c r="G240" t="inlineStr">
        <is>
          <t>1</t>
        </is>
      </c>
      <c r="H240" t="inlineStr">
        <is>
          <t>Yes</t>
        </is>
      </c>
      <c r="I240" t="inlineStr">
        <is>
          <t>No</t>
        </is>
      </c>
      <c r="J240" t="inlineStr">
        <is>
          <t>0</t>
        </is>
      </c>
      <c r="K240" t="inlineStr">
        <is>
          <t>Ortner, Sherry B., 1941-</t>
        </is>
      </c>
      <c r="L240" t="inlineStr">
        <is>
          <t>Boston : Beacon Press, c1996.</t>
        </is>
      </c>
      <c r="M240" t="inlineStr">
        <is>
          <t>1996</t>
        </is>
      </c>
      <c r="O240" t="inlineStr">
        <is>
          <t>eng</t>
        </is>
      </c>
      <c r="P240" t="inlineStr">
        <is>
          <t>mau</t>
        </is>
      </c>
      <c r="R240" t="inlineStr">
        <is>
          <t xml:space="preserve">GN </t>
        </is>
      </c>
      <c r="S240" t="n">
        <v>6</v>
      </c>
      <c r="T240" t="n">
        <v>6</v>
      </c>
      <c r="U240" t="inlineStr">
        <is>
          <t>2004-10-06</t>
        </is>
      </c>
      <c r="V240" t="inlineStr">
        <is>
          <t>2004-10-06</t>
        </is>
      </c>
      <c r="W240" t="inlineStr">
        <is>
          <t>1998-01-12</t>
        </is>
      </c>
      <c r="X240" t="inlineStr">
        <is>
          <t>1998-01-12</t>
        </is>
      </c>
      <c r="Y240" t="n">
        <v>654</v>
      </c>
      <c r="Z240" t="n">
        <v>523</v>
      </c>
      <c r="AA240" t="n">
        <v>763</v>
      </c>
      <c r="AB240" t="n">
        <v>4</v>
      </c>
      <c r="AC240" t="n">
        <v>4</v>
      </c>
      <c r="AD240" t="n">
        <v>27</v>
      </c>
      <c r="AE240" t="n">
        <v>28</v>
      </c>
      <c r="AF240" t="n">
        <v>9</v>
      </c>
      <c r="AG240" t="n">
        <v>10</v>
      </c>
      <c r="AH240" t="n">
        <v>6</v>
      </c>
      <c r="AI240" t="n">
        <v>6</v>
      </c>
      <c r="AJ240" t="n">
        <v>15</v>
      </c>
      <c r="AK240" t="n">
        <v>15</v>
      </c>
      <c r="AL240" t="n">
        <v>2</v>
      </c>
      <c r="AM240" t="n">
        <v>2</v>
      </c>
      <c r="AN240" t="n">
        <v>2</v>
      </c>
      <c r="AO240" t="n">
        <v>2</v>
      </c>
      <c r="AP240" t="inlineStr">
        <is>
          <t>No</t>
        </is>
      </c>
      <c r="AQ240" t="inlineStr">
        <is>
          <t>Yes</t>
        </is>
      </c>
      <c r="AR240">
        <f>HYPERLINK("http://catalog.hathitrust.org/Record/003106061","HathiTrust Record")</f>
        <v/>
      </c>
      <c r="AS240">
        <f>HYPERLINK("https://creighton-primo.hosted.exlibrisgroup.com/primo-explore/search?tab=default_tab&amp;search_scope=EVERYTHING&amp;vid=01CRU&amp;lang=en_US&amp;offset=0&amp;query=any,contains,991001670969702656","Catalog Record")</f>
        <v/>
      </c>
      <c r="AT240">
        <f>HYPERLINK("http://www.worldcat.org/oclc/34355815","WorldCat Record")</f>
        <v/>
      </c>
      <c r="AU240" t="inlineStr">
        <is>
          <t>37810190:eng</t>
        </is>
      </c>
      <c r="AV240" t="inlineStr">
        <is>
          <t>34355815</t>
        </is>
      </c>
      <c r="AW240" t="inlineStr">
        <is>
          <t>991001670969702656</t>
        </is>
      </c>
      <c r="AX240" t="inlineStr">
        <is>
          <t>991001670969702656</t>
        </is>
      </c>
      <c r="AY240" t="inlineStr">
        <is>
          <t>2266509990002656</t>
        </is>
      </c>
      <c r="AZ240" t="inlineStr">
        <is>
          <t>BOOK</t>
        </is>
      </c>
      <c r="BB240" t="inlineStr">
        <is>
          <t>9780807046326</t>
        </is>
      </c>
      <c r="BC240" t="inlineStr">
        <is>
          <t>32285003282042</t>
        </is>
      </c>
      <c r="BD240" t="inlineStr">
        <is>
          <t>893340599</t>
        </is>
      </c>
      <c r="BE240" t="inlineStr">
        <is>
          <t>Wishart</t>
        </is>
      </c>
    </row>
    <row r="241">
      <c r="A241" t="inlineStr">
        <is>
          <t>No</t>
        </is>
      </c>
      <c r="B241" t="inlineStr">
        <is>
          <t>GN479.7 .L4</t>
        </is>
      </c>
      <c r="C241" t="inlineStr">
        <is>
          <t>0                      GN 0479700L  4</t>
        </is>
      </c>
      <c r="D241" t="inlineStr">
        <is>
          <t>Myths of male dominance : collected papers on women cross culturally / by Eleanor Burke Leacock.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Leacock, Eleanor Burke, 1922-1987.</t>
        </is>
      </c>
      <c r="L241" t="inlineStr">
        <is>
          <t>New York : Monthly Review Press, 1981.</t>
        </is>
      </c>
      <c r="M241" t="inlineStr">
        <is>
          <t>1980</t>
        </is>
      </c>
      <c r="O241" t="inlineStr">
        <is>
          <t>eng</t>
        </is>
      </c>
      <c r="P241" t="inlineStr">
        <is>
          <t>nyu</t>
        </is>
      </c>
      <c r="R241" t="inlineStr">
        <is>
          <t xml:space="preserve">GN </t>
        </is>
      </c>
      <c r="S241" t="n">
        <v>3</v>
      </c>
      <c r="T241" t="n">
        <v>3</v>
      </c>
      <c r="U241" t="inlineStr">
        <is>
          <t>1998-03-28</t>
        </is>
      </c>
      <c r="V241" t="inlineStr">
        <is>
          <t>1998-03-28</t>
        </is>
      </c>
      <c r="W241" t="inlineStr">
        <is>
          <t>1990-09-26</t>
        </is>
      </c>
      <c r="X241" t="inlineStr">
        <is>
          <t>1990-09-26</t>
        </is>
      </c>
      <c r="Y241" t="n">
        <v>771</v>
      </c>
      <c r="Z241" t="n">
        <v>623</v>
      </c>
      <c r="AA241" t="n">
        <v>648</v>
      </c>
      <c r="AB241" t="n">
        <v>3</v>
      </c>
      <c r="AC241" t="n">
        <v>3</v>
      </c>
      <c r="AD241" t="n">
        <v>34</v>
      </c>
      <c r="AE241" t="n">
        <v>35</v>
      </c>
      <c r="AF241" t="n">
        <v>16</v>
      </c>
      <c r="AG241" t="n">
        <v>16</v>
      </c>
      <c r="AH241" t="n">
        <v>8</v>
      </c>
      <c r="AI241" t="n">
        <v>9</v>
      </c>
      <c r="AJ241" t="n">
        <v>18</v>
      </c>
      <c r="AK241" t="n">
        <v>18</v>
      </c>
      <c r="AL241" t="n">
        <v>2</v>
      </c>
      <c r="AM241" t="n">
        <v>2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HYPERLINK("http://catalog.hathitrust.org/Record/000169857","HathiTrust Record")</f>
        <v/>
      </c>
      <c r="AS241">
        <f>HYPERLINK("https://creighton-primo.hosted.exlibrisgroup.com/primo-explore/search?tab=default_tab&amp;search_scope=EVERYTHING&amp;vid=01CRU&amp;lang=en_US&amp;offset=0&amp;query=any,contains,991005034179702656","Catalog Record")</f>
        <v/>
      </c>
      <c r="AT241">
        <f>HYPERLINK("http://www.worldcat.org/oclc/6737207","WorldCat Record")</f>
        <v/>
      </c>
      <c r="AU241" t="inlineStr">
        <is>
          <t>510219:eng</t>
        </is>
      </c>
      <c r="AV241" t="inlineStr">
        <is>
          <t>6737207</t>
        </is>
      </c>
      <c r="AW241" t="inlineStr">
        <is>
          <t>991005034179702656</t>
        </is>
      </c>
      <c r="AX241" t="inlineStr">
        <is>
          <t>991005034179702656</t>
        </is>
      </c>
      <c r="AY241" t="inlineStr">
        <is>
          <t>2260141550002656</t>
        </is>
      </c>
      <c r="AZ241" t="inlineStr">
        <is>
          <t>BOOK</t>
        </is>
      </c>
      <c r="BC241" t="inlineStr">
        <is>
          <t>32285000316538</t>
        </is>
      </c>
      <c r="BD241" t="inlineStr">
        <is>
          <t>893501219</t>
        </is>
      </c>
      <c r="BE241" t="inlineStr">
        <is>
          <t>Wishart</t>
        </is>
      </c>
    </row>
    <row r="242">
      <c r="A242" t="inlineStr">
        <is>
          <t>No</t>
        </is>
      </c>
      <c r="B242" t="inlineStr">
        <is>
          <t>HB71 .B659</t>
        </is>
      </c>
      <c r="C242" t="inlineStr">
        <is>
          <t>0                      HB 0071000B  659</t>
        </is>
      </c>
      <c r="D242" t="inlineStr">
        <is>
          <t>Evolutionary economics / by Kenneth E. Boulding.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Boulding, Kenneth E. (Kenneth Ewart), 1910-1993.</t>
        </is>
      </c>
      <c r="L242" t="inlineStr">
        <is>
          <t>Beverly Hills, Calif. : Sage Publications, c1981.</t>
        </is>
      </c>
      <c r="M242" t="inlineStr">
        <is>
          <t>1981</t>
        </is>
      </c>
      <c r="O242" t="inlineStr">
        <is>
          <t>eng</t>
        </is>
      </c>
      <c r="P242" t="inlineStr">
        <is>
          <t>cau</t>
        </is>
      </c>
      <c r="R242" t="inlineStr">
        <is>
          <t xml:space="preserve">HB </t>
        </is>
      </c>
      <c r="S242" t="n">
        <v>1</v>
      </c>
      <c r="T242" t="n">
        <v>1</v>
      </c>
      <c r="U242" t="inlineStr">
        <is>
          <t>2003-10-04</t>
        </is>
      </c>
      <c r="V242" t="inlineStr">
        <is>
          <t>2003-10-04</t>
        </is>
      </c>
      <c r="W242" t="inlineStr">
        <is>
          <t>1992-02-19</t>
        </is>
      </c>
      <c r="X242" t="inlineStr">
        <is>
          <t>1992-02-19</t>
        </is>
      </c>
      <c r="Y242" t="n">
        <v>529</v>
      </c>
      <c r="Z242" t="n">
        <v>374</v>
      </c>
      <c r="AA242" t="n">
        <v>381</v>
      </c>
      <c r="AB242" t="n">
        <v>3</v>
      </c>
      <c r="AC242" t="n">
        <v>3</v>
      </c>
      <c r="AD242" t="n">
        <v>16</v>
      </c>
      <c r="AE242" t="n">
        <v>16</v>
      </c>
      <c r="AF242" t="n">
        <v>2</v>
      </c>
      <c r="AG242" t="n">
        <v>2</v>
      </c>
      <c r="AH242" t="n">
        <v>6</v>
      </c>
      <c r="AI242" t="n">
        <v>6</v>
      </c>
      <c r="AJ242" t="n">
        <v>10</v>
      </c>
      <c r="AK242" t="n">
        <v>10</v>
      </c>
      <c r="AL242" t="n">
        <v>2</v>
      </c>
      <c r="AM242" t="n">
        <v>2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HYPERLINK("http://catalog.hathitrust.org/Record/000140949","HathiTrust Record")</f>
        <v/>
      </c>
      <c r="AS242">
        <f>HYPERLINK("https://creighton-primo.hosted.exlibrisgroup.com/primo-explore/search?tab=default_tab&amp;search_scope=EVERYTHING&amp;vid=01CRU&amp;lang=en_US&amp;offset=0&amp;query=any,contains,991005133699702656","Catalog Record")</f>
        <v/>
      </c>
      <c r="AT242">
        <f>HYPERLINK("http://www.worldcat.org/oclc/7574714","WorldCat Record")</f>
        <v/>
      </c>
      <c r="AU242" t="inlineStr">
        <is>
          <t>507352601:eng</t>
        </is>
      </c>
      <c r="AV242" t="inlineStr">
        <is>
          <t>7574714</t>
        </is>
      </c>
      <c r="AW242" t="inlineStr">
        <is>
          <t>991005133699702656</t>
        </is>
      </c>
      <c r="AX242" t="inlineStr">
        <is>
          <t>991005133699702656</t>
        </is>
      </c>
      <c r="AY242" t="inlineStr">
        <is>
          <t>2272715180002656</t>
        </is>
      </c>
      <c r="AZ242" t="inlineStr">
        <is>
          <t>BOOK</t>
        </is>
      </c>
      <c r="BB242" t="inlineStr">
        <is>
          <t>9780803916487</t>
        </is>
      </c>
      <c r="BC242" t="inlineStr">
        <is>
          <t>32285000985498</t>
        </is>
      </c>
      <c r="BD242" t="inlineStr">
        <is>
          <t>893783071</t>
        </is>
      </c>
      <c r="BE242" t="inlineStr">
        <is>
          <t>Wishart</t>
        </is>
      </c>
    </row>
    <row r="243">
      <c r="A243" t="inlineStr">
        <is>
          <t>No</t>
        </is>
      </c>
      <c r="B243" t="inlineStr">
        <is>
          <t>HM131 .N455 1989</t>
        </is>
      </c>
      <c r="C243" t="inlineStr">
        <is>
          <t>0                      HM 0131000N  455         1989</t>
        </is>
      </c>
      <c r="D243" t="inlineStr">
        <is>
          <t>Networks of power : organizational actors at the national, corporate, and community levels / Robert Perrucci and Harry R. Potter, editors.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L243" t="inlineStr">
        <is>
          <t>New York : A. de Gruyter, 1989.</t>
        </is>
      </c>
      <c r="M243" t="inlineStr">
        <is>
          <t>1989</t>
        </is>
      </c>
      <c r="O243" t="inlineStr">
        <is>
          <t>eng</t>
        </is>
      </c>
      <c r="P243" t="inlineStr">
        <is>
          <t>nyu</t>
        </is>
      </c>
      <c r="Q243" t="inlineStr">
        <is>
          <t>Social institutions and social change</t>
        </is>
      </c>
      <c r="R243" t="inlineStr">
        <is>
          <t xml:space="preserve">HM </t>
        </is>
      </c>
      <c r="S243" t="n">
        <v>1</v>
      </c>
      <c r="T243" t="n">
        <v>1</v>
      </c>
      <c r="U243" t="inlineStr">
        <is>
          <t>2000-09-29</t>
        </is>
      </c>
      <c r="V243" t="inlineStr">
        <is>
          <t>2000-09-29</t>
        </is>
      </c>
      <c r="W243" t="inlineStr">
        <is>
          <t>1990-01-14</t>
        </is>
      </c>
      <c r="X243" t="inlineStr">
        <is>
          <t>1990-01-14</t>
        </is>
      </c>
      <c r="Y243" t="n">
        <v>489</v>
      </c>
      <c r="Z243" t="n">
        <v>403</v>
      </c>
      <c r="AA243" t="n">
        <v>408</v>
      </c>
      <c r="AB243" t="n">
        <v>4</v>
      </c>
      <c r="AC243" t="n">
        <v>4</v>
      </c>
      <c r="AD243" t="n">
        <v>23</v>
      </c>
      <c r="AE243" t="n">
        <v>23</v>
      </c>
      <c r="AF243" t="n">
        <v>7</v>
      </c>
      <c r="AG243" t="n">
        <v>7</v>
      </c>
      <c r="AH243" t="n">
        <v>6</v>
      </c>
      <c r="AI243" t="n">
        <v>6</v>
      </c>
      <c r="AJ243" t="n">
        <v>11</v>
      </c>
      <c r="AK243" t="n">
        <v>11</v>
      </c>
      <c r="AL243" t="n">
        <v>3</v>
      </c>
      <c r="AM243" t="n">
        <v>3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HYPERLINK("https://creighton-primo.hosted.exlibrisgroup.com/primo-explore/search?tab=default_tab&amp;search_scope=EVERYTHING&amp;vid=01CRU&amp;lang=en_US&amp;offset=0&amp;query=any,contains,991001454049702656","Catalog Record")</f>
        <v/>
      </c>
      <c r="AT243">
        <f>HYPERLINK("http://www.worldcat.org/oclc/19353201","WorldCat Record")</f>
        <v/>
      </c>
      <c r="AU243" t="inlineStr">
        <is>
          <t>1024182587:eng</t>
        </is>
      </c>
      <c r="AV243" t="inlineStr">
        <is>
          <t>19353201</t>
        </is>
      </c>
      <c r="AW243" t="inlineStr">
        <is>
          <t>991001454049702656</t>
        </is>
      </c>
      <c r="AX243" t="inlineStr">
        <is>
          <t>991001454049702656</t>
        </is>
      </c>
      <c r="AY243" t="inlineStr">
        <is>
          <t>2270834550002656</t>
        </is>
      </c>
      <c r="AZ243" t="inlineStr">
        <is>
          <t>BOOK</t>
        </is>
      </c>
      <c r="BB243" t="inlineStr">
        <is>
          <t>9780202303437</t>
        </is>
      </c>
      <c r="BC243" t="inlineStr">
        <is>
          <t>32285000027382</t>
        </is>
      </c>
      <c r="BD243" t="inlineStr">
        <is>
          <t>893878891</t>
        </is>
      </c>
      <c r="BE243" t="inlineStr">
        <is>
          <t>Wishart</t>
        </is>
      </c>
    </row>
    <row r="244">
      <c r="A244" t="inlineStr">
        <is>
          <t>No</t>
        </is>
      </c>
      <c r="B244" t="inlineStr">
        <is>
          <t>HM131 .P3</t>
        </is>
      </c>
      <c r="C244" t="inlineStr">
        <is>
          <t>0                      HM 0131000P  3</t>
        </is>
      </c>
      <c r="D244" t="inlineStr">
        <is>
          <t>The alienation of modern man; an interpretation based on Marx and Tönnies.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Pappenheim, Fritz.</t>
        </is>
      </c>
      <c r="L244" t="inlineStr">
        <is>
          <t>New York, Monthly Review Press, 1959.</t>
        </is>
      </c>
      <c r="M244" t="inlineStr">
        <is>
          <t>1959</t>
        </is>
      </c>
      <c r="O244" t="inlineStr">
        <is>
          <t>eng</t>
        </is>
      </c>
      <c r="P244" t="inlineStr">
        <is>
          <t>nyu</t>
        </is>
      </c>
      <c r="R244" t="inlineStr">
        <is>
          <t xml:space="preserve">HM </t>
        </is>
      </c>
      <c r="S244" t="n">
        <v>3</v>
      </c>
      <c r="T244" t="n">
        <v>3</v>
      </c>
      <c r="U244" t="inlineStr">
        <is>
          <t>2005-11-30</t>
        </is>
      </c>
      <c r="V244" t="inlineStr">
        <is>
          <t>2005-11-30</t>
        </is>
      </c>
      <c r="W244" t="inlineStr">
        <is>
          <t>1992-08-25</t>
        </is>
      </c>
      <c r="X244" t="inlineStr">
        <is>
          <t>1992-08-25</t>
        </is>
      </c>
      <c r="Y244" t="n">
        <v>497</v>
      </c>
      <c r="Z244" t="n">
        <v>399</v>
      </c>
      <c r="AA244" t="n">
        <v>561</v>
      </c>
      <c r="AB244" t="n">
        <v>2</v>
      </c>
      <c r="AC244" t="n">
        <v>3</v>
      </c>
      <c r="AD244" t="n">
        <v>15</v>
      </c>
      <c r="AE244" t="n">
        <v>26</v>
      </c>
      <c r="AF244" t="n">
        <v>11</v>
      </c>
      <c r="AG244" t="n">
        <v>15</v>
      </c>
      <c r="AH244" t="n">
        <v>3</v>
      </c>
      <c r="AI244" t="n">
        <v>5</v>
      </c>
      <c r="AJ244" t="n">
        <v>4</v>
      </c>
      <c r="AK244" t="n">
        <v>10</v>
      </c>
      <c r="AL244" t="n">
        <v>1</v>
      </c>
      <c r="AM244" t="n">
        <v>2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R244">
        <f>HYPERLINK("http://catalog.hathitrust.org/Record/001108053","HathiTrust Record")</f>
        <v/>
      </c>
      <c r="AS244">
        <f>HYPERLINK("https://creighton-primo.hosted.exlibrisgroup.com/primo-explore/search?tab=default_tab&amp;search_scope=EVERYTHING&amp;vid=01CRU&amp;lang=en_US&amp;offset=0&amp;query=any,contains,991001990249702656","Catalog Record")</f>
        <v/>
      </c>
      <c r="AT244">
        <f>HYPERLINK("http://www.worldcat.org/oclc/255247","WorldCat Record")</f>
        <v/>
      </c>
      <c r="AU244" t="inlineStr">
        <is>
          <t>509936:eng</t>
        </is>
      </c>
      <c r="AV244" t="inlineStr">
        <is>
          <t>255247</t>
        </is>
      </c>
      <c r="AW244" t="inlineStr">
        <is>
          <t>991001990249702656</t>
        </is>
      </c>
      <c r="AX244" t="inlineStr">
        <is>
          <t>991001990249702656</t>
        </is>
      </c>
      <c r="AY244" t="inlineStr">
        <is>
          <t>2268867020002656</t>
        </is>
      </c>
      <c r="AZ244" t="inlineStr">
        <is>
          <t>BOOK</t>
        </is>
      </c>
      <c r="BC244" t="inlineStr">
        <is>
          <t>32285001266013</t>
        </is>
      </c>
      <c r="BD244" t="inlineStr">
        <is>
          <t>893615558</t>
        </is>
      </c>
      <c r="BE244" t="inlineStr">
        <is>
          <t>Wishart</t>
        </is>
      </c>
    </row>
    <row r="245">
      <c r="A245" t="inlineStr">
        <is>
          <t>No</t>
        </is>
      </c>
      <c r="B245" t="inlineStr">
        <is>
          <t>HM131 .P382 1986</t>
        </is>
      </c>
      <c r="C245" t="inlineStr">
        <is>
          <t>0                      HM 0131000P  382         1986</t>
        </is>
      </c>
      <c r="D245" t="inlineStr">
        <is>
          <t>Complex organizations : a critical essay / Charles Perrow ; academic consultants, Albert J. Reiss, Jr., Harold L. Wilensky.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Yes</t>
        </is>
      </c>
      <c r="J245" t="inlineStr">
        <is>
          <t>0</t>
        </is>
      </c>
      <c r="K245" t="inlineStr">
        <is>
          <t>Perrow, Charles.</t>
        </is>
      </c>
      <c r="L245" t="inlineStr">
        <is>
          <t>New York : Random House, c1986.</t>
        </is>
      </c>
      <c r="M245" t="inlineStr">
        <is>
          <t>1986</t>
        </is>
      </c>
      <c r="N245" t="inlineStr">
        <is>
          <t>3rd ed.</t>
        </is>
      </c>
      <c r="O245" t="inlineStr">
        <is>
          <t>eng</t>
        </is>
      </c>
      <c r="P245" t="inlineStr">
        <is>
          <t>nyu</t>
        </is>
      </c>
      <c r="R245" t="inlineStr">
        <is>
          <t xml:space="preserve">HM </t>
        </is>
      </c>
      <c r="S245" t="n">
        <v>2</v>
      </c>
      <c r="T245" t="n">
        <v>2</v>
      </c>
      <c r="U245" t="inlineStr">
        <is>
          <t>2001-01-28</t>
        </is>
      </c>
      <c r="V245" t="inlineStr">
        <is>
          <t>2001-01-28</t>
        </is>
      </c>
      <c r="W245" t="inlineStr">
        <is>
          <t>1993-05-03</t>
        </is>
      </c>
      <c r="X245" t="inlineStr">
        <is>
          <t>1993-05-03</t>
        </is>
      </c>
      <c r="Y245" t="n">
        <v>484</v>
      </c>
      <c r="Z245" t="n">
        <v>357</v>
      </c>
      <c r="AA245" t="n">
        <v>918</v>
      </c>
      <c r="AB245" t="n">
        <v>1</v>
      </c>
      <c r="AC245" t="n">
        <v>6</v>
      </c>
      <c r="AD245" t="n">
        <v>14</v>
      </c>
      <c r="AE245" t="n">
        <v>36</v>
      </c>
      <c r="AF245" t="n">
        <v>5</v>
      </c>
      <c r="AG245" t="n">
        <v>13</v>
      </c>
      <c r="AH245" t="n">
        <v>2</v>
      </c>
      <c r="AI245" t="n">
        <v>10</v>
      </c>
      <c r="AJ245" t="n">
        <v>7</v>
      </c>
      <c r="AK245" t="n">
        <v>20</v>
      </c>
      <c r="AL245" t="n">
        <v>0</v>
      </c>
      <c r="AM245" t="n">
        <v>3</v>
      </c>
      <c r="AN245" t="n">
        <v>0</v>
      </c>
      <c r="AO245" t="n">
        <v>0</v>
      </c>
      <c r="AP245" t="inlineStr">
        <is>
          <t>No</t>
        </is>
      </c>
      <c r="AQ245" t="inlineStr">
        <is>
          <t>Yes</t>
        </is>
      </c>
      <c r="AR245">
        <f>HYPERLINK("http://catalog.hathitrust.org/Record/000833838","HathiTrust Record")</f>
        <v/>
      </c>
      <c r="AS245">
        <f>HYPERLINK("https://creighton-primo.hosted.exlibrisgroup.com/primo-explore/search?tab=default_tab&amp;search_scope=EVERYTHING&amp;vid=01CRU&amp;lang=en_US&amp;offset=0&amp;query=any,contains,991000668809702656","Catalog Record")</f>
        <v/>
      </c>
      <c r="AT245">
        <f>HYPERLINK("http://www.worldcat.org/oclc/12312230","WorldCat Record")</f>
        <v/>
      </c>
      <c r="AU245" t="inlineStr">
        <is>
          <t>3749824522:eng</t>
        </is>
      </c>
      <c r="AV245" t="inlineStr">
        <is>
          <t>12312230</t>
        </is>
      </c>
      <c r="AW245" t="inlineStr">
        <is>
          <t>991000668809702656</t>
        </is>
      </c>
      <c r="AX245" t="inlineStr">
        <is>
          <t>991000668809702656</t>
        </is>
      </c>
      <c r="AY245" t="inlineStr">
        <is>
          <t>2272294630002656</t>
        </is>
      </c>
      <c r="AZ245" t="inlineStr">
        <is>
          <t>BOOK</t>
        </is>
      </c>
      <c r="BB245" t="inlineStr">
        <is>
          <t>9780394344973</t>
        </is>
      </c>
      <c r="BC245" t="inlineStr">
        <is>
          <t>32285001632313</t>
        </is>
      </c>
      <c r="BD245" t="inlineStr">
        <is>
          <t>893689920</t>
        </is>
      </c>
      <c r="BE245" t="inlineStr">
        <is>
          <t>Wishart</t>
        </is>
      </c>
    </row>
    <row r="246">
      <c r="A246" t="inlineStr">
        <is>
          <t>No</t>
        </is>
      </c>
      <c r="B246" t="inlineStr">
        <is>
          <t>HM15 .P3 1954</t>
        </is>
      </c>
      <c r="C246" t="inlineStr">
        <is>
          <t>0                      HM 0015000P  3           1954</t>
        </is>
      </c>
      <c r="D246" t="inlineStr">
        <is>
          <t>Essays in sociological theory.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Parsons, Talcott, 1902-1979.</t>
        </is>
      </c>
      <c r="L246" t="inlineStr">
        <is>
          <t>Glencoe, Ill., Free Press [1954]</t>
        </is>
      </c>
      <c r="M246" t="inlineStr">
        <is>
          <t>1954</t>
        </is>
      </c>
      <c r="N246" t="inlineStr">
        <is>
          <t>Rev. [i.e. 2d] ed.</t>
        </is>
      </c>
      <c r="O246" t="inlineStr">
        <is>
          <t>eng</t>
        </is>
      </c>
      <c r="P246" t="inlineStr">
        <is>
          <t>ilu</t>
        </is>
      </c>
      <c r="R246" t="inlineStr">
        <is>
          <t xml:space="preserve">HM </t>
        </is>
      </c>
      <c r="S246" t="n">
        <v>1</v>
      </c>
      <c r="T246" t="n">
        <v>1</v>
      </c>
      <c r="U246" t="inlineStr">
        <is>
          <t>2003-06-30</t>
        </is>
      </c>
      <c r="V246" t="inlineStr">
        <is>
          <t>2003-06-30</t>
        </is>
      </c>
      <c r="W246" t="inlineStr">
        <is>
          <t>1997-07-25</t>
        </is>
      </c>
      <c r="X246" t="inlineStr">
        <is>
          <t>1997-07-25</t>
        </is>
      </c>
      <c r="Y246" t="n">
        <v>987</v>
      </c>
      <c r="Z246" t="n">
        <v>845</v>
      </c>
      <c r="AA246" t="n">
        <v>1030</v>
      </c>
      <c r="AB246" t="n">
        <v>8</v>
      </c>
      <c r="AC246" t="n">
        <v>9</v>
      </c>
      <c r="AD246" t="n">
        <v>42</v>
      </c>
      <c r="AE246" t="n">
        <v>47</v>
      </c>
      <c r="AF246" t="n">
        <v>15</v>
      </c>
      <c r="AG246" t="n">
        <v>16</v>
      </c>
      <c r="AH246" t="n">
        <v>6</v>
      </c>
      <c r="AI246" t="n">
        <v>9</v>
      </c>
      <c r="AJ246" t="n">
        <v>20</v>
      </c>
      <c r="AK246" t="n">
        <v>21</v>
      </c>
      <c r="AL246" t="n">
        <v>7</v>
      </c>
      <c r="AM246" t="n">
        <v>8</v>
      </c>
      <c r="AN246" t="n">
        <v>1</v>
      </c>
      <c r="AO246" t="n">
        <v>2</v>
      </c>
      <c r="AP246" t="inlineStr">
        <is>
          <t>No</t>
        </is>
      </c>
      <c r="AQ246" t="inlineStr">
        <is>
          <t>No</t>
        </is>
      </c>
      <c r="AR246">
        <f>HYPERLINK("http://catalog.hathitrust.org/Record/001109077","HathiTrust Record")</f>
        <v/>
      </c>
      <c r="AS246">
        <f>HYPERLINK("https://creighton-primo.hosted.exlibrisgroup.com/primo-explore/search?tab=default_tab&amp;search_scope=EVERYTHING&amp;vid=01CRU&amp;lang=en_US&amp;offset=0&amp;query=any,contains,991001961199702656","Catalog Record")</f>
        <v/>
      </c>
      <c r="AT246">
        <f>HYPERLINK("http://www.worldcat.org/oclc/253489","WorldCat Record")</f>
        <v/>
      </c>
      <c r="AU246" t="inlineStr">
        <is>
          <t>3768852347:eng</t>
        </is>
      </c>
      <c r="AV246" t="inlineStr">
        <is>
          <t>253489</t>
        </is>
      </c>
      <c r="AW246" t="inlineStr">
        <is>
          <t>991001961199702656</t>
        </is>
      </c>
      <c r="AX246" t="inlineStr">
        <is>
          <t>991001961199702656</t>
        </is>
      </c>
      <c r="AY246" t="inlineStr">
        <is>
          <t>2267245030002656</t>
        </is>
      </c>
      <c r="AZ246" t="inlineStr">
        <is>
          <t>BOOK</t>
        </is>
      </c>
      <c r="BC246" t="inlineStr">
        <is>
          <t>32285003007589</t>
        </is>
      </c>
      <c r="BD246" t="inlineStr">
        <is>
          <t>893609299</t>
        </is>
      </c>
      <c r="BE246" t="inlineStr">
        <is>
          <t>Wishart</t>
        </is>
      </c>
    </row>
    <row r="247">
      <c r="A247" t="inlineStr">
        <is>
          <t>No</t>
        </is>
      </c>
      <c r="B247" t="inlineStr">
        <is>
          <t>HM19 .H53</t>
        </is>
      </c>
      <c r="C247" t="inlineStr">
        <is>
          <t>0                      HM 0019000H  53</t>
        </is>
      </c>
      <c r="D247" t="inlineStr">
        <is>
          <t>A History of sociological analysis / Tom Bottomore &amp; Robert Nisbet, editors.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L247" t="inlineStr">
        <is>
          <t>New York : Basic Books, c1978.</t>
        </is>
      </c>
      <c r="M247" t="inlineStr">
        <is>
          <t>1978</t>
        </is>
      </c>
      <c r="O247" t="inlineStr">
        <is>
          <t>eng</t>
        </is>
      </c>
      <c r="P247" t="inlineStr">
        <is>
          <t>nyu</t>
        </is>
      </c>
      <c r="R247" t="inlineStr">
        <is>
          <t xml:space="preserve">HM </t>
        </is>
      </c>
      <c r="S247" t="n">
        <v>3</v>
      </c>
      <c r="T247" t="n">
        <v>3</v>
      </c>
      <c r="U247" t="inlineStr">
        <is>
          <t>2006-03-28</t>
        </is>
      </c>
      <c r="V247" t="inlineStr">
        <is>
          <t>2006-03-28</t>
        </is>
      </c>
      <c r="W247" t="inlineStr">
        <is>
          <t>1992-08-05</t>
        </is>
      </c>
      <c r="X247" t="inlineStr">
        <is>
          <t>1992-08-05</t>
        </is>
      </c>
      <c r="Y247" t="n">
        <v>1084</v>
      </c>
      <c r="Z247" t="n">
        <v>912</v>
      </c>
      <c r="AA247" t="n">
        <v>924</v>
      </c>
      <c r="AB247" t="n">
        <v>5</v>
      </c>
      <c r="AC247" t="n">
        <v>5</v>
      </c>
      <c r="AD247" t="n">
        <v>38</v>
      </c>
      <c r="AE247" t="n">
        <v>38</v>
      </c>
      <c r="AF247" t="n">
        <v>15</v>
      </c>
      <c r="AG247" t="n">
        <v>15</v>
      </c>
      <c r="AH247" t="n">
        <v>10</v>
      </c>
      <c r="AI247" t="n">
        <v>10</v>
      </c>
      <c r="AJ247" t="n">
        <v>22</v>
      </c>
      <c r="AK247" t="n">
        <v>22</v>
      </c>
      <c r="AL247" t="n">
        <v>4</v>
      </c>
      <c r="AM247" t="n">
        <v>4</v>
      </c>
      <c r="AN247" t="n">
        <v>0</v>
      </c>
      <c r="AO247" t="n">
        <v>0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HYPERLINK("http://catalog.hathitrust.org/Record/000216192","HathiTrust Record")</f>
        <v/>
      </c>
      <c r="AS247">
        <f>HYPERLINK("https://creighton-primo.hosted.exlibrisgroup.com/primo-explore/search?tab=default_tab&amp;search_scope=EVERYTHING&amp;vid=01CRU&amp;lang=en_US&amp;offset=0&amp;query=any,contains,991004607699702656","Catalog Record")</f>
        <v/>
      </c>
      <c r="AT247">
        <f>HYPERLINK("http://www.worldcat.org/oclc/4195432","WorldCat Record")</f>
        <v/>
      </c>
      <c r="AU247" t="inlineStr">
        <is>
          <t>351892661:eng</t>
        </is>
      </c>
      <c r="AV247" t="inlineStr">
        <is>
          <t>4195432</t>
        </is>
      </c>
      <c r="AW247" t="inlineStr">
        <is>
          <t>991004607699702656</t>
        </is>
      </c>
      <c r="AX247" t="inlineStr">
        <is>
          <t>991004607699702656</t>
        </is>
      </c>
      <c r="AY247" t="inlineStr">
        <is>
          <t>2261086500002656</t>
        </is>
      </c>
      <c r="AZ247" t="inlineStr">
        <is>
          <t>BOOK</t>
        </is>
      </c>
      <c r="BB247" t="inlineStr">
        <is>
          <t>9780465030231</t>
        </is>
      </c>
      <c r="BC247" t="inlineStr">
        <is>
          <t>32285001193217</t>
        </is>
      </c>
      <c r="BD247" t="inlineStr">
        <is>
          <t>893807266</t>
        </is>
      </c>
      <c r="BE247" t="inlineStr">
        <is>
          <t>Wishart</t>
        </is>
      </c>
    </row>
    <row r="248">
      <c r="A248" t="inlineStr">
        <is>
          <t>No</t>
        </is>
      </c>
      <c r="B248" t="inlineStr">
        <is>
          <t>HM19 .T97 1989</t>
        </is>
      </c>
      <c r="C248" t="inlineStr">
        <is>
          <t>0                      HM 0019000T  97          1989</t>
        </is>
      </c>
      <c r="D248" t="inlineStr">
        <is>
          <t>The emergence of sociological theory / Jonathan H. Turner, Leonard Beeghley, Charles H. Powers.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Turner, Jonathan H.</t>
        </is>
      </c>
      <c r="L248" t="inlineStr">
        <is>
          <t>Chicago, Ill. : Dorsey Press, c1989.</t>
        </is>
      </c>
      <c r="M248" t="inlineStr">
        <is>
          <t>1989</t>
        </is>
      </c>
      <c r="N248" t="inlineStr">
        <is>
          <t>2nd ed.</t>
        </is>
      </c>
      <c r="O248" t="inlineStr">
        <is>
          <t>eng</t>
        </is>
      </c>
      <c r="P248" t="inlineStr">
        <is>
          <t>ilu</t>
        </is>
      </c>
      <c r="Q248" t="inlineStr">
        <is>
          <t>The Dorsey series in sociology</t>
        </is>
      </c>
      <c r="R248" t="inlineStr">
        <is>
          <t xml:space="preserve">HM </t>
        </is>
      </c>
      <c r="S248" t="n">
        <v>2</v>
      </c>
      <c r="T248" t="n">
        <v>2</v>
      </c>
      <c r="U248" t="inlineStr">
        <is>
          <t>1994-03-31</t>
        </is>
      </c>
      <c r="V248" t="inlineStr">
        <is>
          <t>1994-03-31</t>
        </is>
      </c>
      <c r="W248" t="inlineStr">
        <is>
          <t>1992-08-05</t>
        </is>
      </c>
      <c r="X248" t="inlineStr">
        <is>
          <t>1992-08-05</t>
        </is>
      </c>
      <c r="Y248" t="n">
        <v>169</v>
      </c>
      <c r="Z248" t="n">
        <v>127</v>
      </c>
      <c r="AA248" t="n">
        <v>516</v>
      </c>
      <c r="AB248" t="n">
        <v>1</v>
      </c>
      <c r="AC248" t="n">
        <v>4</v>
      </c>
      <c r="AD248" t="n">
        <v>4</v>
      </c>
      <c r="AE248" t="n">
        <v>25</v>
      </c>
      <c r="AF248" t="n">
        <v>1</v>
      </c>
      <c r="AG248" t="n">
        <v>10</v>
      </c>
      <c r="AH248" t="n">
        <v>2</v>
      </c>
      <c r="AI248" t="n">
        <v>6</v>
      </c>
      <c r="AJ248" t="n">
        <v>2</v>
      </c>
      <c r="AK248" t="n">
        <v>13</v>
      </c>
      <c r="AL248" t="n">
        <v>0</v>
      </c>
      <c r="AM248" t="n">
        <v>3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HYPERLINK("http://catalog.hathitrust.org/Record/005421399","HathiTrust Record")</f>
        <v/>
      </c>
      <c r="AS248">
        <f>HYPERLINK("https://creighton-primo.hosted.exlibrisgroup.com/primo-explore/search?tab=default_tab&amp;search_scope=EVERYTHING&amp;vid=01CRU&amp;lang=en_US&amp;offset=0&amp;query=any,contains,991001197799702656","Catalog Record")</f>
        <v/>
      </c>
      <c r="AT248">
        <f>HYPERLINK("http://www.worldcat.org/oclc/17297832","WorldCat Record")</f>
        <v/>
      </c>
      <c r="AU248" t="inlineStr">
        <is>
          <t>16184933:eng</t>
        </is>
      </c>
      <c r="AV248" t="inlineStr">
        <is>
          <t>17297832</t>
        </is>
      </c>
      <c r="AW248" t="inlineStr">
        <is>
          <t>991001197799702656</t>
        </is>
      </c>
      <c r="AX248" t="inlineStr">
        <is>
          <t>991001197799702656</t>
        </is>
      </c>
      <c r="AY248" t="inlineStr">
        <is>
          <t>2265240510002656</t>
        </is>
      </c>
      <c r="AZ248" t="inlineStr">
        <is>
          <t>BOOK</t>
        </is>
      </c>
      <c r="BB248" t="inlineStr">
        <is>
          <t>9780256062083</t>
        </is>
      </c>
      <c r="BC248" t="inlineStr">
        <is>
          <t>32285001193241</t>
        </is>
      </c>
      <c r="BD248" t="inlineStr">
        <is>
          <t>893897595</t>
        </is>
      </c>
      <c r="BE248" t="inlineStr">
        <is>
          <t>Wishart</t>
        </is>
      </c>
    </row>
    <row r="249">
      <c r="A249" t="inlineStr">
        <is>
          <t>No</t>
        </is>
      </c>
      <c r="B249" t="inlineStr">
        <is>
          <t>HM22.F8 D845 1972</t>
        </is>
      </c>
      <c r="C249" t="inlineStr">
        <is>
          <t>0                      HM 0022000F  8                  D  845         1972</t>
        </is>
      </c>
      <c r="D249" t="inlineStr">
        <is>
          <t>Émile Durkheim; his life and work, a historical and critical study.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Lukes, Steven.</t>
        </is>
      </c>
      <c r="L249" t="inlineStr">
        <is>
          <t>New York, Harper &amp; Row [c1972]</t>
        </is>
      </c>
      <c r="M249" t="inlineStr">
        <is>
          <t>1972</t>
        </is>
      </c>
      <c r="N249" t="inlineStr">
        <is>
          <t>[1st U.S. ed.]</t>
        </is>
      </c>
      <c r="O249" t="inlineStr">
        <is>
          <t>eng</t>
        </is>
      </c>
      <c r="P249" t="inlineStr">
        <is>
          <t>nyu</t>
        </is>
      </c>
      <c r="R249" t="inlineStr">
        <is>
          <t xml:space="preserve">HM </t>
        </is>
      </c>
      <c r="S249" t="n">
        <v>2</v>
      </c>
      <c r="T249" t="n">
        <v>2</v>
      </c>
      <c r="U249" t="inlineStr">
        <is>
          <t>2007-11-18</t>
        </is>
      </c>
      <c r="V249" t="inlineStr">
        <is>
          <t>2007-11-18</t>
        </is>
      </c>
      <c r="W249" t="inlineStr">
        <is>
          <t>1997-07-25</t>
        </is>
      </c>
      <c r="X249" t="inlineStr">
        <is>
          <t>1997-07-25</t>
        </is>
      </c>
      <c r="Y249" t="n">
        <v>762</v>
      </c>
      <c r="Z249" t="n">
        <v>710</v>
      </c>
      <c r="AA249" t="n">
        <v>985</v>
      </c>
      <c r="AB249" t="n">
        <v>7</v>
      </c>
      <c r="AC249" t="n">
        <v>9</v>
      </c>
      <c r="AD249" t="n">
        <v>37</v>
      </c>
      <c r="AE249" t="n">
        <v>49</v>
      </c>
      <c r="AF249" t="n">
        <v>17</v>
      </c>
      <c r="AG249" t="n">
        <v>21</v>
      </c>
      <c r="AH249" t="n">
        <v>7</v>
      </c>
      <c r="AI249" t="n">
        <v>11</v>
      </c>
      <c r="AJ249" t="n">
        <v>16</v>
      </c>
      <c r="AK249" t="n">
        <v>22</v>
      </c>
      <c r="AL249" t="n">
        <v>6</v>
      </c>
      <c r="AM249" t="n">
        <v>8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HYPERLINK("https://creighton-primo.hosted.exlibrisgroup.com/primo-explore/search?tab=default_tab&amp;search_scope=EVERYTHING&amp;vid=01CRU&amp;lang=en_US&amp;offset=0&amp;query=any,contains,991003067269702656","Catalog Record")</f>
        <v/>
      </c>
      <c r="AT249">
        <f>HYPERLINK("http://www.worldcat.org/oclc/623118","WorldCat Record")</f>
        <v/>
      </c>
      <c r="AU249" t="inlineStr">
        <is>
          <t>3901055943:eng</t>
        </is>
      </c>
      <c r="AV249" t="inlineStr">
        <is>
          <t>623118</t>
        </is>
      </c>
      <c r="AW249" t="inlineStr">
        <is>
          <t>991003067269702656</t>
        </is>
      </c>
      <c r="AX249" t="inlineStr">
        <is>
          <t>991003067269702656</t>
        </is>
      </c>
      <c r="AY249" t="inlineStr">
        <is>
          <t>2256134330002656</t>
        </is>
      </c>
      <c r="AZ249" t="inlineStr">
        <is>
          <t>BOOK</t>
        </is>
      </c>
      <c r="BB249" t="inlineStr">
        <is>
          <t>9780060127275</t>
        </is>
      </c>
      <c r="BC249" t="inlineStr">
        <is>
          <t>32285003007795</t>
        </is>
      </c>
      <c r="BD249" t="inlineStr">
        <is>
          <t>893323730</t>
        </is>
      </c>
      <c r="BE249" t="inlineStr">
        <is>
          <t>Wishart</t>
        </is>
      </c>
    </row>
    <row r="250">
      <c r="A250" t="inlineStr">
        <is>
          <t>No</t>
        </is>
      </c>
      <c r="B250" t="inlineStr">
        <is>
          <t>HM22.F8 D869 1989</t>
        </is>
      </c>
      <c r="C250" t="inlineStr">
        <is>
          <t>0                      HM 0022000F  8                  D  869         1989</t>
        </is>
      </c>
      <c r="D250" t="inlineStr">
        <is>
          <t>The radical Durkheim / Frank Pearce.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Pearce, Frank.</t>
        </is>
      </c>
      <c r="L250" t="inlineStr">
        <is>
          <t>London ; Boston : Unwin Hyman, 1989.</t>
        </is>
      </c>
      <c r="M250" t="inlineStr">
        <is>
          <t>1989</t>
        </is>
      </c>
      <c r="O250" t="inlineStr">
        <is>
          <t>eng</t>
        </is>
      </c>
      <c r="P250" t="inlineStr">
        <is>
          <t>enk</t>
        </is>
      </c>
      <c r="R250" t="inlineStr">
        <is>
          <t xml:space="preserve">HM </t>
        </is>
      </c>
      <c r="S250" t="n">
        <v>8</v>
      </c>
      <c r="T250" t="n">
        <v>8</v>
      </c>
      <c r="U250" t="inlineStr">
        <is>
          <t>1998-03-17</t>
        </is>
      </c>
      <c r="V250" t="inlineStr">
        <is>
          <t>1998-03-17</t>
        </is>
      </c>
      <c r="W250" t="inlineStr">
        <is>
          <t>1990-01-14</t>
        </is>
      </c>
      <c r="X250" t="inlineStr">
        <is>
          <t>1990-01-14</t>
        </is>
      </c>
      <c r="Y250" t="n">
        <v>609</v>
      </c>
      <c r="Z250" t="n">
        <v>464</v>
      </c>
      <c r="AA250" t="n">
        <v>504</v>
      </c>
      <c r="AB250" t="n">
        <v>5</v>
      </c>
      <c r="AC250" t="n">
        <v>6</v>
      </c>
      <c r="AD250" t="n">
        <v>26</v>
      </c>
      <c r="AE250" t="n">
        <v>30</v>
      </c>
      <c r="AF250" t="n">
        <v>8</v>
      </c>
      <c r="AG250" t="n">
        <v>9</v>
      </c>
      <c r="AH250" t="n">
        <v>7</v>
      </c>
      <c r="AI250" t="n">
        <v>8</v>
      </c>
      <c r="AJ250" t="n">
        <v>15</v>
      </c>
      <c r="AK250" t="n">
        <v>17</v>
      </c>
      <c r="AL250" t="n">
        <v>4</v>
      </c>
      <c r="AM250" t="n">
        <v>5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HYPERLINK("https://creighton-primo.hosted.exlibrisgroup.com/primo-explore/search?tab=default_tab&amp;search_scope=EVERYTHING&amp;vid=01CRU&amp;lang=en_US&amp;offset=0&amp;query=any,contains,991001381939702656","Catalog Record")</f>
        <v/>
      </c>
      <c r="AT250">
        <f>HYPERLINK("http://www.worldcat.org/oclc/18684141","WorldCat Record")</f>
        <v/>
      </c>
      <c r="AU250" t="inlineStr">
        <is>
          <t>769166:eng</t>
        </is>
      </c>
      <c r="AV250" t="inlineStr">
        <is>
          <t>18684141</t>
        </is>
      </c>
      <c r="AW250" t="inlineStr">
        <is>
          <t>991001381939702656</t>
        </is>
      </c>
      <c r="AX250" t="inlineStr">
        <is>
          <t>991001381939702656</t>
        </is>
      </c>
      <c r="AY250" t="inlineStr">
        <is>
          <t>2264707450002656</t>
        </is>
      </c>
      <c r="AZ250" t="inlineStr">
        <is>
          <t>BOOK</t>
        </is>
      </c>
      <c r="BB250" t="inlineStr">
        <is>
          <t>9780044452706</t>
        </is>
      </c>
      <c r="BC250" t="inlineStr">
        <is>
          <t>32285000027051</t>
        </is>
      </c>
      <c r="BD250" t="inlineStr">
        <is>
          <t>893797531</t>
        </is>
      </c>
      <c r="BE250" t="inlineStr">
        <is>
          <t>Wishart</t>
        </is>
      </c>
    </row>
    <row r="251">
      <c r="A251" t="inlineStr">
        <is>
          <t>No</t>
        </is>
      </c>
      <c r="B251" t="inlineStr">
        <is>
          <t>HM22.F8 D88</t>
        </is>
      </c>
      <c r="C251" t="inlineStr">
        <is>
          <t>0                      HM 0022000F  8                  D  88</t>
        </is>
      </c>
      <c r="D251" t="inlineStr">
        <is>
          <t>Emile Durkheim, 1858-1917; a collection of essays, with translations and a bibliography. Contributors: Charles Blend [and others]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Wolff, Kurt H., 1912-2003 editor.</t>
        </is>
      </c>
      <c r="L251" t="inlineStr">
        <is>
          <t>Columbus, Ohio State University Press [1960]</t>
        </is>
      </c>
      <c r="M251" t="inlineStr">
        <is>
          <t>1960</t>
        </is>
      </c>
      <c r="O251" t="inlineStr">
        <is>
          <t>eng</t>
        </is>
      </c>
      <c r="P251" t="inlineStr">
        <is>
          <t>ohu</t>
        </is>
      </c>
      <c r="R251" t="inlineStr">
        <is>
          <t xml:space="preserve">HM </t>
        </is>
      </c>
      <c r="S251" t="n">
        <v>6</v>
      </c>
      <c r="T251" t="n">
        <v>6</v>
      </c>
      <c r="U251" t="inlineStr">
        <is>
          <t>2004-04-06</t>
        </is>
      </c>
      <c r="V251" t="inlineStr">
        <is>
          <t>2004-04-06</t>
        </is>
      </c>
      <c r="W251" t="inlineStr">
        <is>
          <t>1997-07-25</t>
        </is>
      </c>
      <c r="X251" t="inlineStr">
        <is>
          <t>1997-07-25</t>
        </is>
      </c>
      <c r="Y251" t="n">
        <v>769</v>
      </c>
      <c r="Z251" t="n">
        <v>632</v>
      </c>
      <c r="AA251" t="n">
        <v>653</v>
      </c>
      <c r="AB251" t="n">
        <v>4</v>
      </c>
      <c r="AC251" t="n">
        <v>4</v>
      </c>
      <c r="AD251" t="n">
        <v>35</v>
      </c>
      <c r="AE251" t="n">
        <v>35</v>
      </c>
      <c r="AF251" t="n">
        <v>13</v>
      </c>
      <c r="AG251" t="n">
        <v>13</v>
      </c>
      <c r="AH251" t="n">
        <v>7</v>
      </c>
      <c r="AI251" t="n">
        <v>7</v>
      </c>
      <c r="AJ251" t="n">
        <v>18</v>
      </c>
      <c r="AK251" t="n">
        <v>18</v>
      </c>
      <c r="AL251" t="n">
        <v>3</v>
      </c>
      <c r="AM251" t="n">
        <v>3</v>
      </c>
      <c r="AN251" t="n">
        <v>0</v>
      </c>
      <c r="AO251" t="n">
        <v>0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HYPERLINK("https://creighton-primo.hosted.exlibrisgroup.com/primo-explore/search?tab=default_tab&amp;search_scope=EVERYTHING&amp;vid=01CRU&amp;lang=en_US&amp;offset=0&amp;query=any,contains,991003427249702656","Catalog Record")</f>
        <v/>
      </c>
      <c r="AT251">
        <f>HYPERLINK("http://www.worldcat.org/oclc/296622","WorldCat Record")</f>
        <v/>
      </c>
      <c r="AU251" t="inlineStr">
        <is>
          <t>3857387618:eng</t>
        </is>
      </c>
      <c r="AV251" t="inlineStr">
        <is>
          <t>296622</t>
        </is>
      </c>
      <c r="AW251" t="inlineStr">
        <is>
          <t>991003427249702656</t>
        </is>
      </c>
      <c r="AX251" t="inlineStr">
        <is>
          <t>991003427249702656</t>
        </is>
      </c>
      <c r="AY251" t="inlineStr">
        <is>
          <t>2261680470002656</t>
        </is>
      </c>
      <c r="AZ251" t="inlineStr">
        <is>
          <t>BOOK</t>
        </is>
      </c>
      <c r="BC251" t="inlineStr">
        <is>
          <t>32285003007811</t>
        </is>
      </c>
      <c r="BD251" t="inlineStr">
        <is>
          <t>893604782</t>
        </is>
      </c>
      <c r="BE251" t="inlineStr">
        <is>
          <t>Wishart</t>
        </is>
      </c>
    </row>
    <row r="252">
      <c r="A252" t="inlineStr">
        <is>
          <t>No</t>
        </is>
      </c>
      <c r="B252" t="inlineStr">
        <is>
          <t>HM22.U5 I53 1995</t>
        </is>
      </c>
      <c r="C252" t="inlineStr">
        <is>
          <t>0                      HM 0022000U  5                  I  53          1995</t>
        </is>
      </c>
      <c r="D252" t="inlineStr">
        <is>
          <t>Individual voices, collective visions : fifty years of women in sociology / edited by Ann Goetting and Sarah Fenstermaker.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L252" t="inlineStr">
        <is>
          <t>Philadelphia : Temple University Press, 1995.</t>
        </is>
      </c>
      <c r="M252" t="inlineStr">
        <is>
          <t>1995</t>
        </is>
      </c>
      <c r="O252" t="inlineStr">
        <is>
          <t>eng</t>
        </is>
      </c>
      <c r="P252" t="inlineStr">
        <is>
          <t>pau</t>
        </is>
      </c>
      <c r="Q252" t="inlineStr">
        <is>
          <t>Women in the political economy</t>
        </is>
      </c>
      <c r="R252" t="inlineStr">
        <is>
          <t xml:space="preserve">HM </t>
        </is>
      </c>
      <c r="S252" t="n">
        <v>0</v>
      </c>
      <c r="T252" t="n">
        <v>0</v>
      </c>
      <c r="U252" t="inlineStr">
        <is>
          <t>2002-03-20</t>
        </is>
      </c>
      <c r="V252" t="inlineStr">
        <is>
          <t>2002-03-20</t>
        </is>
      </c>
      <c r="W252" t="inlineStr">
        <is>
          <t>1997-02-10</t>
        </is>
      </c>
      <c r="X252" t="inlineStr">
        <is>
          <t>1997-02-10</t>
        </is>
      </c>
      <c r="Y252" t="n">
        <v>348</v>
      </c>
      <c r="Z252" t="n">
        <v>290</v>
      </c>
      <c r="AA252" t="n">
        <v>295</v>
      </c>
      <c r="AB252" t="n">
        <v>4</v>
      </c>
      <c r="AC252" t="n">
        <v>4</v>
      </c>
      <c r="AD252" t="n">
        <v>23</v>
      </c>
      <c r="AE252" t="n">
        <v>23</v>
      </c>
      <c r="AF252" t="n">
        <v>8</v>
      </c>
      <c r="AG252" t="n">
        <v>8</v>
      </c>
      <c r="AH252" t="n">
        <v>7</v>
      </c>
      <c r="AI252" t="n">
        <v>7</v>
      </c>
      <c r="AJ252" t="n">
        <v>13</v>
      </c>
      <c r="AK252" t="n">
        <v>13</v>
      </c>
      <c r="AL252" t="n">
        <v>3</v>
      </c>
      <c r="AM252" t="n">
        <v>3</v>
      </c>
      <c r="AN252" t="n">
        <v>0</v>
      </c>
      <c r="AO252" t="n">
        <v>0</v>
      </c>
      <c r="AP252" t="inlineStr">
        <is>
          <t>No</t>
        </is>
      </c>
      <c r="AQ252" t="inlineStr">
        <is>
          <t>No</t>
        </is>
      </c>
      <c r="AS252">
        <f>HYPERLINK("https://creighton-primo.hosted.exlibrisgroup.com/primo-explore/search?tab=default_tab&amp;search_scope=EVERYTHING&amp;vid=01CRU&amp;lang=en_US&amp;offset=0&amp;query=any,contains,991002337509702656","Catalog Record")</f>
        <v/>
      </c>
      <c r="AT252">
        <f>HYPERLINK("http://www.worldcat.org/oclc/30436099","WorldCat Record")</f>
        <v/>
      </c>
      <c r="AU252" t="inlineStr">
        <is>
          <t>890209133:eng</t>
        </is>
      </c>
      <c r="AV252" t="inlineStr">
        <is>
          <t>30436099</t>
        </is>
      </c>
      <c r="AW252" t="inlineStr">
        <is>
          <t>991002337509702656</t>
        </is>
      </c>
      <c r="AX252" t="inlineStr">
        <is>
          <t>991002337509702656</t>
        </is>
      </c>
      <c r="AY252" t="inlineStr">
        <is>
          <t>2258919720002656</t>
        </is>
      </c>
      <c r="AZ252" t="inlineStr">
        <is>
          <t>BOOK</t>
        </is>
      </c>
      <c r="BB252" t="inlineStr">
        <is>
          <t>9781566392501</t>
        </is>
      </c>
      <c r="BC252" t="inlineStr">
        <is>
          <t>32285002430238</t>
        </is>
      </c>
      <c r="BD252" t="inlineStr">
        <is>
          <t>893335187</t>
        </is>
      </c>
      <c r="BE252" t="inlineStr">
        <is>
          <t>Wishart</t>
        </is>
      </c>
    </row>
    <row r="253">
      <c r="A253" t="inlineStr">
        <is>
          <t>No</t>
        </is>
      </c>
      <c r="B253" t="inlineStr">
        <is>
          <t>HM22.U5 S8</t>
        </is>
      </c>
      <c r="C253" t="inlineStr">
        <is>
          <t>0                      HM 0022000U  5                  S  8</t>
        </is>
      </c>
      <c r="D253" t="inlineStr">
        <is>
          <t>Social Darwinism : selected essays / with an introd. by Stow Persons.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Sumner, William Graham, 1840-1910.</t>
        </is>
      </c>
      <c r="L253" t="inlineStr">
        <is>
          <t>Englewood Cliffs, N.J. : Prentice-Hall, [1963]</t>
        </is>
      </c>
      <c r="M253" t="inlineStr">
        <is>
          <t>1963</t>
        </is>
      </c>
      <c r="O253" t="inlineStr">
        <is>
          <t>eng</t>
        </is>
      </c>
      <c r="P253" t="inlineStr">
        <is>
          <t>nju</t>
        </is>
      </c>
      <c r="Q253" t="inlineStr">
        <is>
          <t>Classics in history series, S-CH-7</t>
        </is>
      </c>
      <c r="R253" t="inlineStr">
        <is>
          <t xml:space="preserve">HM </t>
        </is>
      </c>
      <c r="S253" t="n">
        <v>10</v>
      </c>
      <c r="T253" t="n">
        <v>10</v>
      </c>
      <c r="U253" t="inlineStr">
        <is>
          <t>1995-11-16</t>
        </is>
      </c>
      <c r="V253" t="inlineStr">
        <is>
          <t>1995-11-16</t>
        </is>
      </c>
      <c r="W253" t="inlineStr">
        <is>
          <t>1994-01-14</t>
        </is>
      </c>
      <c r="X253" t="inlineStr">
        <is>
          <t>1994-01-14</t>
        </is>
      </c>
      <c r="Y253" t="n">
        <v>838</v>
      </c>
      <c r="Z253" t="n">
        <v>758</v>
      </c>
      <c r="AA253" t="n">
        <v>811</v>
      </c>
      <c r="AB253" t="n">
        <v>7</v>
      </c>
      <c r="AC253" t="n">
        <v>8</v>
      </c>
      <c r="AD253" t="n">
        <v>36</v>
      </c>
      <c r="AE253" t="n">
        <v>38</v>
      </c>
      <c r="AF253" t="n">
        <v>15</v>
      </c>
      <c r="AG253" t="n">
        <v>15</v>
      </c>
      <c r="AH253" t="n">
        <v>4</v>
      </c>
      <c r="AI253" t="n">
        <v>5</v>
      </c>
      <c r="AJ253" t="n">
        <v>16</v>
      </c>
      <c r="AK253" t="n">
        <v>17</v>
      </c>
      <c r="AL253" t="n">
        <v>6</v>
      </c>
      <c r="AM253" t="n">
        <v>7</v>
      </c>
      <c r="AN253" t="n">
        <v>1</v>
      </c>
      <c r="AO253" t="n">
        <v>1</v>
      </c>
      <c r="AP253" t="inlineStr">
        <is>
          <t>No</t>
        </is>
      </c>
      <c r="AQ253" t="inlineStr">
        <is>
          <t>No</t>
        </is>
      </c>
      <c r="AS253">
        <f>HYPERLINK("https://creighton-primo.hosted.exlibrisgroup.com/primo-explore/search?tab=default_tab&amp;search_scope=EVERYTHING&amp;vid=01CRU&amp;lang=en_US&amp;offset=0&amp;query=any,contains,991000946029702656","Catalog Record")</f>
        <v/>
      </c>
      <c r="AT253">
        <f>HYPERLINK("http://www.worldcat.org/oclc/167113","WorldCat Record")</f>
        <v/>
      </c>
      <c r="AU253" t="inlineStr">
        <is>
          <t>911980095:eng</t>
        </is>
      </c>
      <c r="AV253" t="inlineStr">
        <is>
          <t>167113</t>
        </is>
      </c>
      <c r="AW253" t="inlineStr">
        <is>
          <t>991000946029702656</t>
        </is>
      </c>
      <c r="AX253" t="inlineStr">
        <is>
          <t>991000946029702656</t>
        </is>
      </c>
      <c r="AY253" t="inlineStr">
        <is>
          <t>2272481090002656</t>
        </is>
      </c>
      <c r="AZ253" t="inlineStr">
        <is>
          <t>BOOK</t>
        </is>
      </c>
      <c r="BC253" t="inlineStr">
        <is>
          <t>32285001829695</t>
        </is>
      </c>
      <c r="BD253" t="inlineStr">
        <is>
          <t>893772152</t>
        </is>
      </c>
      <c r="BE253" t="inlineStr">
        <is>
          <t>Wishart</t>
        </is>
      </c>
    </row>
    <row r="254">
      <c r="A254" t="inlineStr">
        <is>
          <t>No</t>
        </is>
      </c>
      <c r="B254" t="inlineStr">
        <is>
          <t>HM24 .C764 1991</t>
        </is>
      </c>
      <c r="C254" t="inlineStr">
        <is>
          <t>0                      HM 0024000C  764         1991</t>
        </is>
      </c>
      <c r="D254" t="inlineStr">
        <is>
          <t>Critical theory now / edited by Philip Wexler.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L254" t="inlineStr">
        <is>
          <t>London ; New York : Falmer Press, 1991.</t>
        </is>
      </c>
      <c r="M254" t="inlineStr">
        <is>
          <t>1991</t>
        </is>
      </c>
      <c r="O254" t="inlineStr">
        <is>
          <t>eng</t>
        </is>
      </c>
      <c r="P254" t="inlineStr">
        <is>
          <t>enk</t>
        </is>
      </c>
      <c r="R254" t="inlineStr">
        <is>
          <t xml:space="preserve">HM </t>
        </is>
      </c>
      <c r="S254" t="n">
        <v>2</v>
      </c>
      <c r="T254" t="n">
        <v>2</v>
      </c>
      <c r="U254" t="inlineStr">
        <is>
          <t>2009-10-19</t>
        </is>
      </c>
      <c r="V254" t="inlineStr">
        <is>
          <t>2009-10-19</t>
        </is>
      </c>
      <c r="W254" t="inlineStr">
        <is>
          <t>1991-08-13</t>
        </is>
      </c>
      <c r="X254" t="inlineStr">
        <is>
          <t>1991-08-13</t>
        </is>
      </c>
      <c r="Y254" t="n">
        <v>310</v>
      </c>
      <c r="Z254" t="n">
        <v>150</v>
      </c>
      <c r="AA254" t="n">
        <v>181</v>
      </c>
      <c r="AB254" t="n">
        <v>1</v>
      </c>
      <c r="AC254" t="n">
        <v>1</v>
      </c>
      <c r="AD254" t="n">
        <v>7</v>
      </c>
      <c r="AE254" t="n">
        <v>7</v>
      </c>
      <c r="AF254" t="n">
        <v>2</v>
      </c>
      <c r="AG254" t="n">
        <v>2</v>
      </c>
      <c r="AH254" t="n">
        <v>3</v>
      </c>
      <c r="AI254" t="n">
        <v>3</v>
      </c>
      <c r="AJ254" t="n">
        <v>5</v>
      </c>
      <c r="AK254" t="n">
        <v>5</v>
      </c>
      <c r="AL254" t="n">
        <v>0</v>
      </c>
      <c r="AM254" t="n">
        <v>0</v>
      </c>
      <c r="AN254" t="n">
        <v>0</v>
      </c>
      <c r="AO254" t="n">
        <v>0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HYPERLINK("https://creighton-primo.hosted.exlibrisgroup.com/primo-explore/search?tab=default_tab&amp;search_scope=EVERYTHING&amp;vid=01CRU&amp;lang=en_US&amp;offset=0&amp;query=any,contains,991001742369702656","Catalog Record")</f>
        <v/>
      </c>
      <c r="AT254">
        <f>HYPERLINK("http://www.worldcat.org/oclc/22006227","WorldCat Record")</f>
        <v/>
      </c>
      <c r="AU254" t="inlineStr">
        <is>
          <t>766841538:eng</t>
        </is>
      </c>
      <c r="AV254" t="inlineStr">
        <is>
          <t>22006227</t>
        </is>
      </c>
      <c r="AW254" t="inlineStr">
        <is>
          <t>991001742369702656</t>
        </is>
      </c>
      <c r="AX254" t="inlineStr">
        <is>
          <t>991001742369702656</t>
        </is>
      </c>
      <c r="AY254" t="inlineStr">
        <is>
          <t>2264984890002656</t>
        </is>
      </c>
      <c r="AZ254" t="inlineStr">
        <is>
          <t>BOOK</t>
        </is>
      </c>
      <c r="BB254" t="inlineStr">
        <is>
          <t>9781850007548</t>
        </is>
      </c>
      <c r="BC254" t="inlineStr">
        <is>
          <t>32285000700632</t>
        </is>
      </c>
      <c r="BD254" t="inlineStr">
        <is>
          <t>893426811</t>
        </is>
      </c>
      <c r="BE254" t="inlineStr">
        <is>
          <t>Wishart</t>
        </is>
      </c>
    </row>
    <row r="255">
      <c r="A255" t="inlineStr">
        <is>
          <t>No</t>
        </is>
      </c>
      <c r="B255" t="inlineStr">
        <is>
          <t>HM24 .T554 1985</t>
        </is>
      </c>
      <c r="C255" t="inlineStr">
        <is>
          <t>0                      HM 0024000T  554         1985</t>
        </is>
      </c>
      <c r="D255" t="inlineStr">
        <is>
          <t>Three sociological traditions, selected readings / edited by Randall Collins.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New York : Oxford University Press, 1985.</t>
        </is>
      </c>
      <c r="M255" t="inlineStr">
        <is>
          <t>1985</t>
        </is>
      </c>
      <c r="O255" t="inlineStr">
        <is>
          <t>eng</t>
        </is>
      </c>
      <c r="P255" t="inlineStr">
        <is>
          <t>nyu</t>
        </is>
      </c>
      <c r="R255" t="inlineStr">
        <is>
          <t xml:space="preserve">HM </t>
        </is>
      </c>
      <c r="S255" t="n">
        <v>4</v>
      </c>
      <c r="T255" t="n">
        <v>4</v>
      </c>
      <c r="U255" t="inlineStr">
        <is>
          <t>1992-09-17</t>
        </is>
      </c>
      <c r="V255" t="inlineStr">
        <is>
          <t>1992-09-17</t>
        </is>
      </c>
      <c r="W255" t="inlineStr">
        <is>
          <t>1990-04-26</t>
        </is>
      </c>
      <c r="X255" t="inlineStr">
        <is>
          <t>1990-04-26</t>
        </is>
      </c>
      <c r="Y255" t="n">
        <v>311</v>
      </c>
      <c r="Z255" t="n">
        <v>204</v>
      </c>
      <c r="AA255" t="n">
        <v>429</v>
      </c>
      <c r="AB255" t="n">
        <v>3</v>
      </c>
      <c r="AC255" t="n">
        <v>3</v>
      </c>
      <c r="AD255" t="n">
        <v>11</v>
      </c>
      <c r="AE255" t="n">
        <v>22</v>
      </c>
      <c r="AF255" t="n">
        <v>4</v>
      </c>
      <c r="AG255" t="n">
        <v>9</v>
      </c>
      <c r="AH255" t="n">
        <v>3</v>
      </c>
      <c r="AI255" t="n">
        <v>4</v>
      </c>
      <c r="AJ255" t="n">
        <v>4</v>
      </c>
      <c r="AK255" t="n">
        <v>11</v>
      </c>
      <c r="AL255" t="n">
        <v>2</v>
      </c>
      <c r="AM255" t="n">
        <v>2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HYPERLINK("https://creighton-primo.hosted.exlibrisgroup.com/primo-explore/search?tab=default_tab&amp;search_scope=EVERYTHING&amp;vid=01CRU&amp;lang=en_US&amp;offset=0&amp;query=any,contains,991000429549702656","Catalog Record")</f>
        <v/>
      </c>
      <c r="AT255">
        <f>HYPERLINK("http://www.worldcat.org/oclc/10777821","WorldCat Record")</f>
        <v/>
      </c>
      <c r="AU255" t="inlineStr">
        <is>
          <t>3403281:eng</t>
        </is>
      </c>
      <c r="AV255" t="inlineStr">
        <is>
          <t>10777821</t>
        </is>
      </c>
      <c r="AW255" t="inlineStr">
        <is>
          <t>991000429549702656</t>
        </is>
      </c>
      <c r="AX255" t="inlineStr">
        <is>
          <t>991000429549702656</t>
        </is>
      </c>
      <c r="AY255" t="inlineStr">
        <is>
          <t>2265477900002656</t>
        </is>
      </c>
      <c r="AZ255" t="inlineStr">
        <is>
          <t>BOOK</t>
        </is>
      </c>
      <c r="BB255" t="inlineStr">
        <is>
          <t>9780195035216</t>
        </is>
      </c>
      <c r="BC255" t="inlineStr">
        <is>
          <t>32285000126390</t>
        </is>
      </c>
      <c r="BD255" t="inlineStr">
        <is>
          <t>893515269</t>
        </is>
      </c>
      <c r="BE255" t="inlineStr">
        <is>
          <t>Wishart</t>
        </is>
      </c>
    </row>
    <row r="256">
      <c r="A256" t="inlineStr">
        <is>
          <t>No</t>
        </is>
      </c>
      <c r="B256" t="inlineStr">
        <is>
          <t>HM24 .T84 1991</t>
        </is>
      </c>
      <c r="C256" t="inlineStr">
        <is>
          <t>0                      HM 0024000T  84          1991</t>
        </is>
      </c>
      <c r="D256" t="inlineStr">
        <is>
          <t>The structure of sociological theory / Jonathan H. Turner with contributions by Alexandra Maryanski and Stephan Fuchs.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Turner, Jonathan H.</t>
        </is>
      </c>
      <c r="L256" t="inlineStr">
        <is>
          <t>Belmont, Calif. : Wadsworth Pub. Co., c1991.</t>
        </is>
      </c>
      <c r="M256" t="inlineStr">
        <is>
          <t>1991</t>
        </is>
      </c>
      <c r="N256" t="inlineStr">
        <is>
          <t>5th ed.</t>
        </is>
      </c>
      <c r="O256" t="inlineStr">
        <is>
          <t>eng</t>
        </is>
      </c>
      <c r="P256" t="inlineStr">
        <is>
          <t>cau</t>
        </is>
      </c>
      <c r="R256" t="inlineStr">
        <is>
          <t xml:space="preserve">HM </t>
        </is>
      </c>
      <c r="S256" t="n">
        <v>4</v>
      </c>
      <c r="T256" t="n">
        <v>4</v>
      </c>
      <c r="U256" t="inlineStr">
        <is>
          <t>1997-03-05</t>
        </is>
      </c>
      <c r="V256" t="inlineStr">
        <is>
          <t>1997-03-05</t>
        </is>
      </c>
      <c r="W256" t="inlineStr">
        <is>
          <t>1994-06-10</t>
        </is>
      </c>
      <c r="X256" t="inlineStr">
        <is>
          <t>1994-06-10</t>
        </is>
      </c>
      <c r="Y256" t="n">
        <v>276</v>
      </c>
      <c r="Z256" t="n">
        <v>166</v>
      </c>
      <c r="AA256" t="n">
        <v>849</v>
      </c>
      <c r="AB256" t="n">
        <v>2</v>
      </c>
      <c r="AC256" t="n">
        <v>7</v>
      </c>
      <c r="AD256" t="n">
        <v>5</v>
      </c>
      <c r="AE256" t="n">
        <v>39</v>
      </c>
      <c r="AF256" t="n">
        <v>1</v>
      </c>
      <c r="AG256" t="n">
        <v>15</v>
      </c>
      <c r="AH256" t="n">
        <v>1</v>
      </c>
      <c r="AI256" t="n">
        <v>10</v>
      </c>
      <c r="AJ256" t="n">
        <v>3</v>
      </c>
      <c r="AK256" t="n">
        <v>20</v>
      </c>
      <c r="AL256" t="n">
        <v>1</v>
      </c>
      <c r="AM256" t="n">
        <v>6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HYPERLINK("https://creighton-primo.hosted.exlibrisgroup.com/primo-explore/search?tab=default_tab&amp;search_scope=EVERYTHING&amp;vid=01CRU&amp;lang=en_US&amp;offset=0&amp;query=any,contains,991001649839702656","Catalog Record")</f>
        <v/>
      </c>
      <c r="AT256">
        <f>HYPERLINK("http://www.worldcat.org/oclc/21079474","WorldCat Record")</f>
        <v/>
      </c>
      <c r="AU256" t="inlineStr">
        <is>
          <t>1828511:eng</t>
        </is>
      </c>
      <c r="AV256" t="inlineStr">
        <is>
          <t>21079474</t>
        </is>
      </c>
      <c r="AW256" t="inlineStr">
        <is>
          <t>991001649839702656</t>
        </is>
      </c>
      <c r="AX256" t="inlineStr">
        <is>
          <t>991001649839702656</t>
        </is>
      </c>
      <c r="AY256" t="inlineStr">
        <is>
          <t>2271362530002656</t>
        </is>
      </c>
      <c r="AZ256" t="inlineStr">
        <is>
          <t>BOOK</t>
        </is>
      </c>
      <c r="BB256" t="inlineStr">
        <is>
          <t>9780534138424</t>
        </is>
      </c>
      <c r="BC256" t="inlineStr">
        <is>
          <t>32285001922722</t>
        </is>
      </c>
      <c r="BD256" t="inlineStr">
        <is>
          <t>893426733</t>
        </is>
      </c>
      <c r="BE256" t="inlineStr">
        <is>
          <t>Wishart</t>
        </is>
      </c>
    </row>
    <row r="257">
      <c r="A257" t="inlineStr">
        <is>
          <t>No</t>
        </is>
      </c>
      <c r="B257" t="inlineStr">
        <is>
          <t>HM251 .F77725 1994</t>
        </is>
      </c>
      <c r="C257" t="inlineStr">
        <is>
          <t>0                      HM 0251000F  77725       1994</t>
        </is>
      </c>
      <c r="D257" t="inlineStr">
        <is>
          <t>The Erich Fromm reader / Erich Fromm ; readings selected and edited by Rainer Funk ; foreword by Joel Kovel.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Fromm, Erich, 1900-1980.</t>
        </is>
      </c>
      <c r="L257" t="inlineStr">
        <is>
          <t>Atlantic Highlands, N.J. : Humanities Press, 1994.</t>
        </is>
      </c>
      <c r="M257" t="inlineStr">
        <is>
          <t>1994</t>
        </is>
      </c>
      <c r="O257" t="inlineStr">
        <is>
          <t>eng</t>
        </is>
      </c>
      <c r="P257" t="inlineStr">
        <is>
          <t>nju</t>
        </is>
      </c>
      <c r="R257" t="inlineStr">
        <is>
          <t xml:space="preserve">HM </t>
        </is>
      </c>
      <c r="S257" t="n">
        <v>7</v>
      </c>
      <c r="T257" t="n">
        <v>7</v>
      </c>
      <c r="U257" t="inlineStr">
        <is>
          <t>2001-01-10</t>
        </is>
      </c>
      <c r="V257" t="inlineStr">
        <is>
          <t>2001-01-10</t>
        </is>
      </c>
      <c r="W257" t="inlineStr">
        <is>
          <t>1994-12-22</t>
        </is>
      </c>
      <c r="X257" t="inlineStr">
        <is>
          <t>1994-12-22</t>
        </is>
      </c>
      <c r="Y257" t="n">
        <v>166</v>
      </c>
      <c r="Z257" t="n">
        <v>124</v>
      </c>
      <c r="AA257" t="n">
        <v>233</v>
      </c>
      <c r="AB257" t="n">
        <v>1</v>
      </c>
      <c r="AC257" t="n">
        <v>1</v>
      </c>
      <c r="AD257" t="n">
        <v>1</v>
      </c>
      <c r="AE257" t="n">
        <v>3</v>
      </c>
      <c r="AF257" t="n">
        <v>1</v>
      </c>
      <c r="AG257" t="n">
        <v>2</v>
      </c>
      <c r="AH257" t="n">
        <v>0</v>
      </c>
      <c r="AI257" t="n">
        <v>1</v>
      </c>
      <c r="AJ257" t="n">
        <v>1</v>
      </c>
      <c r="AK257" t="n">
        <v>1</v>
      </c>
      <c r="AL257" t="n">
        <v>0</v>
      </c>
      <c r="AM257" t="n">
        <v>0</v>
      </c>
      <c r="AN257" t="n">
        <v>0</v>
      </c>
      <c r="AO257" t="n">
        <v>0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HYPERLINK("http://catalog.hathitrust.org/Record/002880518","HathiTrust Record")</f>
        <v/>
      </c>
      <c r="AS257">
        <f>HYPERLINK("https://creighton-primo.hosted.exlibrisgroup.com/primo-explore/search?tab=default_tab&amp;search_scope=EVERYTHING&amp;vid=01CRU&amp;lang=en_US&amp;offset=0&amp;query=any,contains,991002279709702656","Catalog Record")</f>
        <v/>
      </c>
      <c r="AT257">
        <f>HYPERLINK("http://www.worldcat.org/oclc/29564149","WorldCat Record")</f>
        <v/>
      </c>
      <c r="AU257" t="inlineStr">
        <is>
          <t>227083227:eng</t>
        </is>
      </c>
      <c r="AV257" t="inlineStr">
        <is>
          <t>29564149</t>
        </is>
      </c>
      <c r="AW257" t="inlineStr">
        <is>
          <t>991002279709702656</t>
        </is>
      </c>
      <c r="AX257" t="inlineStr">
        <is>
          <t>991002279709702656</t>
        </is>
      </c>
      <c r="AY257" t="inlineStr">
        <is>
          <t>2255639140002656</t>
        </is>
      </c>
      <c r="AZ257" t="inlineStr">
        <is>
          <t>BOOK</t>
        </is>
      </c>
      <c r="BB257" t="inlineStr">
        <is>
          <t>9780391038516</t>
        </is>
      </c>
      <c r="BC257" t="inlineStr">
        <is>
          <t>32285001978799</t>
        </is>
      </c>
      <c r="BD257" t="inlineStr">
        <is>
          <t>893685179</t>
        </is>
      </c>
      <c r="BE257" t="inlineStr">
        <is>
          <t>Wishart</t>
        </is>
      </c>
    </row>
    <row r="258">
      <c r="A258" t="inlineStr">
        <is>
          <t>No</t>
        </is>
      </c>
      <c r="B258" t="inlineStr">
        <is>
          <t>HM251 .L4748 1990</t>
        </is>
      </c>
      <c r="C258" t="inlineStr">
        <is>
          <t>0                      HM 0251000L  4748        1990</t>
        </is>
      </c>
      <c r="D258" t="inlineStr">
        <is>
          <t>Life as theater : a dramaturgical sourcebook / Dennis Brissett and Charles Edgley, editors.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L258" t="inlineStr">
        <is>
          <t>New York : Aldine de Gruyter, c1990.</t>
        </is>
      </c>
      <c r="M258" t="inlineStr">
        <is>
          <t>1990</t>
        </is>
      </c>
      <c r="N258" t="inlineStr">
        <is>
          <t>2nd ed.</t>
        </is>
      </c>
      <c r="O258" t="inlineStr">
        <is>
          <t>eng</t>
        </is>
      </c>
      <c r="P258" t="inlineStr">
        <is>
          <t>nyu</t>
        </is>
      </c>
      <c r="Q258" t="inlineStr">
        <is>
          <t>Communication and social order</t>
        </is>
      </c>
      <c r="R258" t="inlineStr">
        <is>
          <t xml:space="preserve">HM </t>
        </is>
      </c>
      <c r="S258" t="n">
        <v>1</v>
      </c>
      <c r="T258" t="n">
        <v>1</v>
      </c>
      <c r="U258" t="inlineStr">
        <is>
          <t>1993-06-22</t>
        </is>
      </c>
      <c r="V258" t="inlineStr">
        <is>
          <t>1993-06-22</t>
        </is>
      </c>
      <c r="W258" t="inlineStr">
        <is>
          <t>1990-10-13</t>
        </is>
      </c>
      <c r="X258" t="inlineStr">
        <is>
          <t>1990-10-13</t>
        </is>
      </c>
      <c r="Y258" t="n">
        <v>468</v>
      </c>
      <c r="Z258" t="n">
        <v>373</v>
      </c>
      <c r="AA258" t="n">
        <v>596</v>
      </c>
      <c r="AB258" t="n">
        <v>2</v>
      </c>
      <c r="AC258" t="n">
        <v>4</v>
      </c>
      <c r="AD258" t="n">
        <v>18</v>
      </c>
      <c r="AE258" t="n">
        <v>30</v>
      </c>
      <c r="AF258" t="n">
        <v>10</v>
      </c>
      <c r="AG258" t="n">
        <v>13</v>
      </c>
      <c r="AH258" t="n">
        <v>2</v>
      </c>
      <c r="AI258" t="n">
        <v>8</v>
      </c>
      <c r="AJ258" t="n">
        <v>8</v>
      </c>
      <c r="AK258" t="n">
        <v>15</v>
      </c>
      <c r="AL258" t="n">
        <v>1</v>
      </c>
      <c r="AM258" t="n">
        <v>3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HYPERLINK("https://creighton-primo.hosted.exlibrisgroup.com/primo-explore/search?tab=default_tab&amp;search_scope=EVERYTHING&amp;vid=01CRU&amp;lang=en_US&amp;offset=0&amp;query=any,contains,991001571529702656","Catalog Record")</f>
        <v/>
      </c>
      <c r="AT258">
        <f>HYPERLINK("http://www.worldcat.org/oclc/20392509","WorldCat Record")</f>
        <v/>
      </c>
      <c r="AU258" t="inlineStr">
        <is>
          <t>807191841:eng</t>
        </is>
      </c>
      <c r="AV258" t="inlineStr">
        <is>
          <t>20392509</t>
        </is>
      </c>
      <c r="AW258" t="inlineStr">
        <is>
          <t>991001571529702656</t>
        </is>
      </c>
      <c r="AX258" t="inlineStr">
        <is>
          <t>991001571529702656</t>
        </is>
      </c>
      <c r="AY258" t="inlineStr">
        <is>
          <t>2269247130002656</t>
        </is>
      </c>
      <c r="AZ258" t="inlineStr">
        <is>
          <t>BOOK</t>
        </is>
      </c>
      <c r="BB258" t="inlineStr">
        <is>
          <t>9780202303635</t>
        </is>
      </c>
      <c r="BC258" t="inlineStr">
        <is>
          <t>32285000310705</t>
        </is>
      </c>
      <c r="BD258" t="inlineStr">
        <is>
          <t>893334393</t>
        </is>
      </c>
      <c r="BE258" t="inlineStr">
        <is>
          <t>Wishart</t>
        </is>
      </c>
    </row>
    <row r="259">
      <c r="A259" t="inlineStr">
        <is>
          <t>No</t>
        </is>
      </c>
      <c r="B259" t="inlineStr">
        <is>
          <t>HM251 .M4192 1982</t>
        </is>
      </c>
      <c r="C259" t="inlineStr">
        <is>
          <t>0                      HM 0251000M  4192        1982</t>
        </is>
      </c>
      <c r="D259" t="inlineStr">
        <is>
          <t>The individual and the social self : unpublished work of George Herbert Mead / edited with an introduction by David L. Miller.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Mead, George Herbert, 1863-1931.</t>
        </is>
      </c>
      <c r="L259" t="inlineStr">
        <is>
          <t>Chicago : University of Chicago Press, 1982.</t>
        </is>
      </c>
      <c r="M259" t="inlineStr">
        <is>
          <t>1982</t>
        </is>
      </c>
      <c r="O259" t="inlineStr">
        <is>
          <t>eng</t>
        </is>
      </c>
      <c r="P259" t="inlineStr">
        <is>
          <t>ilu</t>
        </is>
      </c>
      <c r="R259" t="inlineStr">
        <is>
          <t xml:space="preserve">HM </t>
        </is>
      </c>
      <c r="S259" t="n">
        <v>3</v>
      </c>
      <c r="T259" t="n">
        <v>3</v>
      </c>
      <c r="U259" t="inlineStr">
        <is>
          <t>2007-11-10</t>
        </is>
      </c>
      <c r="V259" t="inlineStr">
        <is>
          <t>2007-11-10</t>
        </is>
      </c>
      <c r="W259" t="inlineStr">
        <is>
          <t>1992-09-03</t>
        </is>
      </c>
      <c r="X259" t="inlineStr">
        <is>
          <t>1992-09-03</t>
        </is>
      </c>
      <c r="Y259" t="n">
        <v>599</v>
      </c>
      <c r="Z259" t="n">
        <v>475</v>
      </c>
      <c r="AA259" t="n">
        <v>478</v>
      </c>
      <c r="AB259" t="n">
        <v>4</v>
      </c>
      <c r="AC259" t="n">
        <v>4</v>
      </c>
      <c r="AD259" t="n">
        <v>24</v>
      </c>
      <c r="AE259" t="n">
        <v>24</v>
      </c>
      <c r="AF259" t="n">
        <v>9</v>
      </c>
      <c r="AG259" t="n">
        <v>9</v>
      </c>
      <c r="AH259" t="n">
        <v>5</v>
      </c>
      <c r="AI259" t="n">
        <v>5</v>
      </c>
      <c r="AJ259" t="n">
        <v>13</v>
      </c>
      <c r="AK259" t="n">
        <v>13</v>
      </c>
      <c r="AL259" t="n">
        <v>3</v>
      </c>
      <c r="AM259" t="n">
        <v>3</v>
      </c>
      <c r="AN259" t="n">
        <v>0</v>
      </c>
      <c r="AO259" t="n">
        <v>0</v>
      </c>
      <c r="AP259" t="inlineStr">
        <is>
          <t>No</t>
        </is>
      </c>
      <c r="AQ259" t="inlineStr">
        <is>
          <t>No</t>
        </is>
      </c>
      <c r="AS259">
        <f>HYPERLINK("https://creighton-primo.hosted.exlibrisgroup.com/primo-explore/search?tab=default_tab&amp;search_scope=EVERYTHING&amp;vid=01CRU&amp;lang=en_US&amp;offset=0&amp;query=any,contains,991005229469702656","Catalog Record")</f>
        <v/>
      </c>
      <c r="AT259">
        <f>HYPERLINK("http://www.worldcat.org/oclc/8306595","WorldCat Record")</f>
        <v/>
      </c>
      <c r="AU259" t="inlineStr">
        <is>
          <t>198052103:eng</t>
        </is>
      </c>
      <c r="AV259" t="inlineStr">
        <is>
          <t>8306595</t>
        </is>
      </c>
      <c r="AW259" t="inlineStr">
        <is>
          <t>991005229469702656</t>
        </is>
      </c>
      <c r="AX259" t="inlineStr">
        <is>
          <t>991005229469702656</t>
        </is>
      </c>
      <c r="AY259" t="inlineStr">
        <is>
          <t>2269231110002656</t>
        </is>
      </c>
      <c r="AZ259" t="inlineStr">
        <is>
          <t>BOOK</t>
        </is>
      </c>
      <c r="BB259" t="inlineStr">
        <is>
          <t>9780226516738</t>
        </is>
      </c>
      <c r="BC259" t="inlineStr">
        <is>
          <t>32285001267656</t>
        </is>
      </c>
      <c r="BD259" t="inlineStr">
        <is>
          <t>893905325</t>
        </is>
      </c>
      <c r="BE259" t="inlineStr">
        <is>
          <t>Wishart</t>
        </is>
      </c>
    </row>
    <row r="260">
      <c r="A260" t="inlineStr">
        <is>
          <t>No</t>
        </is>
      </c>
      <c r="B260" t="inlineStr">
        <is>
          <t>HM251 .M4639 1992</t>
        </is>
      </c>
      <c r="C260" t="inlineStr">
        <is>
          <t>0                      HM 0251000M  4639        1992</t>
        </is>
      </c>
      <c r="D260" t="inlineStr">
        <is>
          <t>The individual in a social world : essays and experiments / Stanley Milgram ; edited by John Sabini, Maury Silver.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Milgram, Stanley.</t>
        </is>
      </c>
      <c r="L260" t="inlineStr">
        <is>
          <t>New York : McGraw-Hill, c1992.</t>
        </is>
      </c>
      <c r="M260" t="inlineStr">
        <is>
          <t>1992</t>
        </is>
      </c>
      <c r="N260" t="inlineStr">
        <is>
          <t>2nd ed.</t>
        </is>
      </c>
      <c r="O260" t="inlineStr">
        <is>
          <t>eng</t>
        </is>
      </c>
      <c r="P260" t="inlineStr">
        <is>
          <t>nyu</t>
        </is>
      </c>
      <c r="Q260" t="inlineStr">
        <is>
          <t>McGraw-Hill series in social psychology</t>
        </is>
      </c>
      <c r="R260" t="inlineStr">
        <is>
          <t xml:space="preserve">HM </t>
        </is>
      </c>
      <c r="S260" t="n">
        <v>4</v>
      </c>
      <c r="T260" t="n">
        <v>4</v>
      </c>
      <c r="U260" t="inlineStr">
        <is>
          <t>2009-10-03</t>
        </is>
      </c>
      <c r="V260" t="inlineStr">
        <is>
          <t>2009-10-03</t>
        </is>
      </c>
      <c r="W260" t="inlineStr">
        <is>
          <t>2008-02-04</t>
        </is>
      </c>
      <c r="X260" t="inlineStr">
        <is>
          <t>2008-02-04</t>
        </is>
      </c>
      <c r="Y260" t="n">
        <v>253</v>
      </c>
      <c r="Z260" t="n">
        <v>169</v>
      </c>
      <c r="AA260" t="n">
        <v>433</v>
      </c>
      <c r="AB260" t="n">
        <v>2</v>
      </c>
      <c r="AC260" t="n">
        <v>5</v>
      </c>
      <c r="AD260" t="n">
        <v>9</v>
      </c>
      <c r="AE260" t="n">
        <v>23</v>
      </c>
      <c r="AF260" t="n">
        <v>4</v>
      </c>
      <c r="AG260" t="n">
        <v>7</v>
      </c>
      <c r="AH260" t="n">
        <v>1</v>
      </c>
      <c r="AI260" t="n">
        <v>4</v>
      </c>
      <c r="AJ260" t="n">
        <v>6</v>
      </c>
      <c r="AK260" t="n">
        <v>14</v>
      </c>
      <c r="AL260" t="n">
        <v>1</v>
      </c>
      <c r="AM260" t="n">
        <v>3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HYPERLINK("http://catalog.hathitrust.org/Record/007130134","HathiTrust Record")</f>
        <v/>
      </c>
      <c r="AS260">
        <f>HYPERLINK("https://creighton-primo.hosted.exlibrisgroup.com/primo-explore/search?tab=default_tab&amp;search_scope=EVERYTHING&amp;vid=01CRU&amp;lang=en_US&amp;offset=0&amp;query=any,contains,991005179369702656","Catalog Record")</f>
        <v/>
      </c>
      <c r="AT260">
        <f>HYPERLINK("http://www.worldcat.org/oclc/24628422","WorldCat Record")</f>
        <v/>
      </c>
      <c r="AU260" t="inlineStr">
        <is>
          <t>836918887:eng</t>
        </is>
      </c>
      <c r="AV260" t="inlineStr">
        <is>
          <t>24628422</t>
        </is>
      </c>
      <c r="AW260" t="inlineStr">
        <is>
          <t>991005179369702656</t>
        </is>
      </c>
      <c r="AX260" t="inlineStr">
        <is>
          <t>991005179369702656</t>
        </is>
      </c>
      <c r="AY260" t="inlineStr">
        <is>
          <t>2261467690002656</t>
        </is>
      </c>
      <c r="AZ260" t="inlineStr">
        <is>
          <t>BOOK</t>
        </is>
      </c>
      <c r="BB260" t="inlineStr">
        <is>
          <t>9780070419360</t>
        </is>
      </c>
      <c r="BC260" t="inlineStr">
        <is>
          <t>32285005391742</t>
        </is>
      </c>
      <c r="BD260" t="inlineStr">
        <is>
          <t>893613255</t>
        </is>
      </c>
      <c r="BE260" t="inlineStr">
        <is>
          <t>Wishart</t>
        </is>
      </c>
    </row>
    <row r="261">
      <c r="A261" t="inlineStr">
        <is>
          <t>No</t>
        </is>
      </c>
      <c r="B261" t="inlineStr">
        <is>
          <t>HM271 .G27 1983</t>
        </is>
      </c>
      <c r="C261" t="inlineStr">
        <is>
          <t>0                      HM 0271000G  27          1983</t>
        </is>
      </c>
      <c r="D261" t="inlineStr">
        <is>
          <t>The anatomy of power / John Kenneth Galbraith.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Galbraith, John Kenneth, 1908-2006.</t>
        </is>
      </c>
      <c r="L261" t="inlineStr">
        <is>
          <t>Boston : Houghton Mifflin, 1983.</t>
        </is>
      </c>
      <c r="M261" t="inlineStr">
        <is>
          <t>1983</t>
        </is>
      </c>
      <c r="O261" t="inlineStr">
        <is>
          <t>eng</t>
        </is>
      </c>
      <c r="P261" t="inlineStr">
        <is>
          <t>mau</t>
        </is>
      </c>
      <c r="R261" t="inlineStr">
        <is>
          <t xml:space="preserve">HM </t>
        </is>
      </c>
      <c r="S261" t="n">
        <v>3</v>
      </c>
      <c r="T261" t="n">
        <v>3</v>
      </c>
      <c r="U261" t="inlineStr">
        <is>
          <t>1999-10-20</t>
        </is>
      </c>
      <c r="V261" t="inlineStr">
        <is>
          <t>1999-10-20</t>
        </is>
      </c>
      <c r="W261" t="inlineStr">
        <is>
          <t>1993-11-18</t>
        </is>
      </c>
      <c r="X261" t="inlineStr">
        <is>
          <t>1993-11-18</t>
        </is>
      </c>
      <c r="Y261" t="n">
        <v>1791</v>
      </c>
      <c r="Z261" t="n">
        <v>1570</v>
      </c>
      <c r="AA261" t="n">
        <v>1941</v>
      </c>
      <c r="AB261" t="n">
        <v>11</v>
      </c>
      <c r="AC261" t="n">
        <v>13</v>
      </c>
      <c r="AD261" t="n">
        <v>52</v>
      </c>
      <c r="AE261" t="n">
        <v>54</v>
      </c>
      <c r="AF261" t="n">
        <v>21</v>
      </c>
      <c r="AG261" t="n">
        <v>22</v>
      </c>
      <c r="AH261" t="n">
        <v>9</v>
      </c>
      <c r="AI261" t="n">
        <v>9</v>
      </c>
      <c r="AJ261" t="n">
        <v>21</v>
      </c>
      <c r="AK261" t="n">
        <v>22</v>
      </c>
      <c r="AL261" t="n">
        <v>8</v>
      </c>
      <c r="AM261" t="n">
        <v>8</v>
      </c>
      <c r="AN261" t="n">
        <v>5</v>
      </c>
      <c r="AO261" t="n">
        <v>5</v>
      </c>
      <c r="AP261" t="inlineStr">
        <is>
          <t>No</t>
        </is>
      </c>
      <c r="AQ261" t="inlineStr">
        <is>
          <t>Yes</t>
        </is>
      </c>
      <c r="AR261">
        <f>HYPERLINK("http://catalog.hathitrust.org/Record/000317773","HathiTrust Record")</f>
        <v/>
      </c>
      <c r="AS261">
        <f>HYPERLINK("https://creighton-primo.hosted.exlibrisgroup.com/primo-explore/search?tab=default_tab&amp;search_scope=EVERYTHING&amp;vid=01CRU&amp;lang=en_US&amp;offset=0&amp;query=any,contains,991005403189702656","Catalog Record")</f>
        <v/>
      </c>
      <c r="AT261">
        <f>HYPERLINK("http://www.worldcat.org/oclc/9685545","WorldCat Record")</f>
        <v/>
      </c>
      <c r="AU261" t="inlineStr">
        <is>
          <t>51508303:eng</t>
        </is>
      </c>
      <c r="AV261" t="inlineStr">
        <is>
          <t>9685545</t>
        </is>
      </c>
      <c r="AW261" t="inlineStr">
        <is>
          <t>991005403189702656</t>
        </is>
      </c>
      <c r="AX261" t="inlineStr">
        <is>
          <t>991005403189702656</t>
        </is>
      </c>
      <c r="AY261" t="inlineStr">
        <is>
          <t>2263124180002656</t>
        </is>
      </c>
      <c r="AZ261" t="inlineStr">
        <is>
          <t>BOOK</t>
        </is>
      </c>
      <c r="BB261" t="inlineStr">
        <is>
          <t>9780395344002</t>
        </is>
      </c>
      <c r="BC261" t="inlineStr">
        <is>
          <t>32285001799773</t>
        </is>
      </c>
      <c r="BD261" t="inlineStr">
        <is>
          <t>893353904</t>
        </is>
      </c>
      <c r="BE261" t="inlineStr">
        <is>
          <t>Wishart</t>
        </is>
      </c>
    </row>
    <row r="262">
      <c r="A262" t="inlineStr">
        <is>
          <t>No</t>
        </is>
      </c>
      <c r="B262" t="inlineStr">
        <is>
          <t>HM51 .L357 1991</t>
        </is>
      </c>
      <c r="C262" t="inlineStr">
        <is>
          <t>0                      HM 0051000L  357         1991</t>
        </is>
      </c>
      <c r="D262" t="inlineStr">
        <is>
          <t>Human societies : an introduction to macrosociology / Gerhard Lenski, Jean Lenski, Patrick Nolan.</t>
        </is>
      </c>
      <c r="F262" t="inlineStr">
        <is>
          <t>No</t>
        </is>
      </c>
      <c r="G262" t="inlineStr">
        <is>
          <t>1</t>
        </is>
      </c>
      <c r="H262" t="inlineStr">
        <is>
          <t>Yes</t>
        </is>
      </c>
      <c r="I262" t="inlineStr">
        <is>
          <t>No</t>
        </is>
      </c>
      <c r="J262" t="inlineStr">
        <is>
          <t>0</t>
        </is>
      </c>
      <c r="K262" t="inlineStr">
        <is>
          <t>Lenski, Gerhard, 1924-2015.</t>
        </is>
      </c>
      <c r="L262" t="inlineStr">
        <is>
          <t>New York : McGraw-Hill, c1991.</t>
        </is>
      </c>
      <c r="M262" t="inlineStr">
        <is>
          <t>1991</t>
        </is>
      </c>
      <c r="N262" t="inlineStr">
        <is>
          <t>6th ed.</t>
        </is>
      </c>
      <c r="O262" t="inlineStr">
        <is>
          <t>eng</t>
        </is>
      </c>
      <c r="P262" t="inlineStr">
        <is>
          <t>nyu</t>
        </is>
      </c>
      <c r="R262" t="inlineStr">
        <is>
          <t xml:space="preserve">HM </t>
        </is>
      </c>
      <c r="S262" t="n">
        <v>7</v>
      </c>
      <c r="T262" t="n">
        <v>9</v>
      </c>
      <c r="U262" t="inlineStr">
        <is>
          <t>1998-09-26</t>
        </is>
      </c>
      <c r="V262" t="inlineStr">
        <is>
          <t>1998-09-26</t>
        </is>
      </c>
      <c r="W262" t="inlineStr">
        <is>
          <t>1992-09-14</t>
        </is>
      </c>
      <c r="X262" t="inlineStr">
        <is>
          <t>1992-09-14</t>
        </is>
      </c>
      <c r="Y262" t="n">
        <v>122</v>
      </c>
      <c r="Z262" t="n">
        <v>60</v>
      </c>
      <c r="AA262" t="n">
        <v>763</v>
      </c>
      <c r="AB262" t="n">
        <v>1</v>
      </c>
      <c r="AC262" t="n">
        <v>5</v>
      </c>
      <c r="AD262" t="n">
        <v>0</v>
      </c>
      <c r="AE262" t="n">
        <v>29</v>
      </c>
      <c r="AF262" t="n">
        <v>0</v>
      </c>
      <c r="AG262" t="n">
        <v>13</v>
      </c>
      <c r="AH262" t="n">
        <v>0</v>
      </c>
      <c r="AI262" t="n">
        <v>6</v>
      </c>
      <c r="AJ262" t="n">
        <v>0</v>
      </c>
      <c r="AK262" t="n">
        <v>15</v>
      </c>
      <c r="AL262" t="n">
        <v>0</v>
      </c>
      <c r="AM262" t="n">
        <v>4</v>
      </c>
      <c r="AN262" t="n">
        <v>0</v>
      </c>
      <c r="AO262" t="n">
        <v>0</v>
      </c>
      <c r="AP262" t="inlineStr">
        <is>
          <t>No</t>
        </is>
      </c>
      <c r="AQ262" t="inlineStr">
        <is>
          <t>No</t>
        </is>
      </c>
      <c r="AS262">
        <f>HYPERLINK("https://creighton-primo.hosted.exlibrisgroup.com/primo-explore/search?tab=default_tab&amp;search_scope=EVERYTHING&amp;vid=01CRU&amp;lang=en_US&amp;offset=0&amp;query=any,contains,991001711499702656","Catalog Record")</f>
        <v/>
      </c>
      <c r="AT262">
        <f>HYPERLINK("http://www.worldcat.org/oclc/21600322","WorldCat Record")</f>
        <v/>
      </c>
      <c r="AU262" t="inlineStr">
        <is>
          <t>4926818187:eng</t>
        </is>
      </c>
      <c r="AV262" t="inlineStr">
        <is>
          <t>21600322</t>
        </is>
      </c>
      <c r="AW262" t="inlineStr">
        <is>
          <t>991001711499702656</t>
        </is>
      </c>
      <c r="AX262" t="inlineStr">
        <is>
          <t>991001711499702656</t>
        </is>
      </c>
      <c r="AY262" t="inlineStr">
        <is>
          <t>2260059490002656</t>
        </is>
      </c>
      <c r="AZ262" t="inlineStr">
        <is>
          <t>BOOK</t>
        </is>
      </c>
      <c r="BB262" t="inlineStr">
        <is>
          <t>9780070372436</t>
        </is>
      </c>
      <c r="BC262" t="inlineStr">
        <is>
          <t>32285001287480</t>
        </is>
      </c>
      <c r="BD262" t="inlineStr">
        <is>
          <t>893621563</t>
        </is>
      </c>
      <c r="BE262" t="inlineStr">
        <is>
          <t>Wishart</t>
        </is>
      </c>
    </row>
    <row r="263">
      <c r="A263" t="inlineStr">
        <is>
          <t>No</t>
        </is>
      </c>
      <c r="B263" t="inlineStr">
        <is>
          <t>HM51 .P34</t>
        </is>
      </c>
      <c r="C263" t="inlineStr">
        <is>
          <t>0                      HM 0051000P  34</t>
        </is>
      </c>
      <c r="D263" t="inlineStr">
        <is>
          <t>American sociology; perspectives, problems, methods, edited by Talcott Parsons.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Parsons, Talcott, 1902-1979.</t>
        </is>
      </c>
      <c r="L263" t="inlineStr">
        <is>
          <t>New York, Basic Books [1968]</t>
        </is>
      </c>
      <c r="M263" t="inlineStr">
        <is>
          <t>1968</t>
        </is>
      </c>
      <c r="O263" t="inlineStr">
        <is>
          <t>eng</t>
        </is>
      </c>
      <c r="P263" t="inlineStr">
        <is>
          <t>nyu</t>
        </is>
      </c>
      <c r="R263" t="inlineStr">
        <is>
          <t xml:space="preserve">HM </t>
        </is>
      </c>
      <c r="S263" t="n">
        <v>1</v>
      </c>
      <c r="T263" t="n">
        <v>1</v>
      </c>
      <c r="U263" t="inlineStr">
        <is>
          <t>1998-10-06</t>
        </is>
      </c>
      <c r="V263" t="inlineStr">
        <is>
          <t>1998-10-06</t>
        </is>
      </c>
      <c r="W263" t="inlineStr">
        <is>
          <t>1997-07-28</t>
        </is>
      </c>
      <c r="X263" t="inlineStr">
        <is>
          <t>1997-07-28</t>
        </is>
      </c>
      <c r="Y263" t="n">
        <v>617</v>
      </c>
      <c r="Z263" t="n">
        <v>506</v>
      </c>
      <c r="AA263" t="n">
        <v>512</v>
      </c>
      <c r="AB263" t="n">
        <v>6</v>
      </c>
      <c r="AC263" t="n">
        <v>6</v>
      </c>
      <c r="AD263" t="n">
        <v>23</v>
      </c>
      <c r="AE263" t="n">
        <v>23</v>
      </c>
      <c r="AF263" t="n">
        <v>6</v>
      </c>
      <c r="AG263" t="n">
        <v>6</v>
      </c>
      <c r="AH263" t="n">
        <v>6</v>
      </c>
      <c r="AI263" t="n">
        <v>6</v>
      </c>
      <c r="AJ263" t="n">
        <v>11</v>
      </c>
      <c r="AK263" t="n">
        <v>11</v>
      </c>
      <c r="AL263" t="n">
        <v>5</v>
      </c>
      <c r="AM263" t="n">
        <v>5</v>
      </c>
      <c r="AN263" t="n">
        <v>0</v>
      </c>
      <c r="AO263" t="n">
        <v>0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HYPERLINK("https://creighton-primo.hosted.exlibrisgroup.com/primo-explore/search?tab=default_tab&amp;search_scope=EVERYTHING&amp;vid=01CRU&amp;lang=en_US&amp;offset=0&amp;query=any,contains,991002166009702656","Catalog Record")</f>
        <v/>
      </c>
      <c r="AT263">
        <f>HYPERLINK("http://www.worldcat.org/oclc/275399","WorldCat Record")</f>
        <v/>
      </c>
      <c r="AU263" t="inlineStr">
        <is>
          <t>865027207:eng</t>
        </is>
      </c>
      <c r="AV263" t="inlineStr">
        <is>
          <t>275399</t>
        </is>
      </c>
      <c r="AW263" t="inlineStr">
        <is>
          <t>991002166009702656</t>
        </is>
      </c>
      <c r="AX263" t="inlineStr">
        <is>
          <t>991002166009702656</t>
        </is>
      </c>
      <c r="AY263" t="inlineStr">
        <is>
          <t>2263420580002656</t>
        </is>
      </c>
      <c r="AZ263" t="inlineStr">
        <is>
          <t>BOOK</t>
        </is>
      </c>
      <c r="BC263" t="inlineStr">
        <is>
          <t>32285003009031</t>
        </is>
      </c>
      <c r="BD263" t="inlineStr">
        <is>
          <t>893603263</t>
        </is>
      </c>
      <c r="BE263" t="inlineStr">
        <is>
          <t>Wishart</t>
        </is>
      </c>
    </row>
    <row r="264">
      <c r="A264" t="inlineStr">
        <is>
          <t>No</t>
        </is>
      </c>
      <c r="B264" t="inlineStr">
        <is>
          <t>HM511 .B43 2007</t>
        </is>
      </c>
      <c r="C264" t="inlineStr">
        <is>
          <t>0                      HM 0511000B  43          2007</t>
        </is>
      </c>
      <c r="D264" t="inlineStr">
        <is>
          <t>Telling about society / Howard S. Becker.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Becker, Howard Saul, 1928-</t>
        </is>
      </c>
      <c r="L264" t="inlineStr">
        <is>
          <t>Chicago : University of Chicago Press, 2007.</t>
        </is>
      </c>
      <c r="M264" t="inlineStr">
        <is>
          <t>2007</t>
        </is>
      </c>
      <c r="O264" t="inlineStr">
        <is>
          <t>eng</t>
        </is>
      </c>
      <c r="P264" t="inlineStr">
        <is>
          <t>ilu</t>
        </is>
      </c>
      <c r="Q264" t="inlineStr">
        <is>
          <t>Chicago guides to writing, editing, and publishing</t>
        </is>
      </c>
      <c r="R264" t="inlineStr">
        <is>
          <t xml:space="preserve">HM </t>
        </is>
      </c>
      <c r="S264" t="n">
        <v>1</v>
      </c>
      <c r="T264" t="n">
        <v>1</v>
      </c>
      <c r="U264" t="inlineStr">
        <is>
          <t>2007-11-01</t>
        </is>
      </c>
      <c r="V264" t="inlineStr">
        <is>
          <t>2007-11-01</t>
        </is>
      </c>
      <c r="W264" t="inlineStr">
        <is>
          <t>2007-11-01</t>
        </is>
      </c>
      <c r="X264" t="inlineStr">
        <is>
          <t>2007-11-01</t>
        </is>
      </c>
      <c r="Y264" t="n">
        <v>407</v>
      </c>
      <c r="Z264" t="n">
        <v>268</v>
      </c>
      <c r="AA264" t="n">
        <v>270</v>
      </c>
      <c r="AB264" t="n">
        <v>3</v>
      </c>
      <c r="AC264" t="n">
        <v>3</v>
      </c>
      <c r="AD264" t="n">
        <v>16</v>
      </c>
      <c r="AE264" t="n">
        <v>16</v>
      </c>
      <c r="AF264" t="n">
        <v>4</v>
      </c>
      <c r="AG264" t="n">
        <v>4</v>
      </c>
      <c r="AH264" t="n">
        <v>5</v>
      </c>
      <c r="AI264" t="n">
        <v>5</v>
      </c>
      <c r="AJ264" t="n">
        <v>9</v>
      </c>
      <c r="AK264" t="n">
        <v>9</v>
      </c>
      <c r="AL264" t="n">
        <v>2</v>
      </c>
      <c r="AM264" t="n">
        <v>2</v>
      </c>
      <c r="AN264" t="n">
        <v>1</v>
      </c>
      <c r="AO264" t="n">
        <v>1</v>
      </c>
      <c r="AP264" t="inlineStr">
        <is>
          <t>No</t>
        </is>
      </c>
      <c r="AQ264" t="inlineStr">
        <is>
          <t>No</t>
        </is>
      </c>
      <c r="AS264">
        <f>HYPERLINK("https://creighton-primo.hosted.exlibrisgroup.com/primo-explore/search?tab=default_tab&amp;search_scope=EVERYTHING&amp;vid=01CRU&amp;lang=en_US&amp;offset=0&amp;query=any,contains,991005134489702656","Catalog Record")</f>
        <v/>
      </c>
      <c r="AT264">
        <f>HYPERLINK("http://www.worldcat.org/oclc/77573180","WorldCat Record")</f>
        <v/>
      </c>
      <c r="AU264" t="inlineStr">
        <is>
          <t>63140783:eng</t>
        </is>
      </c>
      <c r="AV264" t="inlineStr">
        <is>
          <t>77573180</t>
        </is>
      </c>
      <c r="AW264" t="inlineStr">
        <is>
          <t>991005134489702656</t>
        </is>
      </c>
      <c r="AX264" t="inlineStr">
        <is>
          <t>991005134489702656</t>
        </is>
      </c>
      <c r="AY264" t="inlineStr">
        <is>
          <t>2266534390002656</t>
        </is>
      </c>
      <c r="AZ264" t="inlineStr">
        <is>
          <t>BOOK</t>
        </is>
      </c>
      <c r="BB264" t="inlineStr">
        <is>
          <t>9780226041254</t>
        </is>
      </c>
      <c r="BC264" t="inlineStr">
        <is>
          <t>32285005364186</t>
        </is>
      </c>
      <c r="BD264" t="inlineStr">
        <is>
          <t>893594531</t>
        </is>
      </c>
      <c r="BE264" t="inlineStr">
        <is>
          <t>Wishart</t>
        </is>
      </c>
    </row>
    <row r="265">
      <c r="A265" t="inlineStr">
        <is>
          <t>No</t>
        </is>
      </c>
      <c r="B265" t="inlineStr">
        <is>
          <t>HM57 .M33 1964</t>
        </is>
      </c>
      <c r="C265" t="inlineStr">
        <is>
          <t>0                      HM 0057000M  33          1964</t>
        </is>
      </c>
      <c r="D265" t="inlineStr">
        <is>
          <t>Selected writings in sociology &amp; social philosophy. Newly translated by T. B. Bottomore. Edited, with an introd. and notes, by Mr. Bottomore and Maximilien Rubel, and with a foreword by Erich Fromm.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Marx, Karl, 1818-1883.</t>
        </is>
      </c>
      <c r="L265" t="inlineStr">
        <is>
          <t>New York, McGraw-Hill [1964]</t>
        </is>
      </c>
      <c r="M265" t="inlineStr">
        <is>
          <t>1964</t>
        </is>
      </c>
      <c r="N265" t="inlineStr">
        <is>
          <t>[1st McGraw-Hill ed.]</t>
        </is>
      </c>
      <c r="O265" t="inlineStr">
        <is>
          <t>eng</t>
        </is>
      </c>
      <c r="P265" t="inlineStr">
        <is>
          <t>nyu</t>
        </is>
      </c>
      <c r="R265" t="inlineStr">
        <is>
          <t xml:space="preserve">HM </t>
        </is>
      </c>
      <c r="S265" t="n">
        <v>1</v>
      </c>
      <c r="T265" t="n">
        <v>1</v>
      </c>
      <c r="U265" t="inlineStr">
        <is>
          <t>1998-11-02</t>
        </is>
      </c>
      <c r="V265" t="inlineStr">
        <is>
          <t>1998-11-02</t>
        </is>
      </c>
      <c r="W265" t="inlineStr">
        <is>
          <t>1990-04-06</t>
        </is>
      </c>
      <c r="X265" t="inlineStr">
        <is>
          <t>1990-04-06</t>
        </is>
      </c>
      <c r="Y265" t="n">
        <v>900</v>
      </c>
      <c r="Z265" t="n">
        <v>823</v>
      </c>
      <c r="AA265" t="n">
        <v>1064</v>
      </c>
      <c r="AB265" t="n">
        <v>6</v>
      </c>
      <c r="AC265" t="n">
        <v>8</v>
      </c>
      <c r="AD265" t="n">
        <v>37</v>
      </c>
      <c r="AE265" t="n">
        <v>45</v>
      </c>
      <c r="AF265" t="n">
        <v>17</v>
      </c>
      <c r="AG265" t="n">
        <v>17</v>
      </c>
      <c r="AH265" t="n">
        <v>8</v>
      </c>
      <c r="AI265" t="n">
        <v>8</v>
      </c>
      <c r="AJ265" t="n">
        <v>17</v>
      </c>
      <c r="AK265" t="n">
        <v>23</v>
      </c>
      <c r="AL265" t="n">
        <v>5</v>
      </c>
      <c r="AM265" t="n">
        <v>7</v>
      </c>
      <c r="AN265" t="n">
        <v>1</v>
      </c>
      <c r="AO265" t="n">
        <v>1</v>
      </c>
      <c r="AP265" t="inlineStr">
        <is>
          <t>No</t>
        </is>
      </c>
      <c r="AQ265" t="inlineStr">
        <is>
          <t>Yes</t>
        </is>
      </c>
      <c r="AR265">
        <f>HYPERLINK("http://catalog.hathitrust.org/Record/001108005","HathiTrust Record")</f>
        <v/>
      </c>
      <c r="AS265">
        <f>HYPERLINK("https://creighton-primo.hosted.exlibrisgroup.com/primo-explore/search?tab=default_tab&amp;search_scope=EVERYTHING&amp;vid=01CRU&amp;lang=en_US&amp;offset=0&amp;query=any,contains,991002347679702656","Catalog Record")</f>
        <v/>
      </c>
      <c r="AT265">
        <f>HYPERLINK("http://www.worldcat.org/oclc/324784","WorldCat Record")</f>
        <v/>
      </c>
      <c r="AU265" t="inlineStr">
        <is>
          <t>2364896:eng</t>
        </is>
      </c>
      <c r="AV265" t="inlineStr">
        <is>
          <t>324784</t>
        </is>
      </c>
      <c r="AW265" t="inlineStr">
        <is>
          <t>991002347679702656</t>
        </is>
      </c>
      <c r="AX265" t="inlineStr">
        <is>
          <t>991002347679702656</t>
        </is>
      </c>
      <c r="AY265" t="inlineStr">
        <is>
          <t>2255315920002656</t>
        </is>
      </c>
      <c r="AZ265" t="inlineStr">
        <is>
          <t>BOOK</t>
        </is>
      </c>
      <c r="BC265" t="inlineStr">
        <is>
          <t>32285000112648</t>
        </is>
      </c>
      <c r="BD265" t="inlineStr">
        <is>
          <t>893886147</t>
        </is>
      </c>
      <c r="BE265" t="inlineStr">
        <is>
          <t>Wishart</t>
        </is>
      </c>
    </row>
    <row r="266">
      <c r="A266" t="inlineStr">
        <is>
          <t>No</t>
        </is>
      </c>
      <c r="B266" t="inlineStr">
        <is>
          <t>HM646 .P35 2000</t>
        </is>
      </c>
      <c r="C266" t="inlineStr">
        <is>
          <t>0                      HM 0646000P  35          2000</t>
        </is>
      </c>
      <c r="D266" t="inlineStr">
        <is>
          <t>Cultures of darkness : night travels in the histories of transgression / Bryan D. Palmer.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Palmer, Bryan D.</t>
        </is>
      </c>
      <c r="L266" t="inlineStr">
        <is>
          <t>New York : Monthly Review Press, c2000.</t>
        </is>
      </c>
      <c r="M266" t="inlineStr">
        <is>
          <t>2000</t>
        </is>
      </c>
      <c r="O266" t="inlineStr">
        <is>
          <t>eng</t>
        </is>
      </c>
      <c r="P266" t="inlineStr">
        <is>
          <t>nyu</t>
        </is>
      </c>
      <c r="R266" t="inlineStr">
        <is>
          <t xml:space="preserve">HM </t>
        </is>
      </c>
      <c r="S266" t="n">
        <v>6</v>
      </c>
      <c r="T266" t="n">
        <v>6</v>
      </c>
      <c r="U266" t="inlineStr">
        <is>
          <t>2007-03-23</t>
        </is>
      </c>
      <c r="V266" t="inlineStr">
        <is>
          <t>2007-03-23</t>
        </is>
      </c>
      <c r="W266" t="inlineStr">
        <is>
          <t>2002-05-22</t>
        </is>
      </c>
      <c r="X266" t="inlineStr">
        <is>
          <t>2002-05-22</t>
        </is>
      </c>
      <c r="Y266" t="n">
        <v>568</v>
      </c>
      <c r="Z266" t="n">
        <v>487</v>
      </c>
      <c r="AA266" t="n">
        <v>489</v>
      </c>
      <c r="AB266" t="n">
        <v>3</v>
      </c>
      <c r="AC266" t="n">
        <v>3</v>
      </c>
      <c r="AD266" t="n">
        <v>25</v>
      </c>
      <c r="AE266" t="n">
        <v>25</v>
      </c>
      <c r="AF266" t="n">
        <v>8</v>
      </c>
      <c r="AG266" t="n">
        <v>8</v>
      </c>
      <c r="AH266" t="n">
        <v>8</v>
      </c>
      <c r="AI266" t="n">
        <v>8</v>
      </c>
      <c r="AJ266" t="n">
        <v>11</v>
      </c>
      <c r="AK266" t="n">
        <v>11</v>
      </c>
      <c r="AL266" t="n">
        <v>2</v>
      </c>
      <c r="AM266" t="n">
        <v>2</v>
      </c>
      <c r="AN266" t="n">
        <v>1</v>
      </c>
      <c r="AO266" t="n">
        <v>1</v>
      </c>
      <c r="AP266" t="inlineStr">
        <is>
          <t>No</t>
        </is>
      </c>
      <c r="AQ266" t="inlineStr">
        <is>
          <t>Yes</t>
        </is>
      </c>
      <c r="AR266">
        <f>HYPERLINK("http://catalog.hathitrust.org/Record/004580706","HathiTrust Record")</f>
        <v/>
      </c>
      <c r="AS266">
        <f>HYPERLINK("https://creighton-primo.hosted.exlibrisgroup.com/primo-explore/search?tab=default_tab&amp;search_scope=EVERYTHING&amp;vid=01CRU&amp;lang=en_US&amp;offset=0&amp;query=any,contains,991003787759702656","Catalog Record")</f>
        <v/>
      </c>
      <c r="AT266">
        <f>HYPERLINK("http://www.worldcat.org/oclc/44885162","WorldCat Record")</f>
        <v/>
      </c>
      <c r="AU266" t="inlineStr">
        <is>
          <t>198835981:eng</t>
        </is>
      </c>
      <c r="AV266" t="inlineStr">
        <is>
          <t>44885162</t>
        </is>
      </c>
      <c r="AW266" t="inlineStr">
        <is>
          <t>991003787759702656</t>
        </is>
      </c>
      <c r="AX266" t="inlineStr">
        <is>
          <t>991003787759702656</t>
        </is>
      </c>
      <c r="AY266" t="inlineStr">
        <is>
          <t>2259705180002656</t>
        </is>
      </c>
      <c r="AZ266" t="inlineStr">
        <is>
          <t>BOOK</t>
        </is>
      </c>
      <c r="BB266" t="inlineStr">
        <is>
          <t>9781583670262</t>
        </is>
      </c>
      <c r="BC266" t="inlineStr">
        <is>
          <t>32285004489497</t>
        </is>
      </c>
      <c r="BD266" t="inlineStr">
        <is>
          <t>893592896</t>
        </is>
      </c>
      <c r="BE266" t="inlineStr">
        <is>
          <t>Wishart</t>
        </is>
      </c>
    </row>
    <row r="267">
      <c r="A267" t="inlineStr">
        <is>
          <t>No</t>
        </is>
      </c>
      <c r="B267" t="inlineStr">
        <is>
          <t>HM671 .F43 2001</t>
        </is>
      </c>
      <c r="C267" t="inlineStr">
        <is>
          <t>0                      HM 0671000F  43          2001</t>
        </is>
      </c>
      <c r="D267" t="inlineStr">
        <is>
          <t>Liberation sociology / Joe R. Feagin and Hernán Vera.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Feagin, Joe R.</t>
        </is>
      </c>
      <c r="L267" t="inlineStr">
        <is>
          <t>Boulder, Colo. : Westview Press, 2001.</t>
        </is>
      </c>
      <c r="M267" t="inlineStr">
        <is>
          <t>2001</t>
        </is>
      </c>
      <c r="O267" t="inlineStr">
        <is>
          <t>eng</t>
        </is>
      </c>
      <c r="P267" t="inlineStr">
        <is>
          <t>cou</t>
        </is>
      </c>
      <c r="R267" t="inlineStr">
        <is>
          <t xml:space="preserve">HM </t>
        </is>
      </c>
      <c r="S267" t="n">
        <v>1</v>
      </c>
      <c r="T267" t="n">
        <v>1</v>
      </c>
      <c r="U267" t="inlineStr">
        <is>
          <t>2003-06-11</t>
        </is>
      </c>
      <c r="V267" t="inlineStr">
        <is>
          <t>2003-06-11</t>
        </is>
      </c>
      <c r="W267" t="inlineStr">
        <is>
          <t>2003-06-11</t>
        </is>
      </c>
      <c r="X267" t="inlineStr">
        <is>
          <t>2003-06-11</t>
        </is>
      </c>
      <c r="Y267" t="n">
        <v>549</v>
      </c>
      <c r="Z267" t="n">
        <v>480</v>
      </c>
      <c r="AA267" t="n">
        <v>594</v>
      </c>
      <c r="AB267" t="n">
        <v>5</v>
      </c>
      <c r="AC267" t="n">
        <v>6</v>
      </c>
      <c r="AD267" t="n">
        <v>27</v>
      </c>
      <c r="AE267" t="n">
        <v>33</v>
      </c>
      <c r="AF267" t="n">
        <v>9</v>
      </c>
      <c r="AG267" t="n">
        <v>12</v>
      </c>
      <c r="AH267" t="n">
        <v>7</v>
      </c>
      <c r="AI267" t="n">
        <v>8</v>
      </c>
      <c r="AJ267" t="n">
        <v>12</v>
      </c>
      <c r="AK267" t="n">
        <v>16</v>
      </c>
      <c r="AL267" t="n">
        <v>4</v>
      </c>
      <c r="AM267" t="n">
        <v>5</v>
      </c>
      <c r="AN267" t="n">
        <v>1</v>
      </c>
      <c r="AO267" t="n">
        <v>1</v>
      </c>
      <c r="AP267" t="inlineStr">
        <is>
          <t>No</t>
        </is>
      </c>
      <c r="AQ267" t="inlineStr">
        <is>
          <t>No</t>
        </is>
      </c>
      <c r="AS267">
        <f>HYPERLINK("https://creighton-primo.hosted.exlibrisgroup.com/primo-explore/search?tab=default_tab&amp;search_scope=EVERYTHING&amp;vid=01CRU&amp;lang=en_US&amp;offset=0&amp;query=any,contains,991004053959702656","Catalog Record")</f>
        <v/>
      </c>
      <c r="AT267">
        <f>HYPERLINK("http://www.worldcat.org/oclc/46449074","WorldCat Record")</f>
        <v/>
      </c>
      <c r="AU267" t="inlineStr">
        <is>
          <t>51280:eng</t>
        </is>
      </c>
      <c r="AV267" t="inlineStr">
        <is>
          <t>46449074</t>
        </is>
      </c>
      <c r="AW267" t="inlineStr">
        <is>
          <t>991004053959702656</t>
        </is>
      </c>
      <c r="AX267" t="inlineStr">
        <is>
          <t>991004053959702656</t>
        </is>
      </c>
      <c r="AY267" t="inlineStr">
        <is>
          <t>2263068030002656</t>
        </is>
      </c>
      <c r="AZ267" t="inlineStr">
        <is>
          <t>BOOK</t>
        </is>
      </c>
      <c r="BB267" t="inlineStr">
        <is>
          <t>9780813333236</t>
        </is>
      </c>
      <c r="BC267" t="inlineStr">
        <is>
          <t>32285004751912</t>
        </is>
      </c>
      <c r="BD267" t="inlineStr">
        <is>
          <t>893423323</t>
        </is>
      </c>
      <c r="BE267" t="inlineStr">
        <is>
          <t>Wishart</t>
        </is>
      </c>
    </row>
    <row r="268">
      <c r="A268" t="inlineStr">
        <is>
          <t>No</t>
        </is>
      </c>
      <c r="B268" t="inlineStr">
        <is>
          <t>HN8 .T73 1990</t>
        </is>
      </c>
      <c r="C268" t="inlineStr">
        <is>
          <t>0                      HN 0008000T  73          1990</t>
        </is>
      </c>
      <c r="D268" t="inlineStr">
        <is>
          <t>Transforming the revolution : social movements and the world-system / Samir Amin ... [et al.].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L268" t="inlineStr">
        <is>
          <t>New York : Monthly Review Press, 1990.</t>
        </is>
      </c>
      <c r="M268" t="inlineStr">
        <is>
          <t>1990</t>
        </is>
      </c>
      <c r="O268" t="inlineStr">
        <is>
          <t>eng</t>
        </is>
      </c>
      <c r="P268" t="inlineStr">
        <is>
          <t>nyu</t>
        </is>
      </c>
      <c r="R268" t="inlineStr">
        <is>
          <t xml:space="preserve">HN </t>
        </is>
      </c>
      <c r="S268" t="n">
        <v>2</v>
      </c>
      <c r="T268" t="n">
        <v>2</v>
      </c>
      <c r="U268" t="inlineStr">
        <is>
          <t>1999-09-19</t>
        </is>
      </c>
      <c r="V268" t="inlineStr">
        <is>
          <t>1999-09-19</t>
        </is>
      </c>
      <c r="W268" t="inlineStr">
        <is>
          <t>1991-05-17</t>
        </is>
      </c>
      <c r="X268" t="inlineStr">
        <is>
          <t>1991-05-17</t>
        </is>
      </c>
      <c r="Y268" t="n">
        <v>311</v>
      </c>
      <c r="Z268" t="n">
        <v>236</v>
      </c>
      <c r="AA268" t="n">
        <v>238</v>
      </c>
      <c r="AB268" t="n">
        <v>3</v>
      </c>
      <c r="AC268" t="n">
        <v>3</v>
      </c>
      <c r="AD268" t="n">
        <v>13</v>
      </c>
      <c r="AE268" t="n">
        <v>13</v>
      </c>
      <c r="AF268" t="n">
        <v>2</v>
      </c>
      <c r="AG268" t="n">
        <v>2</v>
      </c>
      <c r="AH268" t="n">
        <v>4</v>
      </c>
      <c r="AI268" t="n">
        <v>4</v>
      </c>
      <c r="AJ268" t="n">
        <v>9</v>
      </c>
      <c r="AK268" t="n">
        <v>9</v>
      </c>
      <c r="AL268" t="n">
        <v>2</v>
      </c>
      <c r="AM268" t="n">
        <v>2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HYPERLINK("http://catalog.hathitrust.org/Record/002238711","HathiTrust Record")</f>
        <v/>
      </c>
      <c r="AS268">
        <f>HYPERLINK("https://creighton-primo.hosted.exlibrisgroup.com/primo-explore/search?tab=default_tab&amp;search_scope=EVERYTHING&amp;vid=01CRU&amp;lang=en_US&amp;offset=0&amp;query=any,contains,991001777659702656","Catalog Record")</f>
        <v/>
      </c>
      <c r="AT268">
        <f>HYPERLINK("http://www.worldcat.org/oclc/22422814","WorldCat Record")</f>
        <v/>
      </c>
      <c r="AU268" t="inlineStr">
        <is>
          <t>917951819:eng</t>
        </is>
      </c>
      <c r="AV268" t="inlineStr">
        <is>
          <t>22422814</t>
        </is>
      </c>
      <c r="AW268" t="inlineStr">
        <is>
          <t>991001777659702656</t>
        </is>
      </c>
      <c r="AX268" t="inlineStr">
        <is>
          <t>991001777659702656</t>
        </is>
      </c>
      <c r="AY268" t="inlineStr">
        <is>
          <t>2269483250002656</t>
        </is>
      </c>
      <c r="AZ268" t="inlineStr">
        <is>
          <t>BOOK</t>
        </is>
      </c>
      <c r="BB268" t="inlineStr">
        <is>
          <t>9780853458081</t>
        </is>
      </c>
      <c r="BC268" t="inlineStr">
        <is>
          <t>32285000573914</t>
        </is>
      </c>
      <c r="BD268" t="inlineStr">
        <is>
          <t>893609133</t>
        </is>
      </c>
      <c r="BE268" t="inlineStr">
        <is>
          <t>Wishart</t>
        </is>
      </c>
    </row>
    <row r="269">
      <c r="A269" t="inlineStr">
        <is>
          <t>No</t>
        </is>
      </c>
      <c r="B269" t="inlineStr">
        <is>
          <t>HQ1638 .G53 2005</t>
        </is>
      </c>
      <c r="C269" t="inlineStr">
        <is>
          <t>0                      HQ 1638000G  53          2005</t>
        </is>
      </c>
      <c r="D269" t="inlineStr">
        <is>
          <t>Nessuno ci può giudicare : gli anni della rivolta al femminile / Diego Giachetti.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Giachetti, Diego, 1954-</t>
        </is>
      </c>
      <c r="L269" t="inlineStr">
        <is>
          <t>Roma : DeriveApprodi, 2005.</t>
        </is>
      </c>
      <c r="M269" t="inlineStr">
        <is>
          <t>2005</t>
        </is>
      </c>
      <c r="N269" t="inlineStr">
        <is>
          <t>1. ed.</t>
        </is>
      </c>
      <c r="O269" t="inlineStr">
        <is>
          <t>ita</t>
        </is>
      </c>
      <c r="P269" t="inlineStr">
        <is>
          <t xml:space="preserve">it </t>
        </is>
      </c>
      <c r="Q269" t="inlineStr">
        <is>
          <t>DeriveApprodi ; 52</t>
        </is>
      </c>
      <c r="R269" t="inlineStr">
        <is>
          <t xml:space="preserve">HQ </t>
        </is>
      </c>
      <c r="S269" t="n">
        <v>1</v>
      </c>
      <c r="T269" t="n">
        <v>1</v>
      </c>
      <c r="U269" t="inlineStr">
        <is>
          <t>2008-10-13</t>
        </is>
      </c>
      <c r="V269" t="inlineStr">
        <is>
          <t>2008-10-13</t>
        </is>
      </c>
      <c r="W269" t="inlineStr">
        <is>
          <t>2008-10-13</t>
        </is>
      </c>
      <c r="X269" t="inlineStr">
        <is>
          <t>2008-10-13</t>
        </is>
      </c>
      <c r="Y269" t="n">
        <v>14</v>
      </c>
      <c r="Z269" t="n">
        <v>10</v>
      </c>
      <c r="AA269" t="n">
        <v>10</v>
      </c>
      <c r="AB269" t="n">
        <v>1</v>
      </c>
      <c r="AC269" t="n">
        <v>1</v>
      </c>
      <c r="AD269" t="n">
        <v>0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0</v>
      </c>
      <c r="AK269" t="n">
        <v>0</v>
      </c>
      <c r="AL269" t="n">
        <v>0</v>
      </c>
      <c r="AM269" t="n">
        <v>0</v>
      </c>
      <c r="AN269" t="n">
        <v>0</v>
      </c>
      <c r="AO269" t="n">
        <v>0</v>
      </c>
      <c r="AP269" t="inlineStr">
        <is>
          <t>No</t>
        </is>
      </c>
      <c r="AQ269" t="inlineStr">
        <is>
          <t>No</t>
        </is>
      </c>
      <c r="AS269">
        <f>HYPERLINK("https://creighton-primo.hosted.exlibrisgroup.com/primo-explore/search?tab=default_tab&amp;search_scope=EVERYTHING&amp;vid=01CRU&amp;lang=en_US&amp;offset=0&amp;query=any,contains,991005261019702656","Catalog Record")</f>
        <v/>
      </c>
      <c r="AT269">
        <f>HYPERLINK("http://www.worldcat.org/oclc/61237680","WorldCat Record")</f>
        <v/>
      </c>
      <c r="AU269" t="inlineStr">
        <is>
          <t>2202780:ita</t>
        </is>
      </c>
      <c r="AV269" t="inlineStr">
        <is>
          <t>61237680</t>
        </is>
      </c>
      <c r="AW269" t="inlineStr">
        <is>
          <t>991005261019702656</t>
        </is>
      </c>
      <c r="AX269" t="inlineStr">
        <is>
          <t>991005261019702656</t>
        </is>
      </c>
      <c r="AY269" t="inlineStr">
        <is>
          <t>2267088010002656</t>
        </is>
      </c>
      <c r="AZ269" t="inlineStr">
        <is>
          <t>BOOK</t>
        </is>
      </c>
      <c r="BB269" t="inlineStr">
        <is>
          <t>9788888738734</t>
        </is>
      </c>
      <c r="BC269" t="inlineStr">
        <is>
          <t>32285005462949</t>
        </is>
      </c>
      <c r="BD269" t="inlineStr">
        <is>
          <t>893254735</t>
        </is>
      </c>
      <c r="BE269" t="inlineStr">
        <is>
          <t>Maria T Vanderboegh</t>
        </is>
      </c>
    </row>
    <row r="270">
      <c r="A270" t="inlineStr">
        <is>
          <t>No</t>
        </is>
      </c>
      <c r="B270" t="inlineStr">
        <is>
          <t>HT1521 .D38</t>
        </is>
      </c>
      <c r="C270" t="inlineStr">
        <is>
          <t>0                      HT 1521000D  38</t>
        </is>
      </c>
      <c r="D270" t="inlineStr">
        <is>
          <t>Women, race, &amp; class / Angela Y. Davis.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Davis, Angela Y. (Angela Yvonne), 1944-</t>
        </is>
      </c>
      <c r="L270" t="inlineStr">
        <is>
          <t>New York : Random House, c1981.</t>
        </is>
      </c>
      <c r="M270" t="inlineStr">
        <is>
          <t>1981</t>
        </is>
      </c>
      <c r="N270" t="inlineStr">
        <is>
          <t>1st ed.</t>
        </is>
      </c>
      <c r="O270" t="inlineStr">
        <is>
          <t>eng</t>
        </is>
      </c>
      <c r="P270" t="inlineStr">
        <is>
          <t>nyu</t>
        </is>
      </c>
      <c r="R270" t="inlineStr">
        <is>
          <t xml:space="preserve">HT </t>
        </is>
      </c>
      <c r="S270" t="n">
        <v>47</v>
      </c>
      <c r="T270" t="n">
        <v>47</v>
      </c>
      <c r="U270" t="inlineStr">
        <is>
          <t>2007-09-07</t>
        </is>
      </c>
      <c r="V270" t="inlineStr">
        <is>
          <t>2007-09-07</t>
        </is>
      </c>
      <c r="W270" t="inlineStr">
        <is>
          <t>1990-07-20</t>
        </is>
      </c>
      <c r="X270" t="inlineStr">
        <is>
          <t>1990-07-20</t>
        </is>
      </c>
      <c r="Y270" t="n">
        <v>885</v>
      </c>
      <c r="Z270" t="n">
        <v>808</v>
      </c>
      <c r="AA270" t="n">
        <v>1758</v>
      </c>
      <c r="AB270" t="n">
        <v>3</v>
      </c>
      <c r="AC270" t="n">
        <v>11</v>
      </c>
      <c r="AD270" t="n">
        <v>24</v>
      </c>
      <c r="AE270" t="n">
        <v>59</v>
      </c>
      <c r="AF270" t="n">
        <v>7</v>
      </c>
      <c r="AG270" t="n">
        <v>23</v>
      </c>
      <c r="AH270" t="n">
        <v>3</v>
      </c>
      <c r="AI270" t="n">
        <v>10</v>
      </c>
      <c r="AJ270" t="n">
        <v>11</v>
      </c>
      <c r="AK270" t="n">
        <v>25</v>
      </c>
      <c r="AL270" t="n">
        <v>2</v>
      </c>
      <c r="AM270" t="n">
        <v>9</v>
      </c>
      <c r="AN270" t="n">
        <v>3</v>
      </c>
      <c r="AO270" t="n">
        <v>6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HYPERLINK("http://catalog.hathitrust.org/Record/000186083","HathiTrust Record")</f>
        <v/>
      </c>
      <c r="AS270">
        <f>HYPERLINK("https://creighton-primo.hosted.exlibrisgroup.com/primo-explore/search?tab=default_tab&amp;search_scope=EVERYTHING&amp;vid=01CRU&amp;lang=en_US&amp;offset=0&amp;query=any,contains,991005387659702656","Catalog Record")</f>
        <v/>
      </c>
      <c r="AT270">
        <f>HYPERLINK("http://www.worldcat.org/oclc/7459645","WorldCat Record")</f>
        <v/>
      </c>
      <c r="AU270" t="inlineStr">
        <is>
          <t>463089:eng</t>
        </is>
      </c>
      <c r="AV270" t="inlineStr">
        <is>
          <t>7459645</t>
        </is>
      </c>
      <c r="AW270" t="inlineStr">
        <is>
          <t>991005387659702656</t>
        </is>
      </c>
      <c r="AX270" t="inlineStr">
        <is>
          <t>991005387659702656</t>
        </is>
      </c>
      <c r="AY270" t="inlineStr">
        <is>
          <t>2255182330002656</t>
        </is>
      </c>
      <c r="AZ270" t="inlineStr">
        <is>
          <t>BOOK</t>
        </is>
      </c>
      <c r="BB270" t="inlineStr">
        <is>
          <t>9780394510392</t>
        </is>
      </c>
      <c r="BC270" t="inlineStr">
        <is>
          <t>32285000246107</t>
        </is>
      </c>
      <c r="BD270" t="inlineStr">
        <is>
          <t>893701511</t>
        </is>
      </c>
      <c r="BE270" t="inlineStr">
        <is>
          <t>Wishart</t>
        </is>
      </c>
    </row>
    <row r="271">
      <c r="A271" t="inlineStr">
        <is>
          <t>No</t>
        </is>
      </c>
      <c r="B271" t="inlineStr">
        <is>
          <t>HX237 .A52 1976</t>
        </is>
      </c>
      <c r="C271" t="inlineStr">
        <is>
          <t>0                      HX 0237000A  52          1976</t>
        </is>
      </c>
      <c r="D271" t="inlineStr">
        <is>
          <t>Considerations on Western Marxism / [by] Perry Anderson.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Anderson, Perry.</t>
        </is>
      </c>
      <c r="L271" t="inlineStr">
        <is>
          <t>London : NLB, 1976.</t>
        </is>
      </c>
      <c r="M271" t="inlineStr">
        <is>
          <t>1976</t>
        </is>
      </c>
      <c r="O271" t="inlineStr">
        <is>
          <t>eng</t>
        </is>
      </c>
      <c r="P271" t="inlineStr">
        <is>
          <t>enk</t>
        </is>
      </c>
      <c r="R271" t="inlineStr">
        <is>
          <t xml:space="preserve">HX </t>
        </is>
      </c>
      <c r="S271" t="n">
        <v>4</v>
      </c>
      <c r="T271" t="n">
        <v>4</v>
      </c>
      <c r="U271" t="inlineStr">
        <is>
          <t>2008-12-11</t>
        </is>
      </c>
      <c r="V271" t="inlineStr">
        <is>
          <t>2008-12-11</t>
        </is>
      </c>
      <c r="W271" t="inlineStr">
        <is>
          <t>1997-08-27</t>
        </is>
      </c>
      <c r="X271" t="inlineStr">
        <is>
          <t>1997-08-27</t>
        </is>
      </c>
      <c r="Y271" t="n">
        <v>595</v>
      </c>
      <c r="Z271" t="n">
        <v>414</v>
      </c>
      <c r="AA271" t="n">
        <v>498</v>
      </c>
      <c r="AB271" t="n">
        <v>4</v>
      </c>
      <c r="AC271" t="n">
        <v>4</v>
      </c>
      <c r="AD271" t="n">
        <v>21</v>
      </c>
      <c r="AE271" t="n">
        <v>26</v>
      </c>
      <c r="AF271" t="n">
        <v>10</v>
      </c>
      <c r="AG271" t="n">
        <v>11</v>
      </c>
      <c r="AH271" t="n">
        <v>5</v>
      </c>
      <c r="AI271" t="n">
        <v>6</v>
      </c>
      <c r="AJ271" t="n">
        <v>13</v>
      </c>
      <c r="AK271" t="n">
        <v>17</v>
      </c>
      <c r="AL271" t="n">
        <v>2</v>
      </c>
      <c r="AM271" t="n">
        <v>2</v>
      </c>
      <c r="AN271" t="n">
        <v>0</v>
      </c>
      <c r="AO271" t="n">
        <v>0</v>
      </c>
      <c r="AP271" t="inlineStr">
        <is>
          <t>No</t>
        </is>
      </c>
      <c r="AQ271" t="inlineStr">
        <is>
          <t>No</t>
        </is>
      </c>
      <c r="AS271">
        <f>HYPERLINK("https://creighton-primo.hosted.exlibrisgroup.com/primo-explore/search?tab=default_tab&amp;search_scope=EVERYTHING&amp;vid=01CRU&amp;lang=en_US&amp;offset=0&amp;query=any,contains,991004159929702656","Catalog Record")</f>
        <v/>
      </c>
      <c r="AT271">
        <f>HYPERLINK("http://www.worldcat.org/oclc/2547752","WorldCat Record")</f>
        <v/>
      </c>
      <c r="AU271" t="inlineStr">
        <is>
          <t>511392:eng</t>
        </is>
      </c>
      <c r="AV271" t="inlineStr">
        <is>
          <t>2547752</t>
        </is>
      </c>
      <c r="AW271" t="inlineStr">
        <is>
          <t>991004159929702656</t>
        </is>
      </c>
      <c r="AX271" t="inlineStr">
        <is>
          <t>991004159929702656</t>
        </is>
      </c>
      <c r="AY271" t="inlineStr">
        <is>
          <t>2267376730002656</t>
        </is>
      </c>
      <c r="AZ271" t="inlineStr">
        <is>
          <t>BOOK</t>
        </is>
      </c>
      <c r="BB271" t="inlineStr">
        <is>
          <t>9780902308671</t>
        </is>
      </c>
      <c r="BC271" t="inlineStr">
        <is>
          <t>32285003191920</t>
        </is>
      </c>
      <c r="BD271" t="inlineStr">
        <is>
          <t>893775702</t>
        </is>
      </c>
      <c r="BE271" t="inlineStr">
        <is>
          <t>Wishart</t>
        </is>
      </c>
    </row>
    <row r="272">
      <c r="A272" t="inlineStr">
        <is>
          <t>No</t>
        </is>
      </c>
      <c r="B272" t="inlineStr">
        <is>
          <t>HX273 .L83213 2004</t>
        </is>
      </c>
      <c r="C272" t="inlineStr">
        <is>
          <t>0                      HX 0273000L  83213       2004</t>
        </is>
      </c>
      <c r="D272" t="inlineStr">
        <is>
          <t>The Rosa Luxemburg reader / edited by Peter Hudis and Kevin B. Anderson.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Luxemburg, Rosa, 1871-1919.</t>
        </is>
      </c>
      <c r="L272" t="inlineStr">
        <is>
          <t>New York : Monthly Review Press, c2004.</t>
        </is>
      </c>
      <c r="M272" t="inlineStr">
        <is>
          <t>2004</t>
        </is>
      </c>
      <c r="O272" t="inlineStr">
        <is>
          <t>eng</t>
        </is>
      </c>
      <c r="P272" t="inlineStr">
        <is>
          <t>nyu</t>
        </is>
      </c>
      <c r="R272" t="inlineStr">
        <is>
          <t xml:space="preserve">HX </t>
        </is>
      </c>
      <c r="S272" t="n">
        <v>1</v>
      </c>
      <c r="T272" t="n">
        <v>1</v>
      </c>
      <c r="U272" t="inlineStr">
        <is>
          <t>2007-10-01</t>
        </is>
      </c>
      <c r="V272" t="inlineStr">
        <is>
          <t>2007-10-01</t>
        </is>
      </c>
      <c r="W272" t="inlineStr">
        <is>
          <t>2007-10-01</t>
        </is>
      </c>
      <c r="X272" t="inlineStr">
        <is>
          <t>2007-10-01</t>
        </is>
      </c>
      <c r="Y272" t="n">
        <v>391</v>
      </c>
      <c r="Z272" t="n">
        <v>324</v>
      </c>
      <c r="AA272" t="n">
        <v>325</v>
      </c>
      <c r="AB272" t="n">
        <v>3</v>
      </c>
      <c r="AC272" t="n">
        <v>3</v>
      </c>
      <c r="AD272" t="n">
        <v>23</v>
      </c>
      <c r="AE272" t="n">
        <v>23</v>
      </c>
      <c r="AF272" t="n">
        <v>12</v>
      </c>
      <c r="AG272" t="n">
        <v>12</v>
      </c>
      <c r="AH272" t="n">
        <v>7</v>
      </c>
      <c r="AI272" t="n">
        <v>7</v>
      </c>
      <c r="AJ272" t="n">
        <v>10</v>
      </c>
      <c r="AK272" t="n">
        <v>10</v>
      </c>
      <c r="AL272" t="n">
        <v>2</v>
      </c>
      <c r="AM272" t="n">
        <v>2</v>
      </c>
      <c r="AN272" t="n">
        <v>0</v>
      </c>
      <c r="AO272" t="n">
        <v>0</v>
      </c>
      <c r="AP272" t="inlineStr">
        <is>
          <t>No</t>
        </is>
      </c>
      <c r="AQ272" t="inlineStr">
        <is>
          <t>No</t>
        </is>
      </c>
      <c r="AS272">
        <f>HYPERLINK("https://creighton-primo.hosted.exlibrisgroup.com/primo-explore/search?tab=default_tab&amp;search_scope=EVERYTHING&amp;vid=01CRU&amp;lang=en_US&amp;offset=0&amp;query=any,contains,991005109849702656","Catalog Record")</f>
        <v/>
      </c>
      <c r="AT272">
        <f>HYPERLINK("http://www.worldcat.org/oclc/53458749","WorldCat Record")</f>
        <v/>
      </c>
      <c r="AU272" t="inlineStr">
        <is>
          <t>1806951501:eng</t>
        </is>
      </c>
      <c r="AV272" t="inlineStr">
        <is>
          <t>53458749</t>
        </is>
      </c>
      <c r="AW272" t="inlineStr">
        <is>
          <t>991005109849702656</t>
        </is>
      </c>
      <c r="AX272" t="inlineStr">
        <is>
          <t>991005109849702656</t>
        </is>
      </c>
      <c r="AY272" t="inlineStr">
        <is>
          <t>2269050700002656</t>
        </is>
      </c>
      <c r="AZ272" t="inlineStr">
        <is>
          <t>BOOK</t>
        </is>
      </c>
      <c r="BB272" t="inlineStr">
        <is>
          <t>9781583671030</t>
        </is>
      </c>
      <c r="BC272" t="inlineStr">
        <is>
          <t>32285005327449</t>
        </is>
      </c>
      <c r="BD272" t="inlineStr">
        <is>
          <t>893594483</t>
        </is>
      </c>
      <c r="BE272" t="inlineStr">
        <is>
          <t>Wishart</t>
        </is>
      </c>
    </row>
    <row r="273">
      <c r="A273" t="inlineStr">
        <is>
          <t>No</t>
        </is>
      </c>
      <c r="B273" t="inlineStr">
        <is>
          <t>HX273.L83 R585 1999</t>
        </is>
      </c>
      <c r="C273" t="inlineStr">
        <is>
          <t>0                      HX 0273000L  83                 R  585         1999</t>
        </is>
      </c>
      <c r="D273" t="inlineStr">
        <is>
          <t>Rosa Luxemburg : reflections and writings / edited by Paul Le Blanc.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L273" t="inlineStr">
        <is>
          <t>Amherst, NY : Humanity Books, 1999.</t>
        </is>
      </c>
      <c r="M273" t="inlineStr">
        <is>
          <t>1999</t>
        </is>
      </c>
      <c r="O273" t="inlineStr">
        <is>
          <t>eng</t>
        </is>
      </c>
      <c r="P273" t="inlineStr">
        <is>
          <t>nyu</t>
        </is>
      </c>
      <c r="Q273" t="inlineStr">
        <is>
          <t>Revolutionary studies</t>
        </is>
      </c>
      <c r="R273" t="inlineStr">
        <is>
          <t xml:space="preserve">HX </t>
        </is>
      </c>
      <c r="S273" t="n">
        <v>2</v>
      </c>
      <c r="T273" t="n">
        <v>2</v>
      </c>
      <c r="U273" t="inlineStr">
        <is>
          <t>2005-03-03</t>
        </is>
      </c>
      <c r="V273" t="inlineStr">
        <is>
          <t>2005-03-03</t>
        </is>
      </c>
      <c r="W273" t="inlineStr">
        <is>
          <t>2004-11-29</t>
        </is>
      </c>
      <c r="X273" t="inlineStr">
        <is>
          <t>2004-11-29</t>
        </is>
      </c>
      <c r="Y273" t="n">
        <v>170</v>
      </c>
      <c r="Z273" t="n">
        <v>135</v>
      </c>
      <c r="AA273" t="n">
        <v>137</v>
      </c>
      <c r="AB273" t="n">
        <v>3</v>
      </c>
      <c r="AC273" t="n">
        <v>3</v>
      </c>
      <c r="AD273" t="n">
        <v>14</v>
      </c>
      <c r="AE273" t="n">
        <v>14</v>
      </c>
      <c r="AF273" t="n">
        <v>5</v>
      </c>
      <c r="AG273" t="n">
        <v>5</v>
      </c>
      <c r="AH273" t="n">
        <v>5</v>
      </c>
      <c r="AI273" t="n">
        <v>5</v>
      </c>
      <c r="AJ273" t="n">
        <v>6</v>
      </c>
      <c r="AK273" t="n">
        <v>6</v>
      </c>
      <c r="AL273" t="n">
        <v>2</v>
      </c>
      <c r="AM273" t="n">
        <v>2</v>
      </c>
      <c r="AN273" t="n">
        <v>0</v>
      </c>
      <c r="AO273" t="n">
        <v>0</v>
      </c>
      <c r="AP273" t="inlineStr">
        <is>
          <t>No</t>
        </is>
      </c>
      <c r="AQ273" t="inlineStr">
        <is>
          <t>Yes</t>
        </is>
      </c>
      <c r="AR273">
        <f>HYPERLINK("http://catalog.hathitrust.org/Record/004074482","HathiTrust Record")</f>
        <v/>
      </c>
      <c r="AS273">
        <f>HYPERLINK("https://creighton-primo.hosted.exlibrisgroup.com/primo-explore/search?tab=default_tab&amp;search_scope=EVERYTHING&amp;vid=01CRU&amp;lang=en_US&amp;offset=0&amp;query=any,contains,991004410129702656","Catalog Record")</f>
        <v/>
      </c>
      <c r="AT273">
        <f>HYPERLINK("http://www.worldcat.org/oclc/42040986","WorldCat Record")</f>
        <v/>
      </c>
      <c r="AU273" t="inlineStr">
        <is>
          <t>917109504:eng</t>
        </is>
      </c>
      <c r="AV273" t="inlineStr">
        <is>
          <t>42040986</t>
        </is>
      </c>
      <c r="AW273" t="inlineStr">
        <is>
          <t>991004410129702656</t>
        </is>
      </c>
      <c r="AX273" t="inlineStr">
        <is>
          <t>991004410129702656</t>
        </is>
      </c>
      <c r="AY273" t="inlineStr">
        <is>
          <t>2260185340002656</t>
        </is>
      </c>
      <c r="AZ273" t="inlineStr">
        <is>
          <t>BOOK</t>
        </is>
      </c>
      <c r="BB273" t="inlineStr">
        <is>
          <t>9781573927284</t>
        </is>
      </c>
      <c r="BC273" t="inlineStr">
        <is>
          <t>32285005013080</t>
        </is>
      </c>
      <c r="BD273" t="inlineStr">
        <is>
          <t>893782210</t>
        </is>
      </c>
      <c r="BE273" t="inlineStr">
        <is>
          <t>Wishart</t>
        </is>
      </c>
    </row>
    <row r="274">
      <c r="A274" t="inlineStr">
        <is>
          <t>No</t>
        </is>
      </c>
      <c r="B274" t="inlineStr">
        <is>
          <t>HX36 .F68 1996</t>
        </is>
      </c>
      <c r="C274" t="inlineStr">
        <is>
          <t>0                      HX 0036000F  68          1996</t>
        </is>
      </c>
      <c r="D274" t="inlineStr">
        <is>
          <t>From Marx to Gramsci : a reader in revolutionary Marxist politics / historical overview and selection by Paul Le Blanc.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L274" t="inlineStr">
        <is>
          <t>Atlantic Highlands, N.J. : Humanities Press, 1996.</t>
        </is>
      </c>
      <c r="M274" t="inlineStr">
        <is>
          <t>1996</t>
        </is>
      </c>
      <c r="O274" t="inlineStr">
        <is>
          <t>eng</t>
        </is>
      </c>
      <c r="P274" t="inlineStr">
        <is>
          <t>nju</t>
        </is>
      </c>
      <c r="R274" t="inlineStr">
        <is>
          <t xml:space="preserve">HX </t>
        </is>
      </c>
      <c r="S274" t="n">
        <v>3</v>
      </c>
      <c r="T274" t="n">
        <v>3</v>
      </c>
      <c r="U274" t="inlineStr">
        <is>
          <t>2003-02-07</t>
        </is>
      </c>
      <c r="V274" t="inlineStr">
        <is>
          <t>2003-02-07</t>
        </is>
      </c>
      <c r="W274" t="inlineStr">
        <is>
          <t>1996-06-25</t>
        </is>
      </c>
      <c r="X274" t="inlineStr">
        <is>
          <t>1996-06-25</t>
        </is>
      </c>
      <c r="Y274" t="n">
        <v>154</v>
      </c>
      <c r="Z274" t="n">
        <v>114</v>
      </c>
      <c r="AA274" t="n">
        <v>147</v>
      </c>
      <c r="AB274" t="n">
        <v>2</v>
      </c>
      <c r="AC274" t="n">
        <v>3</v>
      </c>
      <c r="AD274" t="n">
        <v>10</v>
      </c>
      <c r="AE274" t="n">
        <v>10</v>
      </c>
      <c r="AF274" t="n">
        <v>4</v>
      </c>
      <c r="AG274" t="n">
        <v>4</v>
      </c>
      <c r="AH274" t="n">
        <v>2</v>
      </c>
      <c r="AI274" t="n">
        <v>2</v>
      </c>
      <c r="AJ274" t="n">
        <v>6</v>
      </c>
      <c r="AK274" t="n">
        <v>6</v>
      </c>
      <c r="AL274" t="n">
        <v>1</v>
      </c>
      <c r="AM274" t="n">
        <v>1</v>
      </c>
      <c r="AN274" t="n">
        <v>0</v>
      </c>
      <c r="AO274" t="n">
        <v>0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HYPERLINK("http://catalog.hathitrust.org/Record/003075822","HathiTrust Record")</f>
        <v/>
      </c>
      <c r="AS274">
        <f>HYPERLINK("https://creighton-primo.hosted.exlibrisgroup.com/primo-explore/search?tab=default_tab&amp;search_scope=EVERYTHING&amp;vid=01CRU&amp;lang=en_US&amp;offset=0&amp;query=any,contains,991002564019702656","Catalog Record")</f>
        <v/>
      </c>
      <c r="AT274">
        <f>HYPERLINK("http://www.worldcat.org/oclc/33334502","WorldCat Record")</f>
        <v/>
      </c>
      <c r="AU274" t="inlineStr">
        <is>
          <t>55976962:eng</t>
        </is>
      </c>
      <c r="AV274" t="inlineStr">
        <is>
          <t>33334502</t>
        </is>
      </c>
      <c r="AW274" t="inlineStr">
        <is>
          <t>991002564019702656</t>
        </is>
      </c>
      <c r="AX274" t="inlineStr">
        <is>
          <t>991002564019702656</t>
        </is>
      </c>
      <c r="AY274" t="inlineStr">
        <is>
          <t>2259379040002656</t>
        </is>
      </c>
      <c r="AZ274" t="inlineStr">
        <is>
          <t>BOOK</t>
        </is>
      </c>
      <c r="BB274" t="inlineStr">
        <is>
          <t>9780391039605</t>
        </is>
      </c>
      <c r="BC274" t="inlineStr">
        <is>
          <t>32285002173234</t>
        </is>
      </c>
      <c r="BD274" t="inlineStr">
        <is>
          <t>893779959</t>
        </is>
      </c>
      <c r="BE274" t="inlineStr">
        <is>
          <t>Wishart</t>
        </is>
      </c>
    </row>
    <row r="275">
      <c r="A275" t="inlineStr">
        <is>
          <t>No</t>
        </is>
      </c>
      <c r="B275" t="inlineStr">
        <is>
          <t>HX36 .J22</t>
        </is>
      </c>
      <c r="C275" t="inlineStr">
        <is>
          <t>0                      HX 0036000J  22</t>
        </is>
      </c>
      <c r="D275" t="inlineStr">
        <is>
          <t>Dialectic of defeat : contours of Western Marxism / Russell Jacoby.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Jacoby, Russell.</t>
        </is>
      </c>
      <c r="L275" t="inlineStr">
        <is>
          <t>Cambridge ; New York : Cambridge University Press, 1981.</t>
        </is>
      </c>
      <c r="M275" t="inlineStr">
        <is>
          <t>1981</t>
        </is>
      </c>
      <c r="O275" t="inlineStr">
        <is>
          <t>eng</t>
        </is>
      </c>
      <c r="P275" t="inlineStr">
        <is>
          <t>enk</t>
        </is>
      </c>
      <c r="R275" t="inlineStr">
        <is>
          <t xml:space="preserve">HX </t>
        </is>
      </c>
      <c r="S275" t="n">
        <v>3</v>
      </c>
      <c r="T275" t="n">
        <v>3</v>
      </c>
      <c r="U275" t="inlineStr">
        <is>
          <t>2000-01-12</t>
        </is>
      </c>
      <c r="V275" t="inlineStr">
        <is>
          <t>2000-01-12</t>
        </is>
      </c>
      <c r="W275" t="inlineStr">
        <is>
          <t>1992-07-17</t>
        </is>
      </c>
      <c r="X275" t="inlineStr">
        <is>
          <t>1992-07-17</t>
        </is>
      </c>
      <c r="Y275" t="n">
        <v>494</v>
      </c>
      <c r="Z275" t="n">
        <v>345</v>
      </c>
      <c r="AA275" t="n">
        <v>358</v>
      </c>
      <c r="AB275" t="n">
        <v>3</v>
      </c>
      <c r="AC275" t="n">
        <v>3</v>
      </c>
      <c r="AD275" t="n">
        <v>26</v>
      </c>
      <c r="AE275" t="n">
        <v>26</v>
      </c>
      <c r="AF275" t="n">
        <v>13</v>
      </c>
      <c r="AG275" t="n">
        <v>13</v>
      </c>
      <c r="AH275" t="n">
        <v>6</v>
      </c>
      <c r="AI275" t="n">
        <v>6</v>
      </c>
      <c r="AJ275" t="n">
        <v>16</v>
      </c>
      <c r="AK275" t="n">
        <v>16</v>
      </c>
      <c r="AL275" t="n">
        <v>2</v>
      </c>
      <c r="AM275" t="n">
        <v>2</v>
      </c>
      <c r="AN275" t="n">
        <v>0</v>
      </c>
      <c r="AO275" t="n">
        <v>0</v>
      </c>
      <c r="AP275" t="inlineStr">
        <is>
          <t>No</t>
        </is>
      </c>
      <c r="AQ275" t="inlineStr">
        <is>
          <t>No</t>
        </is>
      </c>
      <c r="AS275">
        <f>HYPERLINK("https://creighton-primo.hosted.exlibrisgroup.com/primo-explore/search?tab=default_tab&amp;search_scope=EVERYTHING&amp;vid=01CRU&amp;lang=en_US&amp;offset=0&amp;query=any,contains,991005115659702656","Catalog Record")</f>
        <v/>
      </c>
      <c r="AT275">
        <f>HYPERLINK("http://www.worldcat.org/oclc/7462146","WorldCat Record")</f>
        <v/>
      </c>
      <c r="AU275" t="inlineStr">
        <is>
          <t>839340105:eng</t>
        </is>
      </c>
      <c r="AV275" t="inlineStr">
        <is>
          <t>7462146</t>
        </is>
      </c>
      <c r="AW275" t="inlineStr">
        <is>
          <t>991005115659702656</t>
        </is>
      </c>
      <c r="AX275" t="inlineStr">
        <is>
          <t>991005115659702656</t>
        </is>
      </c>
      <c r="AY275" t="inlineStr">
        <is>
          <t>2262672630002656</t>
        </is>
      </c>
      <c r="AZ275" t="inlineStr">
        <is>
          <t>BOOK</t>
        </is>
      </c>
      <c r="BB275" t="inlineStr">
        <is>
          <t>9780521239158</t>
        </is>
      </c>
      <c r="BC275" t="inlineStr">
        <is>
          <t>32285001183945</t>
        </is>
      </c>
      <c r="BD275" t="inlineStr">
        <is>
          <t>893606856</t>
        </is>
      </c>
      <c r="BE275" t="inlineStr">
        <is>
          <t>Wishart</t>
        </is>
      </c>
    </row>
    <row r="276">
      <c r="A276" t="inlineStr">
        <is>
          <t>No</t>
        </is>
      </c>
      <c r="B276" t="inlineStr">
        <is>
          <t>HX39.5 .M378</t>
        </is>
      </c>
      <c r="C276" t="inlineStr">
        <is>
          <t>0                      HX 0039500M  378</t>
        </is>
      </c>
      <c r="D276" t="inlineStr">
        <is>
          <t>Marxism in Marx's day / edited by Eric J. Hobsbawm.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L276" t="inlineStr">
        <is>
          <t>Bloomington : Indiana University Press, c1982.</t>
        </is>
      </c>
      <c r="M276" t="inlineStr">
        <is>
          <t>1982</t>
        </is>
      </c>
      <c r="O276" t="inlineStr">
        <is>
          <t>eng</t>
        </is>
      </c>
      <c r="P276" t="inlineStr">
        <is>
          <t>inu</t>
        </is>
      </c>
      <c r="Q276" t="inlineStr">
        <is>
          <t>The History of Marxism ; v. 1</t>
        </is>
      </c>
      <c r="R276" t="inlineStr">
        <is>
          <t xml:space="preserve">HX </t>
        </is>
      </c>
      <c r="S276" t="n">
        <v>8</v>
      </c>
      <c r="T276" t="n">
        <v>8</v>
      </c>
      <c r="U276" t="inlineStr">
        <is>
          <t>2002-11-26</t>
        </is>
      </c>
      <c r="V276" t="inlineStr">
        <is>
          <t>2002-11-26</t>
        </is>
      </c>
      <c r="W276" t="inlineStr">
        <is>
          <t>1992-07-17</t>
        </is>
      </c>
      <c r="X276" t="inlineStr">
        <is>
          <t>1992-07-17</t>
        </is>
      </c>
      <c r="Y276" t="n">
        <v>402</v>
      </c>
      <c r="Z276" t="n">
        <v>364</v>
      </c>
      <c r="AA276" t="n">
        <v>374</v>
      </c>
      <c r="AB276" t="n">
        <v>4</v>
      </c>
      <c r="AC276" t="n">
        <v>4</v>
      </c>
      <c r="AD276" t="n">
        <v>21</v>
      </c>
      <c r="AE276" t="n">
        <v>21</v>
      </c>
      <c r="AF276" t="n">
        <v>10</v>
      </c>
      <c r="AG276" t="n">
        <v>10</v>
      </c>
      <c r="AH276" t="n">
        <v>6</v>
      </c>
      <c r="AI276" t="n">
        <v>6</v>
      </c>
      <c r="AJ276" t="n">
        <v>11</v>
      </c>
      <c r="AK276" t="n">
        <v>11</v>
      </c>
      <c r="AL276" t="n">
        <v>2</v>
      </c>
      <c r="AM276" t="n">
        <v>2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HYPERLINK("https://creighton-primo.hosted.exlibrisgroup.com/primo-explore/search?tab=default_tab&amp;search_scope=EVERYTHING&amp;vid=01CRU&amp;lang=en_US&amp;offset=0&amp;query=any,contains,991005134819702656","Catalog Record")</f>
        <v/>
      </c>
      <c r="AT276">
        <f>HYPERLINK("http://www.worldcat.org/oclc/7575876","WorldCat Record")</f>
        <v/>
      </c>
      <c r="AU276" t="inlineStr">
        <is>
          <t>54452057:eng</t>
        </is>
      </c>
      <c r="AV276" t="inlineStr">
        <is>
          <t>7575876</t>
        </is>
      </c>
      <c r="AW276" t="inlineStr">
        <is>
          <t>991005134819702656</t>
        </is>
      </c>
      <c r="AX276" t="inlineStr">
        <is>
          <t>991005134819702656</t>
        </is>
      </c>
      <c r="AY276" t="inlineStr">
        <is>
          <t>2265732470002656</t>
        </is>
      </c>
      <c r="AZ276" t="inlineStr">
        <is>
          <t>BOOK</t>
        </is>
      </c>
      <c r="BB276" t="inlineStr">
        <is>
          <t>9780253328120</t>
        </is>
      </c>
      <c r="BC276" t="inlineStr">
        <is>
          <t>32285001184240</t>
        </is>
      </c>
      <c r="BD276" t="inlineStr">
        <is>
          <t>893801788</t>
        </is>
      </c>
      <c r="BE276" t="inlineStr">
        <is>
          <t>Wishart</t>
        </is>
      </c>
    </row>
    <row r="277">
      <c r="A277" t="inlineStr">
        <is>
          <t>No</t>
        </is>
      </c>
      <c r="B277" t="inlineStr">
        <is>
          <t>HX514 .V83 2001</t>
        </is>
      </c>
      <c r="C277" t="inlineStr">
        <is>
          <t>0                      HX 0514000V  83          2001</t>
        </is>
      </c>
      <c r="D277" t="inlineStr">
        <is>
          <t>Einstein and Soviet ideology / Alexander Vucinich.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Vucinich, Alexander, 1914-2002.</t>
        </is>
      </c>
      <c r="L277" t="inlineStr">
        <is>
          <t>Stanford, Calif. : Stanford University Press, c2001.</t>
        </is>
      </c>
      <c r="M277" t="inlineStr">
        <is>
          <t>2001</t>
        </is>
      </c>
      <c r="O277" t="inlineStr">
        <is>
          <t>eng</t>
        </is>
      </c>
      <c r="P277" t="inlineStr">
        <is>
          <t>cau</t>
        </is>
      </c>
      <c r="Q277" t="inlineStr">
        <is>
          <t>Stanford nuclear age series</t>
        </is>
      </c>
      <c r="R277" t="inlineStr">
        <is>
          <t xml:space="preserve">HX </t>
        </is>
      </c>
      <c r="S277" t="n">
        <v>3</v>
      </c>
      <c r="T277" t="n">
        <v>3</v>
      </c>
      <c r="U277" t="inlineStr">
        <is>
          <t>2004-10-01</t>
        </is>
      </c>
      <c r="V277" t="inlineStr">
        <is>
          <t>2004-10-01</t>
        </is>
      </c>
      <c r="W277" t="inlineStr">
        <is>
          <t>2002-10-21</t>
        </is>
      </c>
      <c r="X277" t="inlineStr">
        <is>
          <t>2002-10-21</t>
        </is>
      </c>
      <c r="Y277" t="n">
        <v>292</v>
      </c>
      <c r="Z277" t="n">
        <v>244</v>
      </c>
      <c r="AA277" t="n">
        <v>603</v>
      </c>
      <c r="AB277" t="n">
        <v>3</v>
      </c>
      <c r="AC277" t="n">
        <v>6</v>
      </c>
      <c r="AD277" t="n">
        <v>16</v>
      </c>
      <c r="AE277" t="n">
        <v>32</v>
      </c>
      <c r="AF277" t="n">
        <v>3</v>
      </c>
      <c r="AG277" t="n">
        <v>11</v>
      </c>
      <c r="AH277" t="n">
        <v>6</v>
      </c>
      <c r="AI277" t="n">
        <v>8</v>
      </c>
      <c r="AJ277" t="n">
        <v>9</v>
      </c>
      <c r="AK277" t="n">
        <v>13</v>
      </c>
      <c r="AL277" t="n">
        <v>2</v>
      </c>
      <c r="AM277" t="n">
        <v>5</v>
      </c>
      <c r="AN277" t="n">
        <v>0</v>
      </c>
      <c r="AO277" t="n">
        <v>1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HYPERLINK("https://creighton-primo.hosted.exlibrisgroup.com/primo-explore/search?tab=default_tab&amp;search_scope=EVERYTHING&amp;vid=01CRU&amp;lang=en_US&amp;offset=0&amp;query=any,contains,991003887349702656","Catalog Record")</f>
        <v/>
      </c>
      <c r="AT277">
        <f>HYPERLINK("http://www.worldcat.org/oclc/46937547","WorldCat Record")</f>
        <v/>
      </c>
      <c r="AU277" t="inlineStr">
        <is>
          <t>149439900:eng</t>
        </is>
      </c>
      <c r="AV277" t="inlineStr">
        <is>
          <t>46937547</t>
        </is>
      </c>
      <c r="AW277" t="inlineStr">
        <is>
          <t>991003887349702656</t>
        </is>
      </c>
      <c r="AX277" t="inlineStr">
        <is>
          <t>991003887349702656</t>
        </is>
      </c>
      <c r="AY277" t="inlineStr">
        <is>
          <t>2266693340002656</t>
        </is>
      </c>
      <c r="AZ277" t="inlineStr">
        <is>
          <t>BOOK</t>
        </is>
      </c>
      <c r="BB277" t="inlineStr">
        <is>
          <t>9780804742092</t>
        </is>
      </c>
      <c r="BC277" t="inlineStr">
        <is>
          <t>32285004656301</t>
        </is>
      </c>
      <c r="BD277" t="inlineStr">
        <is>
          <t>893894285</t>
        </is>
      </c>
      <c r="BE277" t="inlineStr">
        <is>
          <t>Wishart</t>
        </is>
      </c>
    </row>
    <row r="278">
      <c r="A278" t="inlineStr">
        <is>
          <t>No</t>
        </is>
      </c>
      <c r="B278" t="inlineStr">
        <is>
          <t>HX546 .E55 1987</t>
        </is>
      </c>
      <c r="C278" t="inlineStr">
        <is>
          <t>0                      HX 0546000E  55          1987</t>
        </is>
      </c>
      <c r="D278" t="inlineStr">
        <is>
          <t>Engels revisited : new feminist essays / edited by Janet Sayers, Mary Evans, and Nanneke Redclift.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L278" t="inlineStr">
        <is>
          <t>London ; New York : Tavistock Publications, 1987.</t>
        </is>
      </c>
      <c r="M278" t="inlineStr">
        <is>
          <t>1987</t>
        </is>
      </c>
      <c r="O278" t="inlineStr">
        <is>
          <t>eng</t>
        </is>
      </c>
      <c r="P278" t="inlineStr">
        <is>
          <t>enk</t>
        </is>
      </c>
      <c r="Q278" t="inlineStr">
        <is>
          <t>Social science paperbacks ; 347</t>
        </is>
      </c>
      <c r="R278" t="inlineStr">
        <is>
          <t xml:space="preserve">HX </t>
        </is>
      </c>
      <c r="S278" t="n">
        <v>3</v>
      </c>
      <c r="T278" t="n">
        <v>3</v>
      </c>
      <c r="U278" t="inlineStr">
        <is>
          <t>2003-10-06</t>
        </is>
      </c>
      <c r="V278" t="inlineStr">
        <is>
          <t>2003-10-06</t>
        </is>
      </c>
      <c r="W278" t="inlineStr">
        <is>
          <t>1992-07-21</t>
        </is>
      </c>
      <c r="X278" t="inlineStr">
        <is>
          <t>1992-07-21</t>
        </is>
      </c>
      <c r="Y278" t="n">
        <v>371</v>
      </c>
      <c r="Z278" t="n">
        <v>237</v>
      </c>
      <c r="AA278" t="n">
        <v>274</v>
      </c>
      <c r="AB278" t="n">
        <v>3</v>
      </c>
      <c r="AC278" t="n">
        <v>3</v>
      </c>
      <c r="AD278" t="n">
        <v>10</v>
      </c>
      <c r="AE278" t="n">
        <v>10</v>
      </c>
      <c r="AF278" t="n">
        <v>2</v>
      </c>
      <c r="AG278" t="n">
        <v>2</v>
      </c>
      <c r="AH278" t="n">
        <v>4</v>
      </c>
      <c r="AI278" t="n">
        <v>4</v>
      </c>
      <c r="AJ278" t="n">
        <v>5</v>
      </c>
      <c r="AK278" t="n">
        <v>5</v>
      </c>
      <c r="AL278" t="n">
        <v>2</v>
      </c>
      <c r="AM278" t="n">
        <v>2</v>
      </c>
      <c r="AN278" t="n">
        <v>0</v>
      </c>
      <c r="AO278" t="n">
        <v>0</v>
      </c>
      <c r="AP278" t="inlineStr">
        <is>
          <t>No</t>
        </is>
      </c>
      <c r="AQ278" t="inlineStr">
        <is>
          <t>No</t>
        </is>
      </c>
      <c r="AS278">
        <f>HYPERLINK("https://creighton-primo.hosted.exlibrisgroup.com/primo-explore/search?tab=default_tab&amp;search_scope=EVERYTHING&amp;vid=01CRU&amp;lang=en_US&amp;offset=0&amp;query=any,contains,991000873119702656","Catalog Record")</f>
        <v/>
      </c>
      <c r="AT278">
        <f>HYPERLINK("http://www.worldcat.org/oclc/13794532","WorldCat Record")</f>
        <v/>
      </c>
      <c r="AU278" t="inlineStr">
        <is>
          <t>836656567:eng</t>
        </is>
      </c>
      <c r="AV278" t="inlineStr">
        <is>
          <t>13794532</t>
        </is>
      </c>
      <c r="AW278" t="inlineStr">
        <is>
          <t>991000873119702656</t>
        </is>
      </c>
      <c r="AX278" t="inlineStr">
        <is>
          <t>991000873119702656</t>
        </is>
      </c>
      <c r="AY278" t="inlineStr">
        <is>
          <t>2269725670002656</t>
        </is>
      </c>
      <c r="AZ278" t="inlineStr">
        <is>
          <t>BOOK</t>
        </is>
      </c>
      <c r="BB278" t="inlineStr">
        <is>
          <t>9780422608107</t>
        </is>
      </c>
      <c r="BC278" t="inlineStr">
        <is>
          <t>32285001215952</t>
        </is>
      </c>
      <c r="BD278" t="inlineStr">
        <is>
          <t>893620877</t>
        </is>
      </c>
      <c r="BE278" t="inlineStr">
        <is>
          <t>Wishart</t>
        </is>
      </c>
    </row>
    <row r="279">
      <c r="A279" t="inlineStr">
        <is>
          <t>No</t>
        </is>
      </c>
      <c r="B279" t="inlineStr">
        <is>
          <t>HX546 .L66 2000</t>
        </is>
      </c>
      <c r="C279" t="inlineStr">
        <is>
          <t>0                      HX 0546000L  66          2000</t>
        </is>
      </c>
      <c r="D279" t="inlineStr">
        <is>
          <t>Men's feminism : August Bebel and the German socialist movement / Anne Lopes and Gary Roth.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Lopes, Anne.</t>
        </is>
      </c>
      <c r="L279" t="inlineStr">
        <is>
          <t>Amherst, N.Y. : Humanity Books, 2000.</t>
        </is>
      </c>
      <c r="M279" t="inlineStr">
        <is>
          <t>2000</t>
        </is>
      </c>
      <c r="O279" t="inlineStr">
        <is>
          <t>eng</t>
        </is>
      </c>
      <c r="P279" t="inlineStr">
        <is>
          <t>nyu</t>
        </is>
      </c>
      <c r="R279" t="inlineStr">
        <is>
          <t xml:space="preserve">HX </t>
        </is>
      </c>
      <c r="S279" t="n">
        <v>2</v>
      </c>
      <c r="T279" t="n">
        <v>2</v>
      </c>
      <c r="U279" t="inlineStr">
        <is>
          <t>2003-10-06</t>
        </is>
      </c>
      <c r="V279" t="inlineStr">
        <is>
          <t>2003-10-06</t>
        </is>
      </c>
      <c r="W279" t="inlineStr">
        <is>
          <t>2002-10-21</t>
        </is>
      </c>
      <c r="X279" t="inlineStr">
        <is>
          <t>2002-10-21</t>
        </is>
      </c>
      <c r="Y279" t="n">
        <v>205</v>
      </c>
      <c r="Z279" t="n">
        <v>169</v>
      </c>
      <c r="AA279" t="n">
        <v>171</v>
      </c>
      <c r="AB279" t="n">
        <v>3</v>
      </c>
      <c r="AC279" t="n">
        <v>3</v>
      </c>
      <c r="AD279" t="n">
        <v>12</v>
      </c>
      <c r="AE279" t="n">
        <v>12</v>
      </c>
      <c r="AF279" t="n">
        <v>3</v>
      </c>
      <c r="AG279" t="n">
        <v>3</v>
      </c>
      <c r="AH279" t="n">
        <v>3</v>
      </c>
      <c r="AI279" t="n">
        <v>3</v>
      </c>
      <c r="AJ279" t="n">
        <v>6</v>
      </c>
      <c r="AK279" t="n">
        <v>6</v>
      </c>
      <c r="AL279" t="n">
        <v>2</v>
      </c>
      <c r="AM279" t="n">
        <v>2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HYPERLINK("http://catalog.hathitrust.org/Record/004133011","HathiTrust Record")</f>
        <v/>
      </c>
      <c r="AS279">
        <f>HYPERLINK("https://creighton-primo.hosted.exlibrisgroup.com/primo-explore/search?tab=default_tab&amp;search_scope=EVERYTHING&amp;vid=01CRU&amp;lang=en_US&amp;offset=0&amp;query=any,contains,991003883189702656","Catalog Record")</f>
        <v/>
      </c>
      <c r="AT279">
        <f>HYPERLINK("http://www.worldcat.org/oclc/44541861","WorldCat Record")</f>
        <v/>
      </c>
      <c r="AU279" t="inlineStr">
        <is>
          <t>198516536:eng</t>
        </is>
      </c>
      <c r="AV279" t="inlineStr">
        <is>
          <t>44541861</t>
        </is>
      </c>
      <c r="AW279" t="inlineStr">
        <is>
          <t>991003883189702656</t>
        </is>
      </c>
      <c r="AX279" t="inlineStr">
        <is>
          <t>991003883189702656</t>
        </is>
      </c>
      <c r="AY279" t="inlineStr">
        <is>
          <t>2257651630002656</t>
        </is>
      </c>
      <c r="AZ279" t="inlineStr">
        <is>
          <t>BOOK</t>
        </is>
      </c>
      <c r="BB279" t="inlineStr">
        <is>
          <t>9781573928687</t>
        </is>
      </c>
      <c r="BC279" t="inlineStr">
        <is>
          <t>32285004656251</t>
        </is>
      </c>
      <c r="BD279" t="inlineStr">
        <is>
          <t>893705736</t>
        </is>
      </c>
      <c r="BE279" t="inlineStr">
        <is>
          <t>Wishart</t>
        </is>
      </c>
    </row>
    <row r="280">
      <c r="A280" t="inlineStr">
        <is>
          <t>No</t>
        </is>
      </c>
      <c r="B280" t="inlineStr">
        <is>
          <t>HX56 .M318</t>
        </is>
      </c>
      <c r="C280" t="inlineStr">
        <is>
          <t>0                      HX 0056000M  318</t>
        </is>
      </c>
      <c r="D280" t="inlineStr">
        <is>
          <t>Soviet Marxism, a critical analysis.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Marcuse, Herbert, 1898-1979.</t>
        </is>
      </c>
      <c r="L280" t="inlineStr">
        <is>
          <t>New York, Columbia University Press, 1958.</t>
        </is>
      </c>
      <c r="M280" t="inlineStr">
        <is>
          <t>1958</t>
        </is>
      </c>
      <c r="O280" t="inlineStr">
        <is>
          <t>eng</t>
        </is>
      </c>
      <c r="P280" t="inlineStr">
        <is>
          <t>nyu</t>
        </is>
      </c>
      <c r="Q280" t="inlineStr">
        <is>
          <t>Studies of the Russian Institute, Columbia University</t>
        </is>
      </c>
      <c r="R280" t="inlineStr">
        <is>
          <t xml:space="preserve">HX </t>
        </is>
      </c>
      <c r="S280" t="n">
        <v>2</v>
      </c>
      <c r="T280" t="n">
        <v>2</v>
      </c>
      <c r="U280" t="inlineStr">
        <is>
          <t>2007-02-23</t>
        </is>
      </c>
      <c r="V280" t="inlineStr">
        <is>
          <t>2007-02-23</t>
        </is>
      </c>
      <c r="W280" t="inlineStr">
        <is>
          <t>1997-08-27</t>
        </is>
      </c>
      <c r="X280" t="inlineStr">
        <is>
          <t>1997-08-27</t>
        </is>
      </c>
      <c r="Y280" t="n">
        <v>929</v>
      </c>
      <c r="Z280" t="n">
        <v>810</v>
      </c>
      <c r="AA280" t="n">
        <v>1020</v>
      </c>
      <c r="AB280" t="n">
        <v>10</v>
      </c>
      <c r="AC280" t="n">
        <v>10</v>
      </c>
      <c r="AD280" t="n">
        <v>45</v>
      </c>
      <c r="AE280" t="n">
        <v>51</v>
      </c>
      <c r="AF280" t="n">
        <v>19</v>
      </c>
      <c r="AG280" t="n">
        <v>20</v>
      </c>
      <c r="AH280" t="n">
        <v>10</v>
      </c>
      <c r="AI280" t="n">
        <v>11</v>
      </c>
      <c r="AJ280" t="n">
        <v>19</v>
      </c>
      <c r="AK280" t="n">
        <v>23</v>
      </c>
      <c r="AL280" t="n">
        <v>9</v>
      </c>
      <c r="AM280" t="n">
        <v>9</v>
      </c>
      <c r="AN280" t="n">
        <v>0</v>
      </c>
      <c r="AO280" t="n">
        <v>1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HYPERLINK("http://catalog.hathitrust.org/Record/001136786","HathiTrust Record")</f>
        <v/>
      </c>
      <c r="AS280">
        <f>HYPERLINK("https://creighton-primo.hosted.exlibrisgroup.com/primo-explore/search?tab=default_tab&amp;search_scope=EVERYTHING&amp;vid=01CRU&amp;lang=en_US&amp;offset=0&amp;query=any,contains,991003344729702656","Catalog Record")</f>
        <v/>
      </c>
      <c r="AT280">
        <f>HYPERLINK("http://www.worldcat.org/oclc/876342","WorldCat Record")</f>
        <v/>
      </c>
      <c r="AU280" t="inlineStr">
        <is>
          <t>4820395542:eng</t>
        </is>
      </c>
      <c r="AV280" t="inlineStr">
        <is>
          <t>876342</t>
        </is>
      </c>
      <c r="AW280" t="inlineStr">
        <is>
          <t>991003344729702656</t>
        </is>
      </c>
      <c r="AX280" t="inlineStr">
        <is>
          <t>991003344729702656</t>
        </is>
      </c>
      <c r="AY280" t="inlineStr">
        <is>
          <t>2263807830002656</t>
        </is>
      </c>
      <c r="AZ280" t="inlineStr">
        <is>
          <t>BOOK</t>
        </is>
      </c>
      <c r="BC280" t="inlineStr">
        <is>
          <t>32285003191318</t>
        </is>
      </c>
      <c r="BD280" t="inlineStr">
        <is>
          <t>893881075</t>
        </is>
      </c>
      <c r="BE280" t="inlineStr">
        <is>
          <t>Wishart</t>
        </is>
      </c>
    </row>
    <row r="281">
      <c r="A281" t="inlineStr">
        <is>
          <t>No</t>
        </is>
      </c>
      <c r="B281" t="inlineStr">
        <is>
          <t>HX73 .M533 2003</t>
        </is>
      </c>
      <c r="C281" t="inlineStr">
        <is>
          <t>0                      HX 0073000M  533         2003</t>
        </is>
      </c>
      <c r="D281" t="inlineStr">
        <is>
          <t>From class to race : essays in white Marxism and Black radicalism / Charles W. Mills.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Mills, Charles W. (Charles Wade)</t>
        </is>
      </c>
      <c r="L281" t="inlineStr">
        <is>
          <t>Lanham, Md. : Rowman &amp; Littlefield, c2003.</t>
        </is>
      </c>
      <c r="M281" t="inlineStr">
        <is>
          <t>2003</t>
        </is>
      </c>
      <c r="O281" t="inlineStr">
        <is>
          <t>eng</t>
        </is>
      </c>
      <c r="P281" t="inlineStr">
        <is>
          <t>mdu</t>
        </is>
      </c>
      <c r="Q281" t="inlineStr">
        <is>
          <t>New critical theory</t>
        </is>
      </c>
      <c r="R281" t="inlineStr">
        <is>
          <t xml:space="preserve">HX </t>
        </is>
      </c>
      <c r="S281" t="n">
        <v>7</v>
      </c>
      <c r="T281" t="n">
        <v>7</v>
      </c>
      <c r="U281" t="inlineStr">
        <is>
          <t>2008-09-08</t>
        </is>
      </c>
      <c r="V281" t="inlineStr">
        <is>
          <t>2008-09-08</t>
        </is>
      </c>
      <c r="W281" t="inlineStr">
        <is>
          <t>2004-10-26</t>
        </is>
      </c>
      <c r="X281" t="inlineStr">
        <is>
          <t>2004-10-26</t>
        </is>
      </c>
      <c r="Y281" t="n">
        <v>283</v>
      </c>
      <c r="Z281" t="n">
        <v>219</v>
      </c>
      <c r="AA281" t="n">
        <v>239</v>
      </c>
      <c r="AB281" t="n">
        <v>3</v>
      </c>
      <c r="AC281" t="n">
        <v>3</v>
      </c>
      <c r="AD281" t="n">
        <v>17</v>
      </c>
      <c r="AE281" t="n">
        <v>19</v>
      </c>
      <c r="AF281" t="n">
        <v>5</v>
      </c>
      <c r="AG281" t="n">
        <v>6</v>
      </c>
      <c r="AH281" t="n">
        <v>7</v>
      </c>
      <c r="AI281" t="n">
        <v>8</v>
      </c>
      <c r="AJ281" t="n">
        <v>8</v>
      </c>
      <c r="AK281" t="n">
        <v>9</v>
      </c>
      <c r="AL281" t="n">
        <v>2</v>
      </c>
      <c r="AM281" t="n">
        <v>2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HYPERLINK("http://catalog.hathitrust.org/Record/004354830","HathiTrust Record")</f>
        <v/>
      </c>
      <c r="AS281">
        <f>HYPERLINK("https://creighton-primo.hosted.exlibrisgroup.com/primo-explore/search?tab=default_tab&amp;search_scope=EVERYTHING&amp;vid=01CRU&amp;lang=en_US&amp;offset=0&amp;query=any,contains,991004398219702656","Catalog Record")</f>
        <v/>
      </c>
      <c r="AT281">
        <f>HYPERLINK("http://www.worldcat.org/oclc/52216116","WorldCat Record")</f>
        <v/>
      </c>
      <c r="AU281" t="inlineStr">
        <is>
          <t>739907:eng</t>
        </is>
      </c>
      <c r="AV281" t="inlineStr">
        <is>
          <t>52216116</t>
        </is>
      </c>
      <c r="AW281" t="inlineStr">
        <is>
          <t>991004398219702656</t>
        </is>
      </c>
      <c r="AX281" t="inlineStr">
        <is>
          <t>991004398219702656</t>
        </is>
      </c>
      <c r="AY281" t="inlineStr">
        <is>
          <t>2257033200002656</t>
        </is>
      </c>
      <c r="AZ281" t="inlineStr">
        <is>
          <t>BOOK</t>
        </is>
      </c>
      <c r="BB281" t="inlineStr">
        <is>
          <t>9780742513013</t>
        </is>
      </c>
      <c r="BC281" t="inlineStr">
        <is>
          <t>32285005006746</t>
        </is>
      </c>
      <c r="BD281" t="inlineStr">
        <is>
          <t>893241376</t>
        </is>
      </c>
      <c r="BE281" t="inlineStr">
        <is>
          <t>Wishart</t>
        </is>
      </c>
    </row>
    <row r="282">
      <c r="A282" t="inlineStr">
        <is>
          <t>No</t>
        </is>
      </c>
      <c r="B282" t="inlineStr">
        <is>
          <t>NA1123.B9 W35 1994</t>
        </is>
      </c>
      <c r="C282" t="inlineStr">
        <is>
          <t>0                      NA 1123000B  9                  W  35          1994</t>
        </is>
      </c>
      <c r="D282" t="inlineStr">
        <is>
          <t>Michelangelo at San Lorenzo : the genius as entrepreneur / William E. Wallace.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Wallace, William E.</t>
        </is>
      </c>
      <c r="L282" t="inlineStr">
        <is>
          <t>Cambridge [England] ; New York : Cambridge University Press, 1994.</t>
        </is>
      </c>
      <c r="M282" t="inlineStr">
        <is>
          <t>1994</t>
        </is>
      </c>
      <c r="O282" t="inlineStr">
        <is>
          <t>eng</t>
        </is>
      </c>
      <c r="P282" t="inlineStr">
        <is>
          <t>enk</t>
        </is>
      </c>
      <c r="R282" t="inlineStr">
        <is>
          <t xml:space="preserve">NA </t>
        </is>
      </c>
      <c r="S282" t="n">
        <v>1</v>
      </c>
      <c r="T282" t="n">
        <v>1</v>
      </c>
      <c r="U282" t="inlineStr">
        <is>
          <t>2008-11-06</t>
        </is>
      </c>
      <c r="V282" t="inlineStr">
        <is>
          <t>2008-11-06</t>
        </is>
      </c>
      <c r="W282" t="inlineStr">
        <is>
          <t>2008-11-06</t>
        </is>
      </c>
      <c r="X282" t="inlineStr">
        <is>
          <t>2008-11-06</t>
        </is>
      </c>
      <c r="Y282" t="n">
        <v>682</v>
      </c>
      <c r="Z282" t="n">
        <v>550</v>
      </c>
      <c r="AA282" t="n">
        <v>553</v>
      </c>
      <c r="AB282" t="n">
        <v>3</v>
      </c>
      <c r="AC282" t="n">
        <v>3</v>
      </c>
      <c r="AD282" t="n">
        <v>29</v>
      </c>
      <c r="AE282" t="n">
        <v>29</v>
      </c>
      <c r="AF282" t="n">
        <v>10</v>
      </c>
      <c r="AG282" t="n">
        <v>10</v>
      </c>
      <c r="AH282" t="n">
        <v>6</v>
      </c>
      <c r="AI282" t="n">
        <v>6</v>
      </c>
      <c r="AJ282" t="n">
        <v>18</v>
      </c>
      <c r="AK282" t="n">
        <v>18</v>
      </c>
      <c r="AL282" t="n">
        <v>2</v>
      </c>
      <c r="AM282" t="n">
        <v>2</v>
      </c>
      <c r="AN282" t="n">
        <v>0</v>
      </c>
      <c r="AO282" t="n">
        <v>0</v>
      </c>
      <c r="AP282" t="inlineStr">
        <is>
          <t>No</t>
        </is>
      </c>
      <c r="AQ282" t="inlineStr">
        <is>
          <t>No</t>
        </is>
      </c>
      <c r="AS282">
        <f>HYPERLINK("https://creighton-primo.hosted.exlibrisgroup.com/primo-explore/search?tab=default_tab&amp;search_scope=EVERYTHING&amp;vid=01CRU&amp;lang=en_US&amp;offset=0&amp;query=any,contains,991005274989702656","Catalog Record")</f>
        <v/>
      </c>
      <c r="AT282">
        <f>HYPERLINK("http://www.worldcat.org/oclc/28255006","WorldCat Record")</f>
        <v/>
      </c>
      <c r="AU282" t="inlineStr">
        <is>
          <t>308448469:eng</t>
        </is>
      </c>
      <c r="AV282" t="inlineStr">
        <is>
          <t>28255006</t>
        </is>
      </c>
      <c r="AW282" t="inlineStr">
        <is>
          <t>991005274989702656</t>
        </is>
      </c>
      <c r="AX282" t="inlineStr">
        <is>
          <t>991005274989702656</t>
        </is>
      </c>
      <c r="AY282" t="inlineStr">
        <is>
          <t>2261854960002656</t>
        </is>
      </c>
      <c r="AZ282" t="inlineStr">
        <is>
          <t>BOOK</t>
        </is>
      </c>
      <c r="BB282" t="inlineStr">
        <is>
          <t>9780521410212</t>
        </is>
      </c>
      <c r="BC282" t="inlineStr">
        <is>
          <t>32285005466130</t>
        </is>
      </c>
      <c r="BD282" t="inlineStr">
        <is>
          <t>893600916</t>
        </is>
      </c>
      <c r="BE282" t="inlineStr">
        <is>
          <t>Maria T Vanderboegh</t>
        </is>
      </c>
    </row>
    <row r="283">
      <c r="A283" t="inlineStr">
        <is>
          <t>No</t>
        </is>
      </c>
      <c r="B283" t="inlineStr">
        <is>
          <t>NA4830 .G5313 1984</t>
        </is>
      </c>
      <c r="C283" t="inlineStr">
        <is>
          <t>0                      NA 4830000G  5313        1984</t>
        </is>
      </c>
      <c r="D283" t="inlineStr">
        <is>
          <t>The cathedral builders / by Jean Gimpel ; translated by Teresa Waugh.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Gimpel, Jean.</t>
        </is>
      </c>
      <c r="L283" t="inlineStr">
        <is>
          <t>New York : Harper &amp; Row, 1984, c1983.</t>
        </is>
      </c>
      <c r="M283" t="inlineStr">
        <is>
          <t>1984</t>
        </is>
      </c>
      <c r="N283" t="inlineStr">
        <is>
          <t>1st Harper colophon ed.</t>
        </is>
      </c>
      <c r="O283" t="inlineStr">
        <is>
          <t>eng</t>
        </is>
      </c>
      <c r="P283" t="inlineStr">
        <is>
          <t>nyu</t>
        </is>
      </c>
      <c r="Q283" t="inlineStr">
        <is>
          <t>Harper colophon books</t>
        </is>
      </c>
      <c r="R283" t="inlineStr">
        <is>
          <t xml:space="preserve">NA </t>
        </is>
      </c>
      <c r="S283" t="n">
        <v>1</v>
      </c>
      <c r="T283" t="n">
        <v>1</v>
      </c>
      <c r="U283" t="inlineStr">
        <is>
          <t>2008-05-14</t>
        </is>
      </c>
      <c r="V283" t="inlineStr">
        <is>
          <t>2008-05-14</t>
        </is>
      </c>
      <c r="W283" t="inlineStr">
        <is>
          <t>2008-05-14</t>
        </is>
      </c>
      <c r="X283" t="inlineStr">
        <is>
          <t>2008-05-14</t>
        </is>
      </c>
      <c r="Y283" t="n">
        <v>338</v>
      </c>
      <c r="Z283" t="n">
        <v>308</v>
      </c>
      <c r="AA283" t="n">
        <v>753</v>
      </c>
      <c r="AB283" t="n">
        <v>3</v>
      </c>
      <c r="AC283" t="n">
        <v>5</v>
      </c>
      <c r="AD283" t="n">
        <v>11</v>
      </c>
      <c r="AE283" t="n">
        <v>33</v>
      </c>
      <c r="AF283" t="n">
        <v>2</v>
      </c>
      <c r="AG283" t="n">
        <v>14</v>
      </c>
      <c r="AH283" t="n">
        <v>5</v>
      </c>
      <c r="AI283" t="n">
        <v>9</v>
      </c>
      <c r="AJ283" t="n">
        <v>5</v>
      </c>
      <c r="AK283" t="n">
        <v>17</v>
      </c>
      <c r="AL283" t="n">
        <v>1</v>
      </c>
      <c r="AM283" t="n">
        <v>3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HYPERLINK("http://catalog.hathitrust.org/Record/102081352","HathiTrust Record")</f>
        <v/>
      </c>
      <c r="AS283">
        <f>HYPERLINK("https://creighton-primo.hosted.exlibrisgroup.com/primo-explore/search?tab=default_tab&amp;search_scope=EVERYTHING&amp;vid=01CRU&amp;lang=en_US&amp;offset=0&amp;query=any,contains,991005220849702656","Catalog Record")</f>
        <v/>
      </c>
      <c r="AT283">
        <f>HYPERLINK("http://www.worldcat.org/oclc/10799301","WorldCat Record")</f>
        <v/>
      </c>
      <c r="AU283" t="inlineStr">
        <is>
          <t>9593910867:eng</t>
        </is>
      </c>
      <c r="AV283" t="inlineStr">
        <is>
          <t>10799301</t>
        </is>
      </c>
      <c r="AW283" t="inlineStr">
        <is>
          <t>991005220849702656</t>
        </is>
      </c>
      <c r="AX283" t="inlineStr">
        <is>
          <t>991005220849702656</t>
        </is>
      </c>
      <c r="AY283" t="inlineStr">
        <is>
          <t>2269866590002656</t>
        </is>
      </c>
      <c r="AZ283" t="inlineStr">
        <is>
          <t>BOOK</t>
        </is>
      </c>
      <c r="BB283" t="inlineStr">
        <is>
          <t>9780060911584</t>
        </is>
      </c>
      <c r="BC283" t="inlineStr">
        <is>
          <t>32285005407795</t>
        </is>
      </c>
      <c r="BD283" t="inlineStr">
        <is>
          <t>893254669</t>
        </is>
      </c>
      <c r="BE283" t="inlineStr">
        <is>
          <t>Dobberpuhl</t>
        </is>
      </c>
    </row>
    <row r="284">
      <c r="A284" t="inlineStr">
        <is>
          <t>No</t>
        </is>
      </c>
      <c r="B284" t="inlineStr">
        <is>
          <t>NA680 .S39</t>
        </is>
      </c>
      <c r="C284" t="inlineStr">
        <is>
          <t>0                      NA 0680000S  39</t>
        </is>
      </c>
      <c r="D284" t="inlineStr">
        <is>
          <t>Modern Architecture; the architecture of democracy.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Scully, Vincent, Jr., 1920-2017.</t>
        </is>
      </c>
      <c r="L284" t="inlineStr">
        <is>
          <t>New York, G. Braziller [1965]</t>
        </is>
      </c>
      <c r="M284" t="inlineStr">
        <is>
          <t>1965</t>
        </is>
      </c>
      <c r="O284" t="inlineStr">
        <is>
          <t>eng</t>
        </is>
      </c>
      <c r="P284" t="inlineStr">
        <is>
          <t xml:space="preserve">xx </t>
        </is>
      </c>
      <c r="Q284" t="inlineStr">
        <is>
          <t>The Great ages of world architecture</t>
        </is>
      </c>
      <c r="R284" t="inlineStr">
        <is>
          <t xml:space="preserve">NA </t>
        </is>
      </c>
      <c r="S284" t="n">
        <v>1</v>
      </c>
      <c r="T284" t="n">
        <v>1</v>
      </c>
      <c r="U284" t="inlineStr">
        <is>
          <t>2003-04-25</t>
        </is>
      </c>
      <c r="V284" t="inlineStr">
        <is>
          <t>2003-04-25</t>
        </is>
      </c>
      <c r="W284" t="inlineStr">
        <is>
          <t>1997-07-01</t>
        </is>
      </c>
      <c r="X284" t="inlineStr">
        <is>
          <t>1997-07-01</t>
        </is>
      </c>
      <c r="Y284" t="n">
        <v>47</v>
      </c>
      <c r="Z284" t="n">
        <v>40</v>
      </c>
      <c r="AA284" t="n">
        <v>1414</v>
      </c>
      <c r="AB284" t="n">
        <v>1</v>
      </c>
      <c r="AC284" t="n">
        <v>9</v>
      </c>
      <c r="AD284" t="n">
        <v>1</v>
      </c>
      <c r="AE284" t="n">
        <v>49</v>
      </c>
      <c r="AF284" t="n">
        <v>1</v>
      </c>
      <c r="AG284" t="n">
        <v>23</v>
      </c>
      <c r="AH284" t="n">
        <v>0</v>
      </c>
      <c r="AI284" t="n">
        <v>8</v>
      </c>
      <c r="AJ284" t="n">
        <v>0</v>
      </c>
      <c r="AK284" t="n">
        <v>23</v>
      </c>
      <c r="AL284" t="n">
        <v>0</v>
      </c>
      <c r="AM284" t="n">
        <v>6</v>
      </c>
      <c r="AN284" t="n">
        <v>0</v>
      </c>
      <c r="AO284" t="n">
        <v>0</v>
      </c>
      <c r="AP284" t="inlineStr">
        <is>
          <t>No</t>
        </is>
      </c>
      <c r="AQ284" t="inlineStr">
        <is>
          <t>No</t>
        </is>
      </c>
      <c r="AS284">
        <f>HYPERLINK("https://creighton-primo.hosted.exlibrisgroup.com/primo-explore/search?tab=default_tab&amp;search_scope=EVERYTHING&amp;vid=01CRU&amp;lang=en_US&amp;offset=0&amp;query=any,contains,991004720029702656","Catalog Record")</f>
        <v/>
      </c>
      <c r="AT284">
        <f>HYPERLINK("http://www.worldcat.org/oclc/4798818","WorldCat Record")</f>
        <v/>
      </c>
      <c r="AU284" t="inlineStr">
        <is>
          <t>366951287:eng</t>
        </is>
      </c>
      <c r="AV284" t="inlineStr">
        <is>
          <t>4798818</t>
        </is>
      </c>
      <c r="AW284" t="inlineStr">
        <is>
          <t>991004720029702656</t>
        </is>
      </c>
      <c r="AX284" t="inlineStr">
        <is>
          <t>991004720029702656</t>
        </is>
      </c>
      <c r="AY284" t="inlineStr">
        <is>
          <t>2260550810002656</t>
        </is>
      </c>
      <c r="AZ284" t="inlineStr">
        <is>
          <t>BOOK</t>
        </is>
      </c>
      <c r="BC284" t="inlineStr">
        <is>
          <t>32285002861333</t>
        </is>
      </c>
      <c r="BD284" t="inlineStr">
        <is>
          <t>893889185</t>
        </is>
      </c>
      <c r="BE284" t="inlineStr">
        <is>
          <t>Dobberpuhl</t>
        </is>
      </c>
    </row>
    <row r="285">
      <c r="A285" t="inlineStr">
        <is>
          <t>No</t>
        </is>
      </c>
      <c r="B285" t="inlineStr">
        <is>
          <t>NA7207 .S38</t>
        </is>
      </c>
      <c r="C285" t="inlineStr">
        <is>
          <t>0                      NA 7207000S  38</t>
        </is>
      </c>
      <c r="D285" t="inlineStr">
        <is>
          <t>The shingle style / architectural theory and design from Richardson to the origins of Wright.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Scully, Vincent, Jr., 1920-2017.</t>
        </is>
      </c>
      <c r="L285" t="inlineStr">
        <is>
          <t>New Haven : Yale University Press, 1955.</t>
        </is>
      </c>
      <c r="M285" t="inlineStr">
        <is>
          <t>1955</t>
        </is>
      </c>
      <c r="O285" t="inlineStr">
        <is>
          <t>eng</t>
        </is>
      </c>
      <c r="P285" t="inlineStr">
        <is>
          <t>ctu</t>
        </is>
      </c>
      <c r="Q285" t="inlineStr">
        <is>
          <t>Yale historical publications. History of art ; 10</t>
        </is>
      </c>
      <c r="R285" t="inlineStr">
        <is>
          <t xml:space="preserve">NA </t>
        </is>
      </c>
      <c r="S285" t="n">
        <v>3</v>
      </c>
      <c r="T285" t="n">
        <v>3</v>
      </c>
      <c r="U285" t="inlineStr">
        <is>
          <t>2000-03-18</t>
        </is>
      </c>
      <c r="V285" t="inlineStr">
        <is>
          <t>2000-03-18</t>
        </is>
      </c>
      <c r="W285" t="inlineStr">
        <is>
          <t>1993-04-07</t>
        </is>
      </c>
      <c r="X285" t="inlineStr">
        <is>
          <t>1993-04-07</t>
        </is>
      </c>
      <c r="Y285" t="n">
        <v>523</v>
      </c>
      <c r="Z285" t="n">
        <v>470</v>
      </c>
      <c r="AA285" t="n">
        <v>478</v>
      </c>
      <c r="AB285" t="n">
        <v>3</v>
      </c>
      <c r="AC285" t="n">
        <v>3</v>
      </c>
      <c r="AD285" t="n">
        <v>14</v>
      </c>
      <c r="AE285" t="n">
        <v>14</v>
      </c>
      <c r="AF285" t="n">
        <v>4</v>
      </c>
      <c r="AG285" t="n">
        <v>4</v>
      </c>
      <c r="AH285" t="n">
        <v>4</v>
      </c>
      <c r="AI285" t="n">
        <v>4</v>
      </c>
      <c r="AJ285" t="n">
        <v>6</v>
      </c>
      <c r="AK285" t="n">
        <v>6</v>
      </c>
      <c r="AL285" t="n">
        <v>1</v>
      </c>
      <c r="AM285" t="n">
        <v>1</v>
      </c>
      <c r="AN285" t="n">
        <v>0</v>
      </c>
      <c r="AO285" t="n">
        <v>0</v>
      </c>
      <c r="AP285" t="inlineStr">
        <is>
          <t>No</t>
        </is>
      </c>
      <c r="AQ285" t="inlineStr">
        <is>
          <t>Yes</t>
        </is>
      </c>
      <c r="AR285">
        <f>HYPERLINK("http://catalog.hathitrust.org/Record/000643431","HathiTrust Record")</f>
        <v/>
      </c>
      <c r="AS285">
        <f>HYPERLINK("https://creighton-primo.hosted.exlibrisgroup.com/primo-explore/search?tab=default_tab&amp;search_scope=EVERYTHING&amp;vid=01CRU&amp;lang=en_US&amp;offset=0&amp;query=any,contains,991002905819702656","Catalog Record")</f>
        <v/>
      </c>
      <c r="AT285">
        <f>HYPERLINK("http://www.worldcat.org/oclc/519360","WorldCat Record")</f>
        <v/>
      </c>
      <c r="AU285" t="inlineStr">
        <is>
          <t>8909492358:eng</t>
        </is>
      </c>
      <c r="AV285" t="inlineStr">
        <is>
          <t>519360</t>
        </is>
      </c>
      <c r="AW285" t="inlineStr">
        <is>
          <t>991002905819702656</t>
        </is>
      </c>
      <c r="AX285" t="inlineStr">
        <is>
          <t>991002905819702656</t>
        </is>
      </c>
      <c r="AY285" t="inlineStr">
        <is>
          <t>2256800510002656</t>
        </is>
      </c>
      <c r="AZ285" t="inlineStr">
        <is>
          <t>BOOK</t>
        </is>
      </c>
      <c r="BC285" t="inlineStr">
        <is>
          <t>32285001603991</t>
        </is>
      </c>
      <c r="BD285" t="inlineStr">
        <is>
          <t>893329700</t>
        </is>
      </c>
      <c r="BE285" t="inlineStr">
        <is>
          <t>Dobberpuhl</t>
        </is>
      </c>
    </row>
    <row r="286">
      <c r="A286" t="inlineStr">
        <is>
          <t>No</t>
        </is>
      </c>
      <c r="B286" t="inlineStr">
        <is>
          <t>NA7208 .W68</t>
        </is>
      </c>
      <c r="C286" t="inlineStr">
        <is>
          <t>0                      NA 7208000W  68</t>
        </is>
      </c>
      <c r="D286" t="inlineStr">
        <is>
          <t>The natural house.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Wright, Frank Lloyd, 1867-1959.</t>
        </is>
      </c>
      <c r="L286" t="inlineStr">
        <is>
          <t>New York, Horizon Press, 1954.</t>
        </is>
      </c>
      <c r="M286" t="inlineStr">
        <is>
          <t>1954</t>
        </is>
      </c>
      <c r="O286" t="inlineStr">
        <is>
          <t>eng</t>
        </is>
      </c>
      <c r="P286" t="inlineStr">
        <is>
          <t>nyu</t>
        </is>
      </c>
      <c r="R286" t="inlineStr">
        <is>
          <t xml:space="preserve">NA </t>
        </is>
      </c>
      <c r="S286" t="n">
        <v>2</v>
      </c>
      <c r="T286" t="n">
        <v>2</v>
      </c>
      <c r="U286" t="inlineStr">
        <is>
          <t>2006-11-26</t>
        </is>
      </c>
      <c r="V286" t="inlineStr">
        <is>
          <t>2006-11-26</t>
        </is>
      </c>
      <c r="W286" t="inlineStr">
        <is>
          <t>1997-07-02</t>
        </is>
      </c>
      <c r="X286" t="inlineStr">
        <is>
          <t>1997-07-02</t>
        </is>
      </c>
      <c r="Y286" t="n">
        <v>1403</v>
      </c>
      <c r="Z286" t="n">
        <v>1302</v>
      </c>
      <c r="AA286" t="n">
        <v>1584</v>
      </c>
      <c r="AB286" t="n">
        <v>11</v>
      </c>
      <c r="AC286" t="n">
        <v>15</v>
      </c>
      <c r="AD286" t="n">
        <v>30</v>
      </c>
      <c r="AE286" t="n">
        <v>33</v>
      </c>
      <c r="AF286" t="n">
        <v>9</v>
      </c>
      <c r="AG286" t="n">
        <v>10</v>
      </c>
      <c r="AH286" t="n">
        <v>6</v>
      </c>
      <c r="AI286" t="n">
        <v>6</v>
      </c>
      <c r="AJ286" t="n">
        <v>16</v>
      </c>
      <c r="AK286" t="n">
        <v>17</v>
      </c>
      <c r="AL286" t="n">
        <v>6</v>
      </c>
      <c r="AM286" t="n">
        <v>7</v>
      </c>
      <c r="AN286" t="n">
        <v>0</v>
      </c>
      <c r="AO286" t="n">
        <v>0</v>
      </c>
      <c r="AP286" t="inlineStr">
        <is>
          <t>No</t>
        </is>
      </c>
      <c r="AQ286" t="inlineStr">
        <is>
          <t>No</t>
        </is>
      </c>
      <c r="AR286">
        <f>HYPERLINK("http://catalog.hathitrust.org/Record/000643309","HathiTrust Record")</f>
        <v/>
      </c>
      <c r="AS286">
        <f>HYPERLINK("https://creighton-primo.hosted.exlibrisgroup.com/primo-explore/search?tab=default_tab&amp;search_scope=EVERYTHING&amp;vid=01CRU&amp;lang=en_US&amp;offset=0&amp;query=any,contains,991002163369702656","Catalog Record")</f>
        <v/>
      </c>
      <c r="AT286">
        <f>HYPERLINK("http://www.worldcat.org/oclc/274424","WorldCat Record")</f>
        <v/>
      </c>
      <c r="AU286" t="inlineStr">
        <is>
          <t>339626:eng</t>
        </is>
      </c>
      <c r="AV286" t="inlineStr">
        <is>
          <t>274424</t>
        </is>
      </c>
      <c r="AW286" t="inlineStr">
        <is>
          <t>991002163369702656</t>
        </is>
      </c>
      <c r="AX286" t="inlineStr">
        <is>
          <t>991002163369702656</t>
        </is>
      </c>
      <c r="AY286" t="inlineStr">
        <is>
          <t>2260808450002656</t>
        </is>
      </c>
      <c r="AZ286" t="inlineStr">
        <is>
          <t>BOOK</t>
        </is>
      </c>
      <c r="BB286" t="inlineStr">
        <is>
          <t>9780517020784</t>
        </is>
      </c>
      <c r="BC286" t="inlineStr">
        <is>
          <t>32285002863099</t>
        </is>
      </c>
      <c r="BD286" t="inlineStr">
        <is>
          <t>893322626</t>
        </is>
      </c>
      <c r="BE286" t="inlineStr">
        <is>
          <t>Dobberpuhl</t>
        </is>
      </c>
    </row>
    <row r="287">
      <c r="A287" t="inlineStr">
        <is>
          <t>No</t>
        </is>
      </c>
      <c r="B287" t="inlineStr">
        <is>
          <t>NA737.W7 G54 1987</t>
        </is>
      </c>
      <c r="C287" t="inlineStr">
        <is>
          <t>0                      NA 0737000W  7                  G  54          1987</t>
        </is>
      </c>
      <c r="D287" t="inlineStr">
        <is>
          <t>Many masks : a life of Frank Lloyd Wright / Brendan Gill.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Gill, Brendan, 1914-1997.</t>
        </is>
      </c>
      <c r="L287" t="inlineStr">
        <is>
          <t>New York : Putnam, c1987.</t>
        </is>
      </c>
      <c r="M287" t="inlineStr">
        <is>
          <t>1987</t>
        </is>
      </c>
      <c r="O287" t="inlineStr">
        <is>
          <t>eng</t>
        </is>
      </c>
      <c r="P287" t="inlineStr">
        <is>
          <t>nyu</t>
        </is>
      </c>
      <c r="R287" t="inlineStr">
        <is>
          <t xml:space="preserve">NA </t>
        </is>
      </c>
      <c r="S287" t="n">
        <v>11</v>
      </c>
      <c r="T287" t="n">
        <v>11</v>
      </c>
      <c r="U287" t="inlineStr">
        <is>
          <t>2004-09-08</t>
        </is>
      </c>
      <c r="V287" t="inlineStr">
        <is>
          <t>2004-09-08</t>
        </is>
      </c>
      <c r="W287" t="inlineStr">
        <is>
          <t>1993-05-13</t>
        </is>
      </c>
      <c r="X287" t="inlineStr">
        <is>
          <t>1993-05-13</t>
        </is>
      </c>
      <c r="Y287" t="n">
        <v>1590</v>
      </c>
      <c r="Z287" t="n">
        <v>1508</v>
      </c>
      <c r="AA287" t="n">
        <v>1674</v>
      </c>
      <c r="AB287" t="n">
        <v>11</v>
      </c>
      <c r="AC287" t="n">
        <v>11</v>
      </c>
      <c r="AD287" t="n">
        <v>31</v>
      </c>
      <c r="AE287" t="n">
        <v>35</v>
      </c>
      <c r="AF287" t="n">
        <v>14</v>
      </c>
      <c r="AG287" t="n">
        <v>15</v>
      </c>
      <c r="AH287" t="n">
        <v>6</v>
      </c>
      <c r="AI287" t="n">
        <v>8</v>
      </c>
      <c r="AJ287" t="n">
        <v>14</v>
      </c>
      <c r="AK287" t="n">
        <v>16</v>
      </c>
      <c r="AL287" t="n">
        <v>6</v>
      </c>
      <c r="AM287" t="n">
        <v>6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HYPERLINK("http://catalog.hathitrust.org/Record/000877446","HathiTrust Record")</f>
        <v/>
      </c>
      <c r="AS287">
        <f>HYPERLINK("https://creighton-primo.hosted.exlibrisgroup.com/primo-explore/search?tab=default_tab&amp;search_scope=EVERYTHING&amp;vid=01CRU&amp;lang=en_US&amp;offset=0&amp;query=any,contains,991001065389702656","Catalog Record")</f>
        <v/>
      </c>
      <c r="AT287">
        <f>HYPERLINK("http://www.worldcat.org/oclc/15793181","WorldCat Record")</f>
        <v/>
      </c>
      <c r="AU287" t="inlineStr">
        <is>
          <t>196567014:eng</t>
        </is>
      </c>
      <c r="AV287" t="inlineStr">
        <is>
          <t>15793181</t>
        </is>
      </c>
      <c r="AW287" t="inlineStr">
        <is>
          <t>991001065389702656</t>
        </is>
      </c>
      <c r="AX287" t="inlineStr">
        <is>
          <t>991001065389702656</t>
        </is>
      </c>
      <c r="AY287" t="inlineStr">
        <is>
          <t>2261148430002656</t>
        </is>
      </c>
      <c r="AZ287" t="inlineStr">
        <is>
          <t>BOOK</t>
        </is>
      </c>
      <c r="BB287" t="inlineStr">
        <is>
          <t>9780399132322</t>
        </is>
      </c>
      <c r="BC287" t="inlineStr">
        <is>
          <t>32285001654622</t>
        </is>
      </c>
      <c r="BD287" t="inlineStr">
        <is>
          <t>893334022</t>
        </is>
      </c>
      <c r="BE287" t="inlineStr">
        <is>
          <t>Dobberpuhl</t>
        </is>
      </c>
    </row>
    <row r="288">
      <c r="A288" t="inlineStr">
        <is>
          <t>No</t>
        </is>
      </c>
      <c r="B288" t="inlineStr">
        <is>
          <t>NA737.W7 M87 1983</t>
        </is>
      </c>
      <c r="C288" t="inlineStr">
        <is>
          <t>0                      NA 0737000W  7                  M  87          1983</t>
        </is>
      </c>
      <c r="D288" t="inlineStr">
        <is>
          <t>Man about town : Frank Lloyd Wright in New York City / Herbert Muschamp.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Muschamp, Herbert.</t>
        </is>
      </c>
      <c r="L288" t="inlineStr">
        <is>
          <t>Cambridge, Mass. : MIT Press, c1983.</t>
        </is>
      </c>
      <c r="M288" t="inlineStr">
        <is>
          <t>1983</t>
        </is>
      </c>
      <c r="O288" t="inlineStr">
        <is>
          <t>eng</t>
        </is>
      </c>
      <c r="P288" t="inlineStr">
        <is>
          <t>mau</t>
        </is>
      </c>
      <c r="R288" t="inlineStr">
        <is>
          <t xml:space="preserve">NA </t>
        </is>
      </c>
      <c r="S288" t="n">
        <v>2</v>
      </c>
      <c r="T288" t="n">
        <v>2</v>
      </c>
      <c r="U288" t="inlineStr">
        <is>
          <t>1993-11-02</t>
        </is>
      </c>
      <c r="V288" t="inlineStr">
        <is>
          <t>1993-11-02</t>
        </is>
      </c>
      <c r="W288" t="inlineStr">
        <is>
          <t>1993-05-13</t>
        </is>
      </c>
      <c r="X288" t="inlineStr">
        <is>
          <t>1993-05-13</t>
        </is>
      </c>
      <c r="Y288" t="n">
        <v>865</v>
      </c>
      <c r="Z288" t="n">
        <v>737</v>
      </c>
      <c r="AA288" t="n">
        <v>742</v>
      </c>
      <c r="AB288" t="n">
        <v>2</v>
      </c>
      <c r="AC288" t="n">
        <v>2</v>
      </c>
      <c r="AD288" t="n">
        <v>20</v>
      </c>
      <c r="AE288" t="n">
        <v>20</v>
      </c>
      <c r="AF288" t="n">
        <v>11</v>
      </c>
      <c r="AG288" t="n">
        <v>11</v>
      </c>
      <c r="AH288" t="n">
        <v>3</v>
      </c>
      <c r="AI288" t="n">
        <v>3</v>
      </c>
      <c r="AJ288" t="n">
        <v>7</v>
      </c>
      <c r="AK288" t="n">
        <v>7</v>
      </c>
      <c r="AL288" t="n">
        <v>1</v>
      </c>
      <c r="AM288" t="n">
        <v>1</v>
      </c>
      <c r="AN288" t="n">
        <v>0</v>
      </c>
      <c r="AO288" t="n">
        <v>0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HYPERLINK("https://creighton-primo.hosted.exlibrisgroup.com/primo-explore/search?tab=default_tab&amp;search_scope=EVERYTHING&amp;vid=01CRU&amp;lang=en_US&amp;offset=0&amp;query=any,contains,991000209889702656","Catalog Record")</f>
        <v/>
      </c>
      <c r="AT288">
        <f>HYPERLINK("http://www.worldcat.org/oclc/9533407","WorldCat Record")</f>
        <v/>
      </c>
      <c r="AU288" t="inlineStr">
        <is>
          <t>836618998:eng</t>
        </is>
      </c>
      <c r="AV288" t="inlineStr">
        <is>
          <t>9533407</t>
        </is>
      </c>
      <c r="AW288" t="inlineStr">
        <is>
          <t>991000209889702656</t>
        </is>
      </c>
      <c r="AX288" t="inlineStr">
        <is>
          <t>991000209889702656</t>
        </is>
      </c>
      <c r="AY288" t="inlineStr">
        <is>
          <t>2263107370002656</t>
        </is>
      </c>
      <c r="AZ288" t="inlineStr">
        <is>
          <t>BOOK</t>
        </is>
      </c>
      <c r="BB288" t="inlineStr">
        <is>
          <t>9780262131926</t>
        </is>
      </c>
      <c r="BC288" t="inlineStr">
        <is>
          <t>32285001654630</t>
        </is>
      </c>
      <c r="BD288" t="inlineStr">
        <is>
          <t>893502344</t>
        </is>
      </c>
      <c r="BE288" t="inlineStr">
        <is>
          <t>Dobberpuhl</t>
        </is>
      </c>
    </row>
    <row r="289">
      <c r="A289" t="inlineStr">
        <is>
          <t>No</t>
        </is>
      </c>
      <c r="B289" t="inlineStr">
        <is>
          <t>NA737.W7 S3 1960</t>
        </is>
      </c>
      <c r="C289" t="inlineStr">
        <is>
          <t>0                      NA 0737000W  7                  S  3           1960</t>
        </is>
      </c>
      <c r="D289" t="inlineStr">
        <is>
          <t>Frank Lloyd Wright / by Vincent Scully, Jr.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Scully, Vincent, Jr., 1920-2017.</t>
        </is>
      </c>
      <c r="L289" t="inlineStr">
        <is>
          <t>New York : G. Braziller, 1960.</t>
        </is>
      </c>
      <c r="M289" t="inlineStr">
        <is>
          <t>1960</t>
        </is>
      </c>
      <c r="O289" t="inlineStr">
        <is>
          <t>eng</t>
        </is>
      </c>
      <c r="P289" t="inlineStr">
        <is>
          <t>nyu</t>
        </is>
      </c>
      <c r="Q289" t="inlineStr">
        <is>
          <t>The Masters of world architecture series</t>
        </is>
      </c>
      <c r="R289" t="inlineStr">
        <is>
          <t xml:space="preserve">NA </t>
        </is>
      </c>
      <c r="S289" t="n">
        <v>22</v>
      </c>
      <c r="T289" t="n">
        <v>22</v>
      </c>
      <c r="U289" t="inlineStr">
        <is>
          <t>2004-09-08</t>
        </is>
      </c>
      <c r="V289" t="inlineStr">
        <is>
          <t>2004-09-08</t>
        </is>
      </c>
      <c r="W289" t="inlineStr">
        <is>
          <t>1992-03-16</t>
        </is>
      </c>
      <c r="X289" t="inlineStr">
        <is>
          <t>1992-03-16</t>
        </is>
      </c>
      <c r="Y289" t="n">
        <v>1542</v>
      </c>
      <c r="Z289" t="n">
        <v>1385</v>
      </c>
      <c r="AA289" t="n">
        <v>1405</v>
      </c>
      <c r="AB289" t="n">
        <v>13</v>
      </c>
      <c r="AC289" t="n">
        <v>13</v>
      </c>
      <c r="AD289" t="n">
        <v>43</v>
      </c>
      <c r="AE289" t="n">
        <v>43</v>
      </c>
      <c r="AF289" t="n">
        <v>19</v>
      </c>
      <c r="AG289" t="n">
        <v>19</v>
      </c>
      <c r="AH289" t="n">
        <v>6</v>
      </c>
      <c r="AI289" t="n">
        <v>6</v>
      </c>
      <c r="AJ289" t="n">
        <v>14</v>
      </c>
      <c r="AK289" t="n">
        <v>14</v>
      </c>
      <c r="AL289" t="n">
        <v>9</v>
      </c>
      <c r="AM289" t="n">
        <v>9</v>
      </c>
      <c r="AN289" t="n">
        <v>0</v>
      </c>
      <c r="AO289" t="n">
        <v>0</v>
      </c>
      <c r="AP289" t="inlineStr">
        <is>
          <t>No</t>
        </is>
      </c>
      <c r="AQ289" t="inlineStr">
        <is>
          <t>No</t>
        </is>
      </c>
      <c r="AR289">
        <f>HYPERLINK("http://catalog.hathitrust.org/Record/000451735","HathiTrust Record")</f>
        <v/>
      </c>
      <c r="AS289">
        <f>HYPERLINK("https://creighton-primo.hosted.exlibrisgroup.com/primo-explore/search?tab=default_tab&amp;search_scope=EVERYTHING&amp;vid=01CRU&amp;lang=en_US&amp;offset=0&amp;query=any,contains,991002904349702656","Catalog Record")</f>
        <v/>
      </c>
      <c r="AT289">
        <f>HYPERLINK("http://www.worldcat.org/oclc/518770","WorldCat Record")</f>
        <v/>
      </c>
      <c r="AU289" t="inlineStr">
        <is>
          <t>1255793543:eng</t>
        </is>
      </c>
      <c r="AV289" t="inlineStr">
        <is>
          <t>518770</t>
        </is>
      </c>
      <c r="AW289" t="inlineStr">
        <is>
          <t>991002904349702656</t>
        </is>
      </c>
      <c r="AX289" t="inlineStr">
        <is>
          <t>991002904349702656</t>
        </is>
      </c>
      <c r="AY289" t="inlineStr">
        <is>
          <t>2255957990002656</t>
        </is>
      </c>
      <c r="AZ289" t="inlineStr">
        <is>
          <t>BOOK</t>
        </is>
      </c>
      <c r="BC289" t="inlineStr">
        <is>
          <t>32285005054944</t>
        </is>
      </c>
      <c r="BD289" t="inlineStr">
        <is>
          <t>893809720</t>
        </is>
      </c>
      <c r="BE289" t="inlineStr">
        <is>
          <t>Dobberpuhl</t>
        </is>
      </c>
    </row>
    <row r="290">
      <c r="A290" t="inlineStr">
        <is>
          <t>No</t>
        </is>
      </c>
      <c r="B290" t="inlineStr">
        <is>
          <t>NA737.W7 T33</t>
        </is>
      </c>
      <c r="C290" t="inlineStr">
        <is>
          <t>0                      NA 0737000W  7                  T  33</t>
        </is>
      </c>
      <c r="D290" t="inlineStr">
        <is>
          <t>Apprentice to genius : years with Frank Lloyd Wright / Edgar Tafel.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Tafel, Edgar.</t>
        </is>
      </c>
      <c r="L290" t="inlineStr">
        <is>
          <t>New York : McGraw-Hill, c1979.</t>
        </is>
      </c>
      <c r="M290" t="inlineStr">
        <is>
          <t>1979</t>
        </is>
      </c>
      <c r="O290" t="inlineStr">
        <is>
          <t>eng</t>
        </is>
      </c>
      <c r="P290" t="inlineStr">
        <is>
          <t>nyu</t>
        </is>
      </c>
      <c r="R290" t="inlineStr">
        <is>
          <t xml:space="preserve">NA </t>
        </is>
      </c>
      <c r="S290" t="n">
        <v>15</v>
      </c>
      <c r="T290" t="n">
        <v>15</v>
      </c>
      <c r="U290" t="inlineStr">
        <is>
          <t>2008-10-16</t>
        </is>
      </c>
      <c r="V290" t="inlineStr">
        <is>
          <t>2008-10-16</t>
        </is>
      </c>
      <c r="W290" t="inlineStr">
        <is>
          <t>1992-05-04</t>
        </is>
      </c>
      <c r="X290" t="inlineStr">
        <is>
          <t>1992-05-04</t>
        </is>
      </c>
      <c r="Y290" t="n">
        <v>944</v>
      </c>
      <c r="Z290" t="n">
        <v>839</v>
      </c>
      <c r="AA290" t="n">
        <v>1075</v>
      </c>
      <c r="AB290" t="n">
        <v>7</v>
      </c>
      <c r="AC290" t="n">
        <v>7</v>
      </c>
      <c r="AD290" t="n">
        <v>20</v>
      </c>
      <c r="AE290" t="n">
        <v>20</v>
      </c>
      <c r="AF290" t="n">
        <v>5</v>
      </c>
      <c r="AG290" t="n">
        <v>5</v>
      </c>
      <c r="AH290" t="n">
        <v>4</v>
      </c>
      <c r="AI290" t="n">
        <v>4</v>
      </c>
      <c r="AJ290" t="n">
        <v>8</v>
      </c>
      <c r="AK290" t="n">
        <v>8</v>
      </c>
      <c r="AL290" t="n">
        <v>5</v>
      </c>
      <c r="AM290" t="n">
        <v>5</v>
      </c>
      <c r="AN290" t="n">
        <v>0</v>
      </c>
      <c r="AO290" t="n">
        <v>0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HYPERLINK("http://catalog.hathitrust.org/Record/000176748","HathiTrust Record")</f>
        <v/>
      </c>
      <c r="AS290">
        <f>HYPERLINK("https://creighton-primo.hosted.exlibrisgroup.com/primo-explore/search?tab=default_tab&amp;search_scope=EVERYTHING&amp;vid=01CRU&amp;lang=en_US&amp;offset=0&amp;query=any,contains,991004566719702656","Catalog Record")</f>
        <v/>
      </c>
      <c r="AT290">
        <f>HYPERLINK("http://www.worldcat.org/oclc/4004690","WorldCat Record")</f>
        <v/>
      </c>
      <c r="AU290" t="inlineStr">
        <is>
          <t>501177301:eng</t>
        </is>
      </c>
      <c r="AV290" t="inlineStr">
        <is>
          <t>4004690</t>
        </is>
      </c>
      <c r="AW290" t="inlineStr">
        <is>
          <t>991004566719702656</t>
        </is>
      </c>
      <c r="AX290" t="inlineStr">
        <is>
          <t>991004566719702656</t>
        </is>
      </c>
      <c r="AY290" t="inlineStr">
        <is>
          <t>2264875170002656</t>
        </is>
      </c>
      <c r="AZ290" t="inlineStr">
        <is>
          <t>BOOK</t>
        </is>
      </c>
      <c r="BB290" t="inlineStr">
        <is>
          <t>9780070628151</t>
        </is>
      </c>
      <c r="BC290" t="inlineStr">
        <is>
          <t>32285001091593</t>
        </is>
      </c>
      <c r="BD290" t="inlineStr">
        <is>
          <t>893436430</t>
        </is>
      </c>
      <c r="BE290" t="inlineStr">
        <is>
          <t>Dobberpuhl</t>
        </is>
      </c>
    </row>
    <row r="291">
      <c r="A291" t="inlineStr">
        <is>
          <t>No</t>
        </is>
      </c>
      <c r="B291" t="inlineStr">
        <is>
          <t>NB237.H42 A4 1989</t>
        </is>
      </c>
      <c r="C291" t="inlineStr">
        <is>
          <t>0                      NB 0237000H  42                 A  4           1989</t>
        </is>
      </c>
      <c r="D291" t="inlineStr">
        <is>
          <t>Eva Hesse : sculpture : catalogue raisonné / by Bill Barrette.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Barrette, Bill.</t>
        </is>
      </c>
      <c r="L291" t="inlineStr">
        <is>
          <t>New York : Timken Publishers, 1989.</t>
        </is>
      </c>
      <c r="M291" t="inlineStr">
        <is>
          <t>1989</t>
        </is>
      </c>
      <c r="O291" t="inlineStr">
        <is>
          <t>eng</t>
        </is>
      </c>
      <c r="P291" t="inlineStr">
        <is>
          <t>nyu</t>
        </is>
      </c>
      <c r="R291" t="inlineStr">
        <is>
          <t xml:space="preserve">NB </t>
        </is>
      </c>
      <c r="S291" t="n">
        <v>5</v>
      </c>
      <c r="T291" t="n">
        <v>5</v>
      </c>
      <c r="U291" t="inlineStr">
        <is>
          <t>1996-02-12</t>
        </is>
      </c>
      <c r="V291" t="inlineStr">
        <is>
          <t>1996-02-12</t>
        </is>
      </c>
      <c r="W291" t="inlineStr">
        <is>
          <t>1989-11-06</t>
        </is>
      </c>
      <c r="X291" t="inlineStr">
        <is>
          <t>1989-11-06</t>
        </is>
      </c>
      <c r="Y291" t="n">
        <v>592</v>
      </c>
      <c r="Z291" t="n">
        <v>494</v>
      </c>
      <c r="AA291" t="n">
        <v>500</v>
      </c>
      <c r="AB291" t="n">
        <v>3</v>
      </c>
      <c r="AC291" t="n">
        <v>3</v>
      </c>
      <c r="AD291" t="n">
        <v>20</v>
      </c>
      <c r="AE291" t="n">
        <v>20</v>
      </c>
      <c r="AF291" t="n">
        <v>8</v>
      </c>
      <c r="AG291" t="n">
        <v>8</v>
      </c>
      <c r="AH291" t="n">
        <v>5</v>
      </c>
      <c r="AI291" t="n">
        <v>5</v>
      </c>
      <c r="AJ291" t="n">
        <v>10</v>
      </c>
      <c r="AK291" t="n">
        <v>10</v>
      </c>
      <c r="AL291" t="n">
        <v>2</v>
      </c>
      <c r="AM291" t="n">
        <v>2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HYPERLINK("http://catalog.hathitrust.org/Record/001289317","HathiTrust Record")</f>
        <v/>
      </c>
      <c r="AS291">
        <f>HYPERLINK("https://creighton-primo.hosted.exlibrisgroup.com/primo-explore/search?tab=default_tab&amp;search_scope=EVERYTHING&amp;vid=01CRU&amp;lang=en_US&amp;offset=0&amp;query=any,contains,991001322289702656","Catalog Record")</f>
        <v/>
      </c>
      <c r="AT291">
        <f>HYPERLINK("http://www.worldcat.org/oclc/18254694","WorldCat Record")</f>
        <v/>
      </c>
      <c r="AU291" t="inlineStr">
        <is>
          <t>17195890:eng</t>
        </is>
      </c>
      <c r="AV291" t="inlineStr">
        <is>
          <t>18254694</t>
        </is>
      </c>
      <c r="AW291" t="inlineStr">
        <is>
          <t>991001322289702656</t>
        </is>
      </c>
      <c r="AX291" t="inlineStr">
        <is>
          <t>991001322289702656</t>
        </is>
      </c>
      <c r="AY291" t="inlineStr">
        <is>
          <t>2258613650002656</t>
        </is>
      </c>
      <c r="AZ291" t="inlineStr">
        <is>
          <t>BOOK</t>
        </is>
      </c>
      <c r="BB291" t="inlineStr">
        <is>
          <t>9780943221021</t>
        </is>
      </c>
      <c r="BC291" t="inlineStr">
        <is>
          <t>32285000011675</t>
        </is>
      </c>
      <c r="BD291" t="inlineStr">
        <is>
          <t>893772512</t>
        </is>
      </c>
      <c r="BE291" t="inlineStr">
        <is>
          <t>AM Nelson</t>
        </is>
      </c>
    </row>
    <row r="292">
      <c r="A292" t="inlineStr">
        <is>
          <t>No</t>
        </is>
      </c>
      <c r="B292" t="inlineStr">
        <is>
          <t>NB237.S5694 H6</t>
        </is>
      </c>
      <c r="C292" t="inlineStr">
        <is>
          <t>0                      NB 0237000S  5694               H  6</t>
        </is>
      </c>
      <c r="D292" t="inlineStr">
        <is>
          <t>Robert Smithson--sculpture / Robert Hobbs ; with contributions by Lawrence Alloway, John Coplans, Lucy R. Lippard.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Hobbs, Robert Carleton, 1946-</t>
        </is>
      </c>
      <c r="L292" t="inlineStr">
        <is>
          <t>Ithaca : Cornell University Press, 1981.</t>
        </is>
      </c>
      <c r="M292" t="inlineStr">
        <is>
          <t>1981</t>
        </is>
      </c>
      <c r="O292" t="inlineStr">
        <is>
          <t>eng</t>
        </is>
      </c>
      <c r="P292" t="inlineStr">
        <is>
          <t>nyu</t>
        </is>
      </c>
      <c r="R292" t="inlineStr">
        <is>
          <t xml:space="preserve">NB </t>
        </is>
      </c>
      <c r="S292" t="n">
        <v>4</v>
      </c>
      <c r="T292" t="n">
        <v>4</v>
      </c>
      <c r="U292" t="inlineStr">
        <is>
          <t>1999-11-27</t>
        </is>
      </c>
      <c r="V292" t="inlineStr">
        <is>
          <t>1999-11-27</t>
        </is>
      </c>
      <c r="W292" t="inlineStr">
        <is>
          <t>1990-03-29</t>
        </is>
      </c>
      <c r="X292" t="inlineStr">
        <is>
          <t>1990-03-29</t>
        </is>
      </c>
      <c r="Y292" t="n">
        <v>880</v>
      </c>
      <c r="Z292" t="n">
        <v>740</v>
      </c>
      <c r="AA292" t="n">
        <v>746</v>
      </c>
      <c r="AB292" t="n">
        <v>6</v>
      </c>
      <c r="AC292" t="n">
        <v>6</v>
      </c>
      <c r="AD292" t="n">
        <v>30</v>
      </c>
      <c r="AE292" t="n">
        <v>30</v>
      </c>
      <c r="AF292" t="n">
        <v>14</v>
      </c>
      <c r="AG292" t="n">
        <v>14</v>
      </c>
      <c r="AH292" t="n">
        <v>4</v>
      </c>
      <c r="AI292" t="n">
        <v>4</v>
      </c>
      <c r="AJ292" t="n">
        <v>12</v>
      </c>
      <c r="AK292" t="n">
        <v>12</v>
      </c>
      <c r="AL292" t="n">
        <v>5</v>
      </c>
      <c r="AM292" t="n">
        <v>5</v>
      </c>
      <c r="AN292" t="n">
        <v>0</v>
      </c>
      <c r="AO292" t="n">
        <v>0</v>
      </c>
      <c r="AP292" t="inlineStr">
        <is>
          <t>No</t>
        </is>
      </c>
      <c r="AQ292" t="inlineStr">
        <is>
          <t>Yes</t>
        </is>
      </c>
      <c r="AR292">
        <f>HYPERLINK("http://catalog.hathitrust.org/Record/000144366","HathiTrust Record")</f>
        <v/>
      </c>
      <c r="AS292">
        <f>HYPERLINK("https://creighton-primo.hosted.exlibrisgroup.com/primo-explore/search?tab=default_tab&amp;search_scope=EVERYTHING&amp;vid=01CRU&amp;lang=en_US&amp;offset=0&amp;query=any,contains,991005153729702656","Catalog Record")</f>
        <v/>
      </c>
      <c r="AT292">
        <f>HYPERLINK("http://www.worldcat.org/oclc/7737216","WorldCat Record")</f>
        <v/>
      </c>
      <c r="AU292" t="inlineStr">
        <is>
          <t>2070197214:eng</t>
        </is>
      </c>
      <c r="AV292" t="inlineStr">
        <is>
          <t>7737216</t>
        </is>
      </c>
      <c r="AW292" t="inlineStr">
        <is>
          <t>991005153729702656</t>
        </is>
      </c>
      <c r="AX292" t="inlineStr">
        <is>
          <t>991005153729702656</t>
        </is>
      </c>
      <c r="AY292" t="inlineStr">
        <is>
          <t>2259570180002656</t>
        </is>
      </c>
      <c r="AZ292" t="inlineStr">
        <is>
          <t>BOOK</t>
        </is>
      </c>
      <c r="BB292" t="inlineStr">
        <is>
          <t>9780801413247</t>
        </is>
      </c>
      <c r="BC292" t="inlineStr">
        <is>
          <t>32285000105402</t>
        </is>
      </c>
      <c r="BD292" t="inlineStr">
        <is>
          <t>893332486</t>
        </is>
      </c>
      <c r="BE292" t="inlineStr">
        <is>
          <t>AM Nelson</t>
        </is>
      </c>
    </row>
    <row r="293">
      <c r="A293" t="inlineStr">
        <is>
          <t>No</t>
        </is>
      </c>
      <c r="B293" t="inlineStr">
        <is>
          <t>NC997 .M2913 1970</t>
        </is>
      </c>
      <c r="C293" t="inlineStr">
        <is>
          <t>0                      NC 0997000M  2913        1970</t>
        </is>
      </c>
      <c r="D293" t="inlineStr">
        <is>
          <t>Letter and image. Translated by Caroline Hillier and Vivienne Menkes.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Massin.</t>
        </is>
      </c>
      <c r="L293" t="inlineStr">
        <is>
          <t>New York, Van Nostrand Reinhold Co. [1970]</t>
        </is>
      </c>
      <c r="M293" t="inlineStr">
        <is>
          <t>1970</t>
        </is>
      </c>
      <c r="O293" t="inlineStr">
        <is>
          <t>eng</t>
        </is>
      </c>
      <c r="P293" t="inlineStr">
        <is>
          <t>nyu</t>
        </is>
      </c>
      <c r="R293" t="inlineStr">
        <is>
          <t xml:space="preserve">NC </t>
        </is>
      </c>
      <c r="S293" t="n">
        <v>0</v>
      </c>
      <c r="T293" t="n">
        <v>0</v>
      </c>
      <c r="U293" t="inlineStr">
        <is>
          <t>2001-03-30</t>
        </is>
      </c>
      <c r="V293" t="inlineStr">
        <is>
          <t>2001-03-30</t>
        </is>
      </c>
      <c r="W293" t="inlineStr">
        <is>
          <t>1997-07-17</t>
        </is>
      </c>
      <c r="X293" t="inlineStr">
        <is>
          <t>1997-07-17</t>
        </is>
      </c>
      <c r="Y293" t="n">
        <v>441</v>
      </c>
      <c r="Z293" t="n">
        <v>397</v>
      </c>
      <c r="AA293" t="n">
        <v>436</v>
      </c>
      <c r="AB293" t="n">
        <v>5</v>
      </c>
      <c r="AC293" t="n">
        <v>5</v>
      </c>
      <c r="AD293" t="n">
        <v>14</v>
      </c>
      <c r="AE293" t="n">
        <v>15</v>
      </c>
      <c r="AF293" t="n">
        <v>5</v>
      </c>
      <c r="AG293" t="n">
        <v>6</v>
      </c>
      <c r="AH293" t="n">
        <v>3</v>
      </c>
      <c r="AI293" t="n">
        <v>3</v>
      </c>
      <c r="AJ293" t="n">
        <v>4</v>
      </c>
      <c r="AK293" t="n">
        <v>4</v>
      </c>
      <c r="AL293" t="n">
        <v>4</v>
      </c>
      <c r="AM293" t="n">
        <v>4</v>
      </c>
      <c r="AN293" t="n">
        <v>0</v>
      </c>
      <c r="AO293" t="n">
        <v>0</v>
      </c>
      <c r="AP293" t="inlineStr">
        <is>
          <t>No</t>
        </is>
      </c>
      <c r="AQ293" t="inlineStr">
        <is>
          <t>Yes</t>
        </is>
      </c>
      <c r="AR293">
        <f>HYPERLINK("http://catalog.hathitrust.org/Record/001469024","HathiTrust Record")</f>
        <v/>
      </c>
      <c r="AS293">
        <f>HYPERLINK("https://creighton-primo.hosted.exlibrisgroup.com/primo-explore/search?tab=default_tab&amp;search_scope=EVERYTHING&amp;vid=01CRU&amp;lang=en_US&amp;offset=0&amp;query=any,contains,991000604969702656","Catalog Record")</f>
        <v/>
      </c>
      <c r="AT293">
        <f>HYPERLINK("http://www.worldcat.org/oclc/98740","WorldCat Record")</f>
        <v/>
      </c>
      <c r="AU293" t="inlineStr">
        <is>
          <t>3901037121:eng</t>
        </is>
      </c>
      <c r="AV293" t="inlineStr">
        <is>
          <t>98740</t>
        </is>
      </c>
      <c r="AW293" t="inlineStr">
        <is>
          <t>991000604969702656</t>
        </is>
      </c>
      <c r="AX293" t="inlineStr">
        <is>
          <t>991000604969702656</t>
        </is>
      </c>
      <c r="AY293" t="inlineStr">
        <is>
          <t>2272061770002656</t>
        </is>
      </c>
      <c r="AZ293" t="inlineStr">
        <is>
          <t>BOOK</t>
        </is>
      </c>
      <c r="BC293" t="inlineStr">
        <is>
          <t>32285002965118</t>
        </is>
      </c>
      <c r="BD293" t="inlineStr">
        <is>
          <t>893521835</t>
        </is>
      </c>
      <c r="BE293" t="inlineStr">
        <is>
          <t>Dobberpuhl</t>
        </is>
      </c>
    </row>
    <row r="294">
      <c r="A294" t="inlineStr">
        <is>
          <t>No</t>
        </is>
      </c>
      <c r="B294" t="inlineStr">
        <is>
          <t>NC998.6.I8 H46 1993</t>
        </is>
      </c>
      <c r="C294" t="inlineStr">
        <is>
          <t>0                      NC 0998600I  8                  H  46          1993</t>
        </is>
      </c>
      <c r="D294" t="inlineStr">
        <is>
          <t>Italian art deco : graphic design between the wars / Steven Heller &amp; Louise Fili.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Heller, Steven.</t>
        </is>
      </c>
      <c r="L294" t="inlineStr">
        <is>
          <t>San Francisco : Chronicle Books, c1993.</t>
        </is>
      </c>
      <c r="M294" t="inlineStr">
        <is>
          <t>1993</t>
        </is>
      </c>
      <c r="O294" t="inlineStr">
        <is>
          <t>eng</t>
        </is>
      </c>
      <c r="P294" t="inlineStr">
        <is>
          <t>cau</t>
        </is>
      </c>
      <c r="R294" t="inlineStr">
        <is>
          <t xml:space="preserve">NC </t>
        </is>
      </c>
      <c r="S294" t="n">
        <v>5</v>
      </c>
      <c r="T294" t="n">
        <v>5</v>
      </c>
      <c r="U294" t="inlineStr">
        <is>
          <t>2010-03-23</t>
        </is>
      </c>
      <c r="V294" t="inlineStr">
        <is>
          <t>2010-03-23</t>
        </is>
      </c>
      <c r="W294" t="inlineStr">
        <is>
          <t>1994-08-08</t>
        </is>
      </c>
      <c r="X294" t="inlineStr">
        <is>
          <t>1994-08-08</t>
        </is>
      </c>
      <c r="Y294" t="n">
        <v>361</v>
      </c>
      <c r="Z294" t="n">
        <v>272</v>
      </c>
      <c r="AA294" t="n">
        <v>274</v>
      </c>
      <c r="AB294" t="n">
        <v>5</v>
      </c>
      <c r="AC294" t="n">
        <v>5</v>
      </c>
      <c r="AD294" t="n">
        <v>11</v>
      </c>
      <c r="AE294" t="n">
        <v>11</v>
      </c>
      <c r="AF294" t="n">
        <v>2</v>
      </c>
      <c r="AG294" t="n">
        <v>2</v>
      </c>
      <c r="AH294" t="n">
        <v>3</v>
      </c>
      <c r="AI294" t="n">
        <v>3</v>
      </c>
      <c r="AJ294" t="n">
        <v>3</v>
      </c>
      <c r="AK294" t="n">
        <v>3</v>
      </c>
      <c r="AL294" t="n">
        <v>4</v>
      </c>
      <c r="AM294" t="n">
        <v>4</v>
      </c>
      <c r="AN294" t="n">
        <v>0</v>
      </c>
      <c r="AO294" t="n">
        <v>0</v>
      </c>
      <c r="AP294" t="inlineStr">
        <is>
          <t>No</t>
        </is>
      </c>
      <c r="AQ294" t="inlineStr">
        <is>
          <t>Yes</t>
        </is>
      </c>
      <c r="AR294">
        <f>HYPERLINK("http://catalog.hathitrust.org/Record/002801514","HathiTrust Record")</f>
        <v/>
      </c>
      <c r="AS294">
        <f>HYPERLINK("https://creighton-primo.hosted.exlibrisgroup.com/primo-explore/search?tab=default_tab&amp;search_scope=EVERYTHING&amp;vid=01CRU&amp;lang=en_US&amp;offset=0&amp;query=any,contains,991002092869702656","Catalog Record")</f>
        <v/>
      </c>
      <c r="AT294">
        <f>HYPERLINK("http://www.worldcat.org/oclc/26852922","WorldCat Record")</f>
        <v/>
      </c>
      <c r="AU294" t="inlineStr">
        <is>
          <t>375742463:eng</t>
        </is>
      </c>
      <c r="AV294" t="inlineStr">
        <is>
          <t>26852922</t>
        </is>
      </c>
      <c r="AW294" t="inlineStr">
        <is>
          <t>991002092869702656</t>
        </is>
      </c>
      <c r="AX294" t="inlineStr">
        <is>
          <t>991002092869702656</t>
        </is>
      </c>
      <c r="AY294" t="inlineStr">
        <is>
          <t>2264910680002656</t>
        </is>
      </c>
      <c r="AZ294" t="inlineStr">
        <is>
          <t>BOOK</t>
        </is>
      </c>
      <c r="BB294" t="inlineStr">
        <is>
          <t>9780811802871</t>
        </is>
      </c>
      <c r="BC294" t="inlineStr">
        <is>
          <t>32285001941698</t>
        </is>
      </c>
      <c r="BD294" t="inlineStr">
        <is>
          <t>893785703</t>
        </is>
      </c>
      <c r="BE294" t="inlineStr">
        <is>
          <t>Dobberpuhl</t>
        </is>
      </c>
    </row>
    <row r="295">
      <c r="A295" t="inlineStr">
        <is>
          <t>No</t>
        </is>
      </c>
      <c r="B295" t="inlineStr">
        <is>
          <t>NC999.6.J3 K3413</t>
        </is>
      </c>
      <c r="C295" t="inlineStr">
        <is>
          <t>0                      NC 0999600J  3                  K  3413</t>
        </is>
      </c>
      <c r="D295" t="inlineStr">
        <is>
          <t>The graphic design of Yusaku Kamekura / with a foreword by Herbert Bayer, an essay by Masaru Katsumi, and comments by the designer.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Kamekura, Yūsaku, 1915-1997.</t>
        </is>
      </c>
      <c r="L295" t="inlineStr">
        <is>
          <t>New York : Weatherhill, [1973]</t>
        </is>
      </c>
      <c r="M295" t="inlineStr">
        <is>
          <t>1973</t>
        </is>
      </c>
      <c r="N295" t="inlineStr">
        <is>
          <t>[1st ed.]</t>
        </is>
      </c>
      <c r="O295" t="inlineStr">
        <is>
          <t>eng</t>
        </is>
      </c>
      <c r="P295" t="inlineStr">
        <is>
          <t>nyu</t>
        </is>
      </c>
      <c r="R295" t="inlineStr">
        <is>
          <t xml:space="preserve">NC </t>
        </is>
      </c>
      <c r="S295" t="n">
        <v>3</v>
      </c>
      <c r="T295" t="n">
        <v>3</v>
      </c>
      <c r="U295" t="inlineStr">
        <is>
          <t>2010-03-23</t>
        </is>
      </c>
      <c r="V295" t="inlineStr">
        <is>
          <t>2010-03-23</t>
        </is>
      </c>
      <c r="W295" t="inlineStr">
        <is>
          <t>1990-02-21</t>
        </is>
      </c>
      <c r="X295" t="inlineStr">
        <is>
          <t>1990-02-21</t>
        </is>
      </c>
      <c r="Y295" t="n">
        <v>356</v>
      </c>
      <c r="Z295" t="n">
        <v>284</v>
      </c>
      <c r="AA295" t="n">
        <v>286</v>
      </c>
      <c r="AB295" t="n">
        <v>2</v>
      </c>
      <c r="AC295" t="n">
        <v>2</v>
      </c>
      <c r="AD295" t="n">
        <v>4</v>
      </c>
      <c r="AE295" t="n">
        <v>4</v>
      </c>
      <c r="AF295" t="n">
        <v>2</v>
      </c>
      <c r="AG295" t="n">
        <v>2</v>
      </c>
      <c r="AH295" t="n">
        <v>0</v>
      </c>
      <c r="AI295" t="n">
        <v>0</v>
      </c>
      <c r="AJ295" t="n">
        <v>1</v>
      </c>
      <c r="AK295" t="n">
        <v>1</v>
      </c>
      <c r="AL295" t="n">
        <v>1</v>
      </c>
      <c r="AM295" t="n">
        <v>1</v>
      </c>
      <c r="AN295" t="n">
        <v>0</v>
      </c>
      <c r="AO295" t="n">
        <v>0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HYPERLINK("http://catalog.hathitrust.org/Record/008510916","HathiTrust Record")</f>
        <v/>
      </c>
      <c r="AS295">
        <f>HYPERLINK("https://creighton-primo.hosted.exlibrisgroup.com/primo-explore/search?tab=default_tab&amp;search_scope=EVERYTHING&amp;vid=01CRU&amp;lang=en_US&amp;offset=0&amp;query=any,contains,991002897989702656","Catalog Record")</f>
        <v/>
      </c>
      <c r="AT295">
        <f>HYPERLINK("http://www.worldcat.org/oclc/514873","WorldCat Record")</f>
        <v/>
      </c>
      <c r="AU295" t="inlineStr">
        <is>
          <t>148081895:eng</t>
        </is>
      </c>
      <c r="AV295" t="inlineStr">
        <is>
          <t>514873</t>
        </is>
      </c>
      <c r="AW295" t="inlineStr">
        <is>
          <t>991002897989702656</t>
        </is>
      </c>
      <c r="AX295" t="inlineStr">
        <is>
          <t>991002897989702656</t>
        </is>
      </c>
      <c r="AY295" t="inlineStr">
        <is>
          <t>2262043580002656</t>
        </is>
      </c>
      <c r="AZ295" t="inlineStr">
        <is>
          <t>BOOK</t>
        </is>
      </c>
      <c r="BB295" t="inlineStr">
        <is>
          <t>9780834817043</t>
        </is>
      </c>
      <c r="BC295" t="inlineStr">
        <is>
          <t>32285000043942</t>
        </is>
      </c>
      <c r="BD295" t="inlineStr">
        <is>
          <t>893786713</t>
        </is>
      </c>
      <c r="BE295" t="inlineStr">
        <is>
          <t>Dobberpuhl</t>
        </is>
      </c>
    </row>
    <row r="296">
      <c r="A296" t="inlineStr">
        <is>
          <t>No</t>
        </is>
      </c>
      <c r="B296" t="inlineStr">
        <is>
          <t>NK1071 .J375 2001</t>
        </is>
      </c>
      <c r="C296" t="inlineStr">
        <is>
          <t>0                      NK 1071000J  375         2001</t>
        </is>
      </c>
      <c r="D296" t="inlineStr">
        <is>
          <t>Japanese crafts : a complete guide to today's traditional handmade objects / the Japan Craft Forum ; introduction by Diane Durston.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L296" t="inlineStr">
        <is>
          <t>Tōkyō : Kōdansha Intānashonaru, 2001.</t>
        </is>
      </c>
      <c r="M296" t="inlineStr">
        <is>
          <t>2001</t>
        </is>
      </c>
      <c r="N296" t="inlineStr">
        <is>
          <t>1st pbk. ed.</t>
        </is>
      </c>
      <c r="O296" t="inlineStr">
        <is>
          <t>eng</t>
        </is>
      </c>
      <c r="P296" t="inlineStr">
        <is>
          <t xml:space="preserve">ja </t>
        </is>
      </c>
      <c r="R296" t="inlineStr">
        <is>
          <t xml:space="preserve">NK </t>
        </is>
      </c>
      <c r="S296" t="n">
        <v>1</v>
      </c>
      <c r="T296" t="n">
        <v>1</v>
      </c>
      <c r="U296" t="inlineStr">
        <is>
          <t>2002-11-19</t>
        </is>
      </c>
      <c r="V296" t="inlineStr">
        <is>
          <t>2002-11-19</t>
        </is>
      </c>
      <c r="W296" t="inlineStr">
        <is>
          <t>2002-11-19</t>
        </is>
      </c>
      <c r="X296" t="inlineStr">
        <is>
          <t>2002-11-19</t>
        </is>
      </c>
      <c r="Y296" t="n">
        <v>130</v>
      </c>
      <c r="Z296" t="n">
        <v>88</v>
      </c>
      <c r="AA296" t="n">
        <v>89</v>
      </c>
      <c r="AB296" t="n">
        <v>2</v>
      </c>
      <c r="AC296" t="n">
        <v>2</v>
      </c>
      <c r="AD296" t="n">
        <v>4</v>
      </c>
      <c r="AE296" t="n">
        <v>4</v>
      </c>
      <c r="AF296" t="n">
        <v>0</v>
      </c>
      <c r="AG296" t="n">
        <v>0</v>
      </c>
      <c r="AH296" t="n">
        <v>1</v>
      </c>
      <c r="AI296" t="n">
        <v>1</v>
      </c>
      <c r="AJ296" t="n">
        <v>2</v>
      </c>
      <c r="AK296" t="n">
        <v>2</v>
      </c>
      <c r="AL296" t="n">
        <v>1</v>
      </c>
      <c r="AM296" t="n">
        <v>1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HYPERLINK("http://catalog.hathitrust.org/Record/004207908","HathiTrust Record")</f>
        <v/>
      </c>
      <c r="AS296">
        <f>HYPERLINK("https://creighton-primo.hosted.exlibrisgroup.com/primo-explore/search?tab=default_tab&amp;search_scope=EVERYTHING&amp;vid=01CRU&amp;lang=en_US&amp;offset=0&amp;query=any,contains,991003947129702656","Catalog Record")</f>
        <v/>
      </c>
      <c r="AT296">
        <f>HYPERLINK("http://www.worldcat.org/oclc/47982908","WorldCat Record")</f>
        <v/>
      </c>
      <c r="AU296" t="inlineStr">
        <is>
          <t>3858898034:eng</t>
        </is>
      </c>
      <c r="AV296" t="inlineStr">
        <is>
          <t>47982908</t>
        </is>
      </c>
      <c r="AW296" t="inlineStr">
        <is>
          <t>991003947129702656</t>
        </is>
      </c>
      <c r="AX296" t="inlineStr">
        <is>
          <t>991003947129702656</t>
        </is>
      </c>
      <c r="AY296" t="inlineStr">
        <is>
          <t>2270791060002656</t>
        </is>
      </c>
      <c r="AZ296" t="inlineStr">
        <is>
          <t>BOOK</t>
        </is>
      </c>
      <c r="BB296" t="inlineStr">
        <is>
          <t>9784770027344</t>
        </is>
      </c>
      <c r="BC296" t="inlineStr">
        <is>
          <t>32285004664677</t>
        </is>
      </c>
      <c r="BD296" t="inlineStr">
        <is>
          <t>893435697</t>
        </is>
      </c>
      <c r="BE296" t="inlineStr">
        <is>
          <t>AM Nelson</t>
        </is>
      </c>
    </row>
    <row r="297">
      <c r="A297" t="inlineStr">
        <is>
          <t>No</t>
        </is>
      </c>
      <c r="B297" t="inlineStr">
        <is>
          <t>NK1071 .M66 1985</t>
        </is>
      </c>
      <c r="C297" t="inlineStr">
        <is>
          <t>0                      NK 1071000M  66          1985</t>
        </is>
      </c>
      <c r="D297" t="inlineStr">
        <is>
          <t>Mingei : Japanese folk art from the Brooklyn Museum collection / Robert Moes ; Ainu section by Anne Pike Tay.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Moes, Robert.</t>
        </is>
      </c>
      <c r="L297" t="inlineStr">
        <is>
          <t>New York : Universe Books, 1985.</t>
        </is>
      </c>
      <c r="M297" t="inlineStr">
        <is>
          <t>1985</t>
        </is>
      </c>
      <c r="O297" t="inlineStr">
        <is>
          <t>eng</t>
        </is>
      </c>
      <c r="P297" t="inlineStr">
        <is>
          <t>nyu</t>
        </is>
      </c>
      <c r="R297" t="inlineStr">
        <is>
          <t xml:space="preserve">NK </t>
        </is>
      </c>
      <c r="S297" t="n">
        <v>1</v>
      </c>
      <c r="T297" t="n">
        <v>1</v>
      </c>
      <c r="U297" t="inlineStr">
        <is>
          <t>2007-02-01</t>
        </is>
      </c>
      <c r="V297" t="inlineStr">
        <is>
          <t>2007-02-01</t>
        </is>
      </c>
      <c r="W297" t="inlineStr">
        <is>
          <t>2007-02-01</t>
        </is>
      </c>
      <c r="X297" t="inlineStr">
        <is>
          <t>2007-02-01</t>
        </is>
      </c>
      <c r="Y297" t="n">
        <v>421</v>
      </c>
      <c r="Z297" t="n">
        <v>350</v>
      </c>
      <c r="AA297" t="n">
        <v>352</v>
      </c>
      <c r="AB297" t="n">
        <v>3</v>
      </c>
      <c r="AC297" t="n">
        <v>3</v>
      </c>
      <c r="AD297" t="n">
        <v>11</v>
      </c>
      <c r="AE297" t="n">
        <v>11</v>
      </c>
      <c r="AF297" t="n">
        <v>5</v>
      </c>
      <c r="AG297" t="n">
        <v>5</v>
      </c>
      <c r="AH297" t="n">
        <v>3</v>
      </c>
      <c r="AI297" t="n">
        <v>3</v>
      </c>
      <c r="AJ297" t="n">
        <v>6</v>
      </c>
      <c r="AK297" t="n">
        <v>6</v>
      </c>
      <c r="AL297" t="n">
        <v>1</v>
      </c>
      <c r="AM297" t="n">
        <v>1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HYPERLINK("http://catalog.hathitrust.org/Record/000394830","HathiTrust Record")</f>
        <v/>
      </c>
      <c r="AS297">
        <f>HYPERLINK("https://creighton-primo.hosted.exlibrisgroup.com/primo-explore/search?tab=default_tab&amp;search_scope=EVERYTHING&amp;vid=01CRU&amp;lang=en_US&amp;offset=0&amp;query=any,contains,991005008459702656","Catalog Record")</f>
        <v/>
      </c>
      <c r="AT297">
        <f>HYPERLINK("http://www.worldcat.org/oclc/11972403","WorldCat Record")</f>
        <v/>
      </c>
      <c r="AU297" t="inlineStr">
        <is>
          <t>500483165:eng</t>
        </is>
      </c>
      <c r="AV297" t="inlineStr">
        <is>
          <t>11972403</t>
        </is>
      </c>
      <c r="AW297" t="inlineStr">
        <is>
          <t>991005008459702656</t>
        </is>
      </c>
      <c r="AX297" t="inlineStr">
        <is>
          <t>991005008459702656</t>
        </is>
      </c>
      <c r="AY297" t="inlineStr">
        <is>
          <t>2255756260002656</t>
        </is>
      </c>
      <c r="AZ297" t="inlineStr">
        <is>
          <t>BOOK</t>
        </is>
      </c>
      <c r="BB297" t="inlineStr">
        <is>
          <t>9780876634813</t>
        </is>
      </c>
      <c r="BC297" t="inlineStr">
        <is>
          <t>32285005274484</t>
        </is>
      </c>
      <c r="BD297" t="inlineStr">
        <is>
          <t>893536306</t>
        </is>
      </c>
      <c r="BE297" t="inlineStr">
        <is>
          <t>AM Nelson</t>
        </is>
      </c>
    </row>
    <row r="298">
      <c r="A298" t="inlineStr">
        <is>
          <t>No</t>
        </is>
      </c>
      <c r="B298" t="inlineStr">
        <is>
          <t>NK1071 .Y34 1972</t>
        </is>
      </c>
      <c r="C298" t="inlineStr">
        <is>
          <t>0                      NK 1071000Y  34          1972</t>
        </is>
      </c>
      <c r="D298" t="inlineStr">
        <is>
          <t>The unknown craftsman : a Japanese insight into beauty / [by] Sōetsu Yanagi. Adapted by Bernard Leach. Foreword by Shōji Hamada.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Yanagi, Muneyoshi, 1889-1961.</t>
        </is>
      </c>
      <c r="L298" t="inlineStr">
        <is>
          <t>Tokyo ; Palo Alto, Calif.] : Kodansha International, [1972]</t>
        </is>
      </c>
      <c r="M298" t="inlineStr">
        <is>
          <t>1972</t>
        </is>
      </c>
      <c r="N298" t="inlineStr">
        <is>
          <t>[1st ed.</t>
        </is>
      </c>
      <c r="O298" t="inlineStr">
        <is>
          <t>eng</t>
        </is>
      </c>
      <c r="P298" t="inlineStr">
        <is>
          <t xml:space="preserve">ja </t>
        </is>
      </c>
      <c r="R298" t="inlineStr">
        <is>
          <t xml:space="preserve">NK </t>
        </is>
      </c>
      <c r="S298" t="n">
        <v>2</v>
      </c>
      <c r="T298" t="n">
        <v>2</v>
      </c>
      <c r="U298" t="inlineStr">
        <is>
          <t>2007-04-27</t>
        </is>
      </c>
      <c r="V298" t="inlineStr">
        <is>
          <t>2007-04-27</t>
        </is>
      </c>
      <c r="W298" t="inlineStr">
        <is>
          <t>1993-07-01</t>
        </is>
      </c>
      <c r="X298" t="inlineStr">
        <is>
          <t>1993-07-01</t>
        </is>
      </c>
      <c r="Y298" t="n">
        <v>594</v>
      </c>
      <c r="Z298" t="n">
        <v>472</v>
      </c>
      <c r="AA298" t="n">
        <v>919</v>
      </c>
      <c r="AB298" t="n">
        <v>3</v>
      </c>
      <c r="AC298" t="n">
        <v>6</v>
      </c>
      <c r="AD298" t="n">
        <v>10</v>
      </c>
      <c r="AE298" t="n">
        <v>25</v>
      </c>
      <c r="AF298" t="n">
        <v>3</v>
      </c>
      <c r="AG298" t="n">
        <v>9</v>
      </c>
      <c r="AH298" t="n">
        <v>3</v>
      </c>
      <c r="AI298" t="n">
        <v>6</v>
      </c>
      <c r="AJ298" t="n">
        <v>4</v>
      </c>
      <c r="AK298" t="n">
        <v>11</v>
      </c>
      <c r="AL298" t="n">
        <v>2</v>
      </c>
      <c r="AM298" t="n">
        <v>4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HYPERLINK("http://catalog.hathitrust.org/Record/001470711","HathiTrust Record")</f>
        <v/>
      </c>
      <c r="AS298">
        <f>HYPERLINK("https://creighton-primo.hosted.exlibrisgroup.com/primo-explore/search?tab=default_tab&amp;search_scope=EVERYTHING&amp;vid=01CRU&amp;lang=en_US&amp;offset=0&amp;query=any,contains,991002909379702656","Catalog Record")</f>
        <v/>
      </c>
      <c r="AT298">
        <f>HYPERLINK("http://www.worldcat.org/oclc/520946","WorldCat Record")</f>
        <v/>
      </c>
      <c r="AU298" t="inlineStr">
        <is>
          <t>4915169147:eng</t>
        </is>
      </c>
      <c r="AV298" t="inlineStr">
        <is>
          <t>520946</t>
        </is>
      </c>
      <c r="AW298" t="inlineStr">
        <is>
          <t>991002909379702656</t>
        </is>
      </c>
      <c r="AX298" t="inlineStr">
        <is>
          <t>991002909379702656</t>
        </is>
      </c>
      <c r="AY298" t="inlineStr">
        <is>
          <t>2268140140002656</t>
        </is>
      </c>
      <c r="AZ298" t="inlineStr">
        <is>
          <t>BOOK</t>
        </is>
      </c>
      <c r="BB298" t="inlineStr">
        <is>
          <t>9780870111846</t>
        </is>
      </c>
      <c r="BC298" t="inlineStr">
        <is>
          <t>32285001699478</t>
        </is>
      </c>
      <c r="BD298" t="inlineStr">
        <is>
          <t>893233589</t>
        </is>
      </c>
      <c r="BE298" t="inlineStr">
        <is>
          <t>AM Nelson</t>
        </is>
      </c>
    </row>
    <row r="299">
      <c r="A299" t="inlineStr">
        <is>
          <t>No</t>
        </is>
      </c>
      <c r="B299" t="inlineStr">
        <is>
          <t>NK1142 .S7 1985</t>
        </is>
      </c>
      <c r="C299" t="inlineStr">
        <is>
          <t>0                      NK 1142000S  7           1985</t>
        </is>
      </c>
      <c r="D299" t="inlineStr">
        <is>
          <t>Redesigning the world : William Morris, the 1880s, and the Arts and Crafts / Peter Stansky.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Štanský, Peter.</t>
        </is>
      </c>
      <c r="L299" t="inlineStr">
        <is>
          <t>Princeton, N.J. : Princeton University Press, c1985.</t>
        </is>
      </c>
      <c r="M299" t="inlineStr">
        <is>
          <t>1985</t>
        </is>
      </c>
      <c r="O299" t="inlineStr">
        <is>
          <t>eng</t>
        </is>
      </c>
      <c r="P299" t="inlineStr">
        <is>
          <t>nju</t>
        </is>
      </c>
      <c r="R299" t="inlineStr">
        <is>
          <t xml:space="preserve">NK </t>
        </is>
      </c>
      <c r="S299" t="n">
        <v>11</v>
      </c>
      <c r="T299" t="n">
        <v>11</v>
      </c>
      <c r="U299" t="inlineStr">
        <is>
          <t>2003-03-17</t>
        </is>
      </c>
      <c r="V299" t="inlineStr">
        <is>
          <t>2003-03-17</t>
        </is>
      </c>
      <c r="W299" t="inlineStr">
        <is>
          <t>1993-10-25</t>
        </is>
      </c>
      <c r="X299" t="inlineStr">
        <is>
          <t>1993-10-25</t>
        </is>
      </c>
      <c r="Y299" t="n">
        <v>818</v>
      </c>
      <c r="Z299" t="n">
        <v>647</v>
      </c>
      <c r="AA299" t="n">
        <v>716</v>
      </c>
      <c r="AB299" t="n">
        <v>3</v>
      </c>
      <c r="AC299" t="n">
        <v>3</v>
      </c>
      <c r="AD299" t="n">
        <v>24</v>
      </c>
      <c r="AE299" t="n">
        <v>30</v>
      </c>
      <c r="AF299" t="n">
        <v>7</v>
      </c>
      <c r="AG299" t="n">
        <v>12</v>
      </c>
      <c r="AH299" t="n">
        <v>7</v>
      </c>
      <c r="AI299" t="n">
        <v>7</v>
      </c>
      <c r="AJ299" t="n">
        <v>14</v>
      </c>
      <c r="AK299" t="n">
        <v>17</v>
      </c>
      <c r="AL299" t="n">
        <v>2</v>
      </c>
      <c r="AM299" t="n">
        <v>2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HYPERLINK("https://creighton-primo.hosted.exlibrisgroup.com/primo-explore/search?tab=default_tab&amp;search_scope=EVERYTHING&amp;vid=01CRU&amp;lang=en_US&amp;offset=0&amp;query=any,contains,991005404309702656","Catalog Record")</f>
        <v/>
      </c>
      <c r="AT299">
        <f>HYPERLINK("http://www.worldcat.org/oclc/11029288","WorldCat Record")</f>
        <v/>
      </c>
      <c r="AU299" t="inlineStr">
        <is>
          <t>863907850:eng</t>
        </is>
      </c>
      <c r="AV299" t="inlineStr">
        <is>
          <t>11029288</t>
        </is>
      </c>
      <c r="AW299" t="inlineStr">
        <is>
          <t>991005404309702656</t>
        </is>
      </c>
      <c r="AX299" t="inlineStr">
        <is>
          <t>991005404309702656</t>
        </is>
      </c>
      <c r="AY299" t="inlineStr">
        <is>
          <t>2266042780002656</t>
        </is>
      </c>
      <c r="AZ299" t="inlineStr">
        <is>
          <t>BOOK</t>
        </is>
      </c>
      <c r="BB299" t="inlineStr">
        <is>
          <t>9780691066165</t>
        </is>
      </c>
      <c r="BC299" t="inlineStr">
        <is>
          <t>32285001794402</t>
        </is>
      </c>
      <c r="BD299" t="inlineStr">
        <is>
          <t>893802249</t>
        </is>
      </c>
      <c r="BE299" t="inlineStr">
        <is>
          <t>AM Nelson</t>
        </is>
      </c>
    </row>
    <row r="300">
      <c r="A300" t="inlineStr">
        <is>
          <t>No</t>
        </is>
      </c>
      <c r="B300" t="inlineStr">
        <is>
          <t>NK4007 .C56 1987</t>
        </is>
      </c>
      <c r="C300" t="inlineStr">
        <is>
          <t>0                      NK 4007000C  56          1987</t>
        </is>
      </c>
      <c r="D300" t="inlineStr">
        <is>
          <t>American ceramics, 1876 to the present / by Garth Clark.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Clark, Garth, 1947-</t>
        </is>
      </c>
      <c r="L300" t="inlineStr">
        <is>
          <t>New York : Abbeville Press, c1987.</t>
        </is>
      </c>
      <c r="M300" t="inlineStr">
        <is>
          <t>1987</t>
        </is>
      </c>
      <c r="N300" t="inlineStr">
        <is>
          <t>Rev. ed.</t>
        </is>
      </c>
      <c r="O300" t="inlineStr">
        <is>
          <t>eng</t>
        </is>
      </c>
      <c r="P300" t="inlineStr">
        <is>
          <t>nyu</t>
        </is>
      </c>
      <c r="R300" t="inlineStr">
        <is>
          <t xml:space="preserve">NK </t>
        </is>
      </c>
      <c r="S300" t="n">
        <v>2</v>
      </c>
      <c r="T300" t="n">
        <v>2</v>
      </c>
      <c r="U300" t="inlineStr">
        <is>
          <t>1994-03-31</t>
        </is>
      </c>
      <c r="V300" t="inlineStr">
        <is>
          <t>1994-03-31</t>
        </is>
      </c>
      <c r="W300" t="inlineStr">
        <is>
          <t>1992-11-03</t>
        </is>
      </c>
      <c r="X300" t="inlineStr">
        <is>
          <t>1992-11-03</t>
        </is>
      </c>
      <c r="Y300" t="n">
        <v>878</v>
      </c>
      <c r="Z300" t="n">
        <v>797</v>
      </c>
      <c r="AA300" t="n">
        <v>859</v>
      </c>
      <c r="AB300" t="n">
        <v>6</v>
      </c>
      <c r="AC300" t="n">
        <v>7</v>
      </c>
      <c r="AD300" t="n">
        <v>23</v>
      </c>
      <c r="AE300" t="n">
        <v>25</v>
      </c>
      <c r="AF300" t="n">
        <v>12</v>
      </c>
      <c r="AG300" t="n">
        <v>12</v>
      </c>
      <c r="AH300" t="n">
        <v>4</v>
      </c>
      <c r="AI300" t="n">
        <v>5</v>
      </c>
      <c r="AJ300" t="n">
        <v>10</v>
      </c>
      <c r="AK300" t="n">
        <v>11</v>
      </c>
      <c r="AL300" t="n">
        <v>4</v>
      </c>
      <c r="AM300" t="n">
        <v>5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HYPERLINK("http://catalog.hathitrust.org/Record/000913902","HathiTrust Record")</f>
        <v/>
      </c>
      <c r="AS300">
        <f>HYPERLINK("https://creighton-primo.hosted.exlibrisgroup.com/primo-explore/search?tab=default_tab&amp;search_scope=EVERYTHING&amp;vid=01CRU&amp;lang=en_US&amp;offset=0&amp;query=any,contains,991001028919702656","Catalog Record")</f>
        <v/>
      </c>
      <c r="AT300">
        <f>HYPERLINK("http://www.worldcat.org/oclc/15489419","WorldCat Record")</f>
        <v/>
      </c>
      <c r="AU300" t="inlineStr">
        <is>
          <t>10554923:eng</t>
        </is>
      </c>
      <c r="AV300" t="inlineStr">
        <is>
          <t>15489419</t>
        </is>
      </c>
      <c r="AW300" t="inlineStr">
        <is>
          <t>991001028919702656</t>
        </is>
      </c>
      <c r="AX300" t="inlineStr">
        <is>
          <t>991001028919702656</t>
        </is>
      </c>
      <c r="AY300" t="inlineStr">
        <is>
          <t>2272475510002656</t>
        </is>
      </c>
      <c r="AZ300" t="inlineStr">
        <is>
          <t>BOOK</t>
        </is>
      </c>
      <c r="BB300" t="inlineStr">
        <is>
          <t>9780896597433</t>
        </is>
      </c>
      <c r="BC300" t="inlineStr">
        <is>
          <t>32285001381309</t>
        </is>
      </c>
      <c r="BD300" t="inlineStr">
        <is>
          <t>893589961</t>
        </is>
      </c>
      <c r="BE300" t="inlineStr">
        <is>
          <t>AM Nelson</t>
        </is>
      </c>
    </row>
    <row r="301">
      <c r="A301" t="inlineStr">
        <is>
          <t>No</t>
        </is>
      </c>
      <c r="B301" t="inlineStr">
        <is>
          <t>NK4008 .L67 1990</t>
        </is>
      </c>
      <c r="C301" t="inlineStr">
        <is>
          <t>0                      NK 4008000L  67          1990</t>
        </is>
      </c>
      <c r="D301" t="inlineStr">
        <is>
          <t>Clay today : contemporary ceramists and their work : a catalogue of the Howard and Gwen Laurie Smits Collection at the Los Angeles County Museum of Art / Martha Drexler Lynn.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Los Angeles County Museum of Art.</t>
        </is>
      </c>
      <c r="L301" t="inlineStr">
        <is>
          <t>Los Angeles, Calif. : The Museum ; San Francisco : Chronicle Books, c1990.</t>
        </is>
      </c>
      <c r="M301" t="inlineStr">
        <is>
          <t>1990</t>
        </is>
      </c>
      <c r="O301" t="inlineStr">
        <is>
          <t>eng</t>
        </is>
      </c>
      <c r="P301" t="inlineStr">
        <is>
          <t>cau</t>
        </is>
      </c>
      <c r="R301" t="inlineStr">
        <is>
          <t xml:space="preserve">NK </t>
        </is>
      </c>
      <c r="S301" t="n">
        <v>28</v>
      </c>
      <c r="T301" t="n">
        <v>28</v>
      </c>
      <c r="U301" t="inlineStr">
        <is>
          <t>2010-07-19</t>
        </is>
      </c>
      <c r="V301" t="inlineStr">
        <is>
          <t>2010-07-19</t>
        </is>
      </c>
      <c r="W301" t="inlineStr">
        <is>
          <t>1991-06-13</t>
        </is>
      </c>
      <c r="X301" t="inlineStr">
        <is>
          <t>1991-06-13</t>
        </is>
      </c>
      <c r="Y301" t="n">
        <v>809</v>
      </c>
      <c r="Z301" t="n">
        <v>696</v>
      </c>
      <c r="AA301" t="n">
        <v>699</v>
      </c>
      <c r="AB301" t="n">
        <v>7</v>
      </c>
      <c r="AC301" t="n">
        <v>7</v>
      </c>
      <c r="AD301" t="n">
        <v>21</v>
      </c>
      <c r="AE301" t="n">
        <v>21</v>
      </c>
      <c r="AF301" t="n">
        <v>10</v>
      </c>
      <c r="AG301" t="n">
        <v>10</v>
      </c>
      <c r="AH301" t="n">
        <v>5</v>
      </c>
      <c r="AI301" t="n">
        <v>5</v>
      </c>
      <c r="AJ301" t="n">
        <v>8</v>
      </c>
      <c r="AK301" t="n">
        <v>8</v>
      </c>
      <c r="AL301" t="n">
        <v>4</v>
      </c>
      <c r="AM301" t="n">
        <v>4</v>
      </c>
      <c r="AN301" t="n">
        <v>0</v>
      </c>
      <c r="AO301" t="n">
        <v>0</v>
      </c>
      <c r="AP301" t="inlineStr">
        <is>
          <t>No</t>
        </is>
      </c>
      <c r="AQ301" t="inlineStr">
        <is>
          <t>Yes</t>
        </is>
      </c>
      <c r="AR301">
        <f>HYPERLINK("http://catalog.hathitrust.org/Record/002172035","HathiTrust Record")</f>
        <v/>
      </c>
      <c r="AS301">
        <f>HYPERLINK("https://creighton-primo.hosted.exlibrisgroup.com/primo-explore/search?tab=default_tab&amp;search_scope=EVERYTHING&amp;vid=01CRU&amp;lang=en_US&amp;offset=0&amp;query=any,contains,991001620449702656","Catalog Record")</f>
        <v/>
      </c>
      <c r="AT301">
        <f>HYPERLINK("http://www.worldcat.org/oclc/20823481","WorldCat Record")</f>
        <v/>
      </c>
      <c r="AU301" t="inlineStr">
        <is>
          <t>22382845:eng</t>
        </is>
      </c>
      <c r="AV301" t="inlineStr">
        <is>
          <t>20823481</t>
        </is>
      </c>
      <c r="AW301" t="inlineStr">
        <is>
          <t>991001620449702656</t>
        </is>
      </c>
      <c r="AX301" t="inlineStr">
        <is>
          <t>991001620449702656</t>
        </is>
      </c>
      <c r="AY301" t="inlineStr">
        <is>
          <t>2263898340002656</t>
        </is>
      </c>
      <c r="AZ301" t="inlineStr">
        <is>
          <t>BOOK</t>
        </is>
      </c>
      <c r="BB301" t="inlineStr">
        <is>
          <t>9780877017561</t>
        </is>
      </c>
      <c r="BC301" t="inlineStr">
        <is>
          <t>32285000656057</t>
        </is>
      </c>
      <c r="BD301" t="inlineStr">
        <is>
          <t>893621495</t>
        </is>
      </c>
      <c r="BE301" t="inlineStr">
        <is>
          <t>AM Nelson</t>
        </is>
      </c>
    </row>
    <row r="302">
      <c r="A302" t="inlineStr">
        <is>
          <t>No</t>
        </is>
      </c>
      <c r="B302" t="inlineStr">
        <is>
          <t>NK4210.H32 L4 1990</t>
        </is>
      </c>
      <c r="C302" t="inlineStr">
        <is>
          <t>0                      NK 4210000H  32                 L  4           1990</t>
        </is>
      </c>
      <c r="D302" t="inlineStr">
        <is>
          <t>Hamada, potter / by Bernard Leach ; with a new preface by Warren MacKenzie ; foreword by Janet Darnell Leach.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Leach, Bernard, 1887-1979.</t>
        </is>
      </c>
      <c r="L302" t="inlineStr">
        <is>
          <t>New York : Kodansha, 1990.</t>
        </is>
      </c>
      <c r="M302" t="inlineStr">
        <is>
          <t>1990</t>
        </is>
      </c>
      <c r="N302" t="inlineStr">
        <is>
          <t>1st pbk. ed.</t>
        </is>
      </c>
      <c r="O302" t="inlineStr">
        <is>
          <t>eng</t>
        </is>
      </c>
      <c r="P302" t="inlineStr">
        <is>
          <t>nyu</t>
        </is>
      </c>
      <c r="R302" t="inlineStr">
        <is>
          <t xml:space="preserve">NK </t>
        </is>
      </c>
      <c r="S302" t="n">
        <v>6</v>
      </c>
      <c r="T302" t="n">
        <v>6</v>
      </c>
      <c r="U302" t="inlineStr">
        <is>
          <t>1997-01-23</t>
        </is>
      </c>
      <c r="V302" t="inlineStr">
        <is>
          <t>1997-01-23</t>
        </is>
      </c>
      <c r="W302" t="inlineStr">
        <is>
          <t>1991-03-14</t>
        </is>
      </c>
      <c r="X302" t="inlineStr">
        <is>
          <t>1991-03-14</t>
        </is>
      </c>
      <c r="Y302" t="n">
        <v>323</v>
      </c>
      <c r="Z302" t="n">
        <v>276</v>
      </c>
      <c r="AA302" t="n">
        <v>837</v>
      </c>
      <c r="AB302" t="n">
        <v>5</v>
      </c>
      <c r="AC302" t="n">
        <v>6</v>
      </c>
      <c r="AD302" t="n">
        <v>9</v>
      </c>
      <c r="AE302" t="n">
        <v>21</v>
      </c>
      <c r="AF302" t="n">
        <v>4</v>
      </c>
      <c r="AG302" t="n">
        <v>10</v>
      </c>
      <c r="AH302" t="n">
        <v>0</v>
      </c>
      <c r="AI302" t="n">
        <v>5</v>
      </c>
      <c r="AJ302" t="n">
        <v>4</v>
      </c>
      <c r="AK302" t="n">
        <v>8</v>
      </c>
      <c r="AL302" t="n">
        <v>3</v>
      </c>
      <c r="AM302" t="n">
        <v>4</v>
      </c>
      <c r="AN302" t="n">
        <v>0</v>
      </c>
      <c r="AO302" t="n">
        <v>0</v>
      </c>
      <c r="AP302" t="inlineStr">
        <is>
          <t>No</t>
        </is>
      </c>
      <c r="AQ302" t="inlineStr">
        <is>
          <t>Yes</t>
        </is>
      </c>
      <c r="AR302">
        <f>HYPERLINK("http://catalog.hathitrust.org/Record/002238180","HathiTrust Record")</f>
        <v/>
      </c>
      <c r="AS302">
        <f>HYPERLINK("https://creighton-primo.hosted.exlibrisgroup.com/primo-explore/search?tab=default_tab&amp;search_scope=EVERYTHING&amp;vid=01CRU&amp;lang=en_US&amp;offset=0&amp;query=any,contains,991001671769702656","Catalog Record")</f>
        <v/>
      </c>
      <c r="AT302">
        <f>HYPERLINK("http://www.worldcat.org/oclc/21295168","WorldCat Record")</f>
        <v/>
      </c>
      <c r="AU302" t="inlineStr">
        <is>
          <t>58708323:eng</t>
        </is>
      </c>
      <c r="AV302" t="inlineStr">
        <is>
          <t>21295168</t>
        </is>
      </c>
      <c r="AW302" t="inlineStr">
        <is>
          <t>991001671769702656</t>
        </is>
      </c>
      <c r="AX302" t="inlineStr">
        <is>
          <t>991001671769702656</t>
        </is>
      </c>
      <c r="AY302" t="inlineStr">
        <is>
          <t>2267965900002656</t>
        </is>
      </c>
      <c r="AZ302" t="inlineStr">
        <is>
          <t>BOOK</t>
        </is>
      </c>
      <c r="BB302" t="inlineStr">
        <is>
          <t>9780870118289</t>
        </is>
      </c>
      <c r="BC302" t="inlineStr">
        <is>
          <t>32285000512136</t>
        </is>
      </c>
      <c r="BD302" t="inlineStr">
        <is>
          <t>893903518</t>
        </is>
      </c>
      <c r="BE302" t="inlineStr">
        <is>
          <t>AM Nelson</t>
        </is>
      </c>
    </row>
    <row r="303">
      <c r="A303" t="inlineStr">
        <is>
          <t>No</t>
        </is>
      </c>
      <c r="B303" t="inlineStr">
        <is>
          <t>NK4210.R5 B57 1989</t>
        </is>
      </c>
      <c r="C303" t="inlineStr">
        <is>
          <t>0                      NK 4210000R  5                  B  57          1989</t>
        </is>
      </c>
      <c r="D303" t="inlineStr">
        <is>
          <t>Lucie Rie / Tony Birks.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Birks, Tony.</t>
        </is>
      </c>
      <c r="L303" t="inlineStr">
        <is>
          <t>Radnor, Pa. : Chilton Trade Book Pub., 1989, c1987.</t>
        </is>
      </c>
      <c r="M303" t="inlineStr">
        <is>
          <t>1989</t>
        </is>
      </c>
      <c r="O303" t="inlineStr">
        <is>
          <t>eng</t>
        </is>
      </c>
      <c r="P303" t="inlineStr">
        <is>
          <t>pau</t>
        </is>
      </c>
      <c r="R303" t="inlineStr">
        <is>
          <t xml:space="preserve">NK </t>
        </is>
      </c>
      <c r="S303" t="n">
        <v>10</v>
      </c>
      <c r="T303" t="n">
        <v>10</v>
      </c>
      <c r="U303" t="inlineStr">
        <is>
          <t>2006-09-16</t>
        </is>
      </c>
      <c r="V303" t="inlineStr">
        <is>
          <t>2006-09-16</t>
        </is>
      </c>
      <c r="W303" t="inlineStr">
        <is>
          <t>1992-08-14</t>
        </is>
      </c>
      <c r="X303" t="inlineStr">
        <is>
          <t>1992-08-14</t>
        </is>
      </c>
      <c r="Y303" t="n">
        <v>276</v>
      </c>
      <c r="Z303" t="n">
        <v>267</v>
      </c>
      <c r="AA303" t="n">
        <v>268</v>
      </c>
      <c r="AB303" t="n">
        <v>2</v>
      </c>
      <c r="AC303" t="n">
        <v>2</v>
      </c>
      <c r="AD303" t="n">
        <v>4</v>
      </c>
      <c r="AE303" t="n">
        <v>4</v>
      </c>
      <c r="AF303" t="n">
        <v>2</v>
      </c>
      <c r="AG303" t="n">
        <v>2</v>
      </c>
      <c r="AH303" t="n">
        <v>2</v>
      </c>
      <c r="AI303" t="n">
        <v>2</v>
      </c>
      <c r="AJ303" t="n">
        <v>2</v>
      </c>
      <c r="AK303" t="n">
        <v>2</v>
      </c>
      <c r="AL303" t="n">
        <v>1</v>
      </c>
      <c r="AM303" t="n">
        <v>1</v>
      </c>
      <c r="AN303" t="n">
        <v>0</v>
      </c>
      <c r="AO303" t="n">
        <v>0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HYPERLINK("https://creighton-primo.hosted.exlibrisgroup.com/primo-explore/search?tab=default_tab&amp;search_scope=EVERYTHING&amp;vid=01CRU&amp;lang=en_US&amp;offset=0&amp;query=any,contains,991001350949702656","Catalog Record")</f>
        <v/>
      </c>
      <c r="AT303">
        <f>HYPERLINK("http://www.worldcat.org/oclc/18441938","WorldCat Record")</f>
        <v/>
      </c>
      <c r="AU303" t="inlineStr">
        <is>
          <t>8907500718:eng</t>
        </is>
      </c>
      <c r="AV303" t="inlineStr">
        <is>
          <t>18441938</t>
        </is>
      </c>
      <c r="AW303" t="inlineStr">
        <is>
          <t>991001350949702656</t>
        </is>
      </c>
      <c r="AX303" t="inlineStr">
        <is>
          <t>991001350949702656</t>
        </is>
      </c>
      <c r="AY303" t="inlineStr">
        <is>
          <t>2269174020002656</t>
        </is>
      </c>
      <c r="AZ303" t="inlineStr">
        <is>
          <t>BOOK</t>
        </is>
      </c>
      <c r="BB303" t="inlineStr">
        <is>
          <t>9780801979620</t>
        </is>
      </c>
      <c r="BC303" t="inlineStr">
        <is>
          <t>32285001245876</t>
        </is>
      </c>
      <c r="BD303" t="inlineStr">
        <is>
          <t>893803564</t>
        </is>
      </c>
      <c r="BE303" t="inlineStr">
        <is>
          <t>AM Nelson</t>
        </is>
      </c>
    </row>
    <row r="304">
      <c r="A304" t="inlineStr">
        <is>
          <t>No</t>
        </is>
      </c>
      <c r="B304" t="inlineStr">
        <is>
          <t>NK4235 .F54 2005</t>
        </is>
      </c>
      <c r="C304" t="inlineStr">
        <is>
          <t>0                      NK 4235000F  54          2005</t>
        </is>
      </c>
      <c r="D304" t="inlineStr">
        <is>
          <t>The figure in clay : contemporary sculpting techniques by master artists, Arleo, Boger, Burns, González, Jeck, Novak, Smith, Takamori, Walsh / [editor, Suzanne J..E. Tourtillott].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L304" t="inlineStr">
        <is>
          <t>New York : Lark Books, c2005.</t>
        </is>
      </c>
      <c r="M304" t="inlineStr">
        <is>
          <t>2005</t>
        </is>
      </c>
      <c r="N304" t="inlineStr">
        <is>
          <t>1st ed.</t>
        </is>
      </c>
      <c r="O304" t="inlineStr">
        <is>
          <t>eng</t>
        </is>
      </c>
      <c r="P304" t="inlineStr">
        <is>
          <t>nyu</t>
        </is>
      </c>
      <c r="Q304" t="inlineStr">
        <is>
          <t>A Lark ceramics book</t>
        </is>
      </c>
      <c r="R304" t="inlineStr">
        <is>
          <t xml:space="preserve">NK </t>
        </is>
      </c>
      <c r="S304" t="n">
        <v>3</v>
      </c>
      <c r="T304" t="n">
        <v>3</v>
      </c>
      <c r="U304" t="inlineStr">
        <is>
          <t>2007-08-23</t>
        </is>
      </c>
      <c r="V304" t="inlineStr">
        <is>
          <t>2007-08-23</t>
        </is>
      </c>
      <c r="W304" t="inlineStr">
        <is>
          <t>2006-02-08</t>
        </is>
      </c>
      <c r="X304" t="inlineStr">
        <is>
          <t>2006-02-08</t>
        </is>
      </c>
      <c r="Y304" t="n">
        <v>892</v>
      </c>
      <c r="Z304" t="n">
        <v>816</v>
      </c>
      <c r="AA304" t="n">
        <v>916</v>
      </c>
      <c r="AB304" t="n">
        <v>5</v>
      </c>
      <c r="AC304" t="n">
        <v>5</v>
      </c>
      <c r="AD304" t="n">
        <v>18</v>
      </c>
      <c r="AE304" t="n">
        <v>18</v>
      </c>
      <c r="AF304" t="n">
        <v>8</v>
      </c>
      <c r="AG304" t="n">
        <v>8</v>
      </c>
      <c r="AH304" t="n">
        <v>3</v>
      </c>
      <c r="AI304" t="n">
        <v>3</v>
      </c>
      <c r="AJ304" t="n">
        <v>6</v>
      </c>
      <c r="AK304" t="n">
        <v>6</v>
      </c>
      <c r="AL304" t="n">
        <v>4</v>
      </c>
      <c r="AM304" t="n">
        <v>4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HYPERLINK("http://catalog.hathitrust.org/Record/005137095","HathiTrust Record")</f>
        <v/>
      </c>
      <c r="AS304">
        <f>HYPERLINK("https://creighton-primo.hosted.exlibrisgroup.com/primo-explore/search?tab=default_tab&amp;search_scope=EVERYTHING&amp;vid=01CRU&amp;lang=en_US&amp;offset=0&amp;query=any,contains,991004701399702656","Catalog Record")</f>
        <v/>
      </c>
      <c r="AT304">
        <f>HYPERLINK("http://www.worldcat.org/oclc/57143256","WorldCat Record")</f>
        <v/>
      </c>
      <c r="AU304" t="inlineStr">
        <is>
          <t>905740799:eng</t>
        </is>
      </c>
      <c r="AV304" t="inlineStr">
        <is>
          <t>57143256</t>
        </is>
      </c>
      <c r="AW304" t="inlineStr">
        <is>
          <t>991004701399702656</t>
        </is>
      </c>
      <c r="AX304" t="inlineStr">
        <is>
          <t>991004701399702656</t>
        </is>
      </c>
      <c r="AY304" t="inlineStr">
        <is>
          <t>2272799380002656</t>
        </is>
      </c>
      <c r="AZ304" t="inlineStr">
        <is>
          <t>BOOK</t>
        </is>
      </c>
      <c r="BB304" t="inlineStr">
        <is>
          <t>9781579906115</t>
        </is>
      </c>
      <c r="BC304" t="inlineStr">
        <is>
          <t>32285005157598</t>
        </is>
      </c>
      <c r="BD304" t="inlineStr">
        <is>
          <t>893776333</t>
        </is>
      </c>
      <c r="BE304" t="inlineStr">
        <is>
          <t>AM Nelson</t>
        </is>
      </c>
    </row>
    <row r="305">
      <c r="A305" t="inlineStr">
        <is>
          <t>No</t>
        </is>
      </c>
      <c r="B305" t="inlineStr">
        <is>
          <t>NK4605.5.U63 C482 1996a</t>
        </is>
      </c>
      <c r="C305" t="inlineStr">
        <is>
          <t>0                      NK 4605500U  63                 C  482         1996a</t>
        </is>
      </c>
      <c r="D305" t="inlineStr">
        <is>
          <t>Sexual politics : Judy Chicago's Dinner party in feminist art history / Amelia Jones, editor ; with essays by Laura Cottingham ... [et al.].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L305" t="inlineStr">
        <is>
          <t>[Los Angeles, CA] : UCLA at the Armand Hammer Museum of Art and Cultural Center in association with University of California Press, Berkeley, c1996.</t>
        </is>
      </c>
      <c r="M305" t="inlineStr">
        <is>
          <t>1996</t>
        </is>
      </c>
      <c r="O305" t="inlineStr">
        <is>
          <t>eng</t>
        </is>
      </c>
      <c r="P305" t="inlineStr">
        <is>
          <t>cau</t>
        </is>
      </c>
      <c r="R305" t="inlineStr">
        <is>
          <t xml:space="preserve">NK </t>
        </is>
      </c>
      <c r="S305" t="n">
        <v>7</v>
      </c>
      <c r="T305" t="n">
        <v>7</v>
      </c>
      <c r="U305" t="inlineStr">
        <is>
          <t>2009-04-02</t>
        </is>
      </c>
      <c r="V305" t="inlineStr">
        <is>
          <t>2009-04-02</t>
        </is>
      </c>
      <c r="W305" t="inlineStr">
        <is>
          <t>1997-05-12</t>
        </is>
      </c>
      <c r="X305" t="inlineStr">
        <is>
          <t>1997-05-12</t>
        </is>
      </c>
      <c r="Y305" t="n">
        <v>724</v>
      </c>
      <c r="Z305" t="n">
        <v>595</v>
      </c>
      <c r="AA305" t="n">
        <v>595</v>
      </c>
      <c r="AB305" t="n">
        <v>6</v>
      </c>
      <c r="AC305" t="n">
        <v>6</v>
      </c>
      <c r="AD305" t="n">
        <v>27</v>
      </c>
      <c r="AE305" t="n">
        <v>27</v>
      </c>
      <c r="AF305" t="n">
        <v>9</v>
      </c>
      <c r="AG305" t="n">
        <v>9</v>
      </c>
      <c r="AH305" t="n">
        <v>6</v>
      </c>
      <c r="AI305" t="n">
        <v>6</v>
      </c>
      <c r="AJ305" t="n">
        <v>12</v>
      </c>
      <c r="AK305" t="n">
        <v>12</v>
      </c>
      <c r="AL305" t="n">
        <v>4</v>
      </c>
      <c r="AM305" t="n">
        <v>4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HYPERLINK("https://creighton-primo.hosted.exlibrisgroup.com/primo-explore/search?tab=default_tab&amp;search_scope=EVERYTHING&amp;vid=01CRU&amp;lang=en_US&amp;offset=0&amp;query=any,contains,991002582979702656","Catalog Record")</f>
        <v/>
      </c>
      <c r="AT305">
        <f>HYPERLINK("http://www.worldcat.org/oclc/33862729","WorldCat Record")</f>
        <v/>
      </c>
      <c r="AU305" t="inlineStr">
        <is>
          <t>837027277:eng</t>
        </is>
      </c>
      <c r="AV305" t="inlineStr">
        <is>
          <t>33862729</t>
        </is>
      </c>
      <c r="AW305" t="inlineStr">
        <is>
          <t>991002582979702656</t>
        </is>
      </c>
      <c r="AX305" t="inlineStr">
        <is>
          <t>991002582979702656</t>
        </is>
      </c>
      <c r="AY305" t="inlineStr">
        <is>
          <t>2266783790002656</t>
        </is>
      </c>
      <c r="AZ305" t="inlineStr">
        <is>
          <t>BOOK</t>
        </is>
      </c>
      <c r="BB305" t="inlineStr">
        <is>
          <t>9780520205659</t>
        </is>
      </c>
      <c r="BC305" t="inlineStr">
        <is>
          <t>32285002607199</t>
        </is>
      </c>
      <c r="BD305" t="inlineStr">
        <is>
          <t>893421564</t>
        </is>
      </c>
      <c r="BE305" t="inlineStr">
        <is>
          <t>AM Nelson</t>
        </is>
      </c>
    </row>
    <row r="306">
      <c r="A306" t="inlineStr">
        <is>
          <t>No</t>
        </is>
      </c>
      <c r="B306" t="inlineStr">
        <is>
          <t>NK808 .O25 2001</t>
        </is>
      </c>
      <c r="C306" t="inlineStr">
        <is>
          <t>0                      NK 0808000O  25          2001</t>
        </is>
      </c>
      <c r="D306" t="inlineStr">
        <is>
          <t>Objects for use : handmade by design / Paul J. Smith, general editor ; essays by Paul J. Smith and Akiko Busch.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L306" t="inlineStr">
        <is>
          <t>New York : H.N. Abrams in association with the American Craft Museum, 2001.</t>
        </is>
      </c>
      <c r="M306" t="inlineStr">
        <is>
          <t>2001</t>
        </is>
      </c>
      <c r="O306" t="inlineStr">
        <is>
          <t>eng</t>
        </is>
      </c>
      <c r="P306" t="inlineStr">
        <is>
          <t>nyu</t>
        </is>
      </c>
      <c r="R306" t="inlineStr">
        <is>
          <t xml:space="preserve">NK </t>
        </is>
      </c>
      <c r="S306" t="n">
        <v>1</v>
      </c>
      <c r="T306" t="n">
        <v>1</v>
      </c>
      <c r="U306" t="inlineStr">
        <is>
          <t>2005-04-25</t>
        </is>
      </c>
      <c r="V306" t="inlineStr">
        <is>
          <t>2005-04-25</t>
        </is>
      </c>
      <c r="W306" t="inlineStr">
        <is>
          <t>2005-04-25</t>
        </is>
      </c>
      <c r="X306" t="inlineStr">
        <is>
          <t>2005-04-25</t>
        </is>
      </c>
      <c r="Y306" t="n">
        <v>579</v>
      </c>
      <c r="Z306" t="n">
        <v>515</v>
      </c>
      <c r="AA306" t="n">
        <v>528</v>
      </c>
      <c r="AB306" t="n">
        <v>4</v>
      </c>
      <c r="AC306" t="n">
        <v>4</v>
      </c>
      <c r="AD306" t="n">
        <v>13</v>
      </c>
      <c r="AE306" t="n">
        <v>13</v>
      </c>
      <c r="AF306" t="n">
        <v>6</v>
      </c>
      <c r="AG306" t="n">
        <v>6</v>
      </c>
      <c r="AH306" t="n">
        <v>2</v>
      </c>
      <c r="AI306" t="n">
        <v>2</v>
      </c>
      <c r="AJ306" t="n">
        <v>4</v>
      </c>
      <c r="AK306" t="n">
        <v>4</v>
      </c>
      <c r="AL306" t="n">
        <v>3</v>
      </c>
      <c r="AM306" t="n">
        <v>3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HYPERLINK("http://catalog.hathitrust.org/Record/004204253","HathiTrust Record")</f>
        <v/>
      </c>
      <c r="AS306">
        <f>HYPERLINK("https://creighton-primo.hosted.exlibrisgroup.com/primo-explore/search?tab=default_tab&amp;search_scope=EVERYTHING&amp;vid=01CRU&amp;lang=en_US&amp;offset=0&amp;query=any,contains,991004525469702656","Catalog Record")</f>
        <v/>
      </c>
      <c r="AT306">
        <f>HYPERLINK("http://www.worldcat.org/oclc/46385863","WorldCat Record")</f>
        <v/>
      </c>
      <c r="AU306" t="inlineStr">
        <is>
          <t>837047497:eng</t>
        </is>
      </c>
      <c r="AV306" t="inlineStr">
        <is>
          <t>46385863</t>
        </is>
      </c>
      <c r="AW306" t="inlineStr">
        <is>
          <t>991004525469702656</t>
        </is>
      </c>
      <c r="AX306" t="inlineStr">
        <is>
          <t>991004525469702656</t>
        </is>
      </c>
      <c r="AY306" t="inlineStr">
        <is>
          <t>2272197140002656</t>
        </is>
      </c>
      <c r="AZ306" t="inlineStr">
        <is>
          <t>BOOK</t>
        </is>
      </c>
      <c r="BB306" t="inlineStr">
        <is>
          <t>9780810906112</t>
        </is>
      </c>
      <c r="BC306" t="inlineStr">
        <is>
          <t>32285005033120</t>
        </is>
      </c>
      <c r="BD306" t="inlineStr">
        <is>
          <t>893612458</t>
        </is>
      </c>
      <c r="BE306" t="inlineStr">
        <is>
          <t>AM Nelson</t>
        </is>
      </c>
    </row>
    <row r="307">
      <c r="A307" t="inlineStr">
        <is>
          <t>No</t>
        </is>
      </c>
      <c r="B307" t="inlineStr">
        <is>
          <t>NX180.A77 S83 1994</t>
        </is>
      </c>
      <c r="C307" t="inlineStr">
        <is>
          <t>0                      NX 0180000A  77                 S  83          1994</t>
        </is>
      </c>
      <c r="D307" t="inlineStr">
        <is>
          <t>The Subversive imagination : artists, society, and social responsibility / edited by Carol Becker.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L307" t="inlineStr">
        <is>
          <t>New York : Routledge, 1994.</t>
        </is>
      </c>
      <c r="M307" t="inlineStr">
        <is>
          <t>1994</t>
        </is>
      </c>
      <c r="O307" t="inlineStr">
        <is>
          <t>eng</t>
        </is>
      </c>
      <c r="P307" t="inlineStr">
        <is>
          <t>nyu</t>
        </is>
      </c>
      <c r="R307" t="inlineStr">
        <is>
          <t xml:space="preserve">NX </t>
        </is>
      </c>
      <c r="S307" t="n">
        <v>12</v>
      </c>
      <c r="T307" t="n">
        <v>12</v>
      </c>
      <c r="U307" t="inlineStr">
        <is>
          <t>2004-03-10</t>
        </is>
      </c>
      <c r="V307" t="inlineStr">
        <is>
          <t>2004-03-10</t>
        </is>
      </c>
      <c r="W307" t="inlineStr">
        <is>
          <t>1994-05-06</t>
        </is>
      </c>
      <c r="X307" t="inlineStr">
        <is>
          <t>1994-05-06</t>
        </is>
      </c>
      <c r="Y307" t="n">
        <v>597</v>
      </c>
      <c r="Z307" t="n">
        <v>459</v>
      </c>
      <c r="AA307" t="n">
        <v>522</v>
      </c>
      <c r="AB307" t="n">
        <v>6</v>
      </c>
      <c r="AC307" t="n">
        <v>6</v>
      </c>
      <c r="AD307" t="n">
        <v>26</v>
      </c>
      <c r="AE307" t="n">
        <v>27</v>
      </c>
      <c r="AF307" t="n">
        <v>7</v>
      </c>
      <c r="AG307" t="n">
        <v>7</v>
      </c>
      <c r="AH307" t="n">
        <v>7</v>
      </c>
      <c r="AI307" t="n">
        <v>8</v>
      </c>
      <c r="AJ307" t="n">
        <v>11</v>
      </c>
      <c r="AK307" t="n">
        <v>12</v>
      </c>
      <c r="AL307" t="n">
        <v>5</v>
      </c>
      <c r="AM307" t="n">
        <v>5</v>
      </c>
      <c r="AN307" t="n">
        <v>0</v>
      </c>
      <c r="AO307" t="n">
        <v>0</v>
      </c>
      <c r="AP307" t="inlineStr">
        <is>
          <t>No</t>
        </is>
      </c>
      <c r="AQ307" t="inlineStr">
        <is>
          <t>Yes</t>
        </is>
      </c>
      <c r="AR307">
        <f>HYPERLINK("http://catalog.hathitrust.org/Record/002816365","HathiTrust Record")</f>
        <v/>
      </c>
      <c r="AS307">
        <f>HYPERLINK("https://creighton-primo.hosted.exlibrisgroup.com/primo-explore/search?tab=default_tab&amp;search_scope=EVERYTHING&amp;vid=01CRU&amp;lang=en_US&amp;offset=0&amp;query=any,contains,991005417699702656","Catalog Record")</f>
        <v/>
      </c>
      <c r="AT307">
        <f>HYPERLINK("http://www.worldcat.org/oclc/28890180","WorldCat Record")</f>
        <v/>
      </c>
      <c r="AU307" t="inlineStr">
        <is>
          <t>836907387:eng</t>
        </is>
      </c>
      <c r="AV307" t="inlineStr">
        <is>
          <t>28890180</t>
        </is>
      </c>
      <c r="AW307" t="inlineStr">
        <is>
          <t>991005417699702656</t>
        </is>
      </c>
      <c r="AX307" t="inlineStr">
        <is>
          <t>991005417699702656</t>
        </is>
      </c>
      <c r="AY307" t="inlineStr">
        <is>
          <t>2262977200002656</t>
        </is>
      </c>
      <c r="AZ307" t="inlineStr">
        <is>
          <t>BOOK</t>
        </is>
      </c>
      <c r="BB307" t="inlineStr">
        <is>
          <t>9780415905916</t>
        </is>
      </c>
      <c r="BC307" t="inlineStr">
        <is>
          <t>32285001878312</t>
        </is>
      </c>
      <c r="BD307" t="inlineStr">
        <is>
          <t>893871153</t>
        </is>
      </c>
      <c r="BE307" t="inlineStr">
        <is>
          <t>AM Nelson</t>
        </is>
      </c>
    </row>
    <row r="308">
      <c r="A308" t="inlineStr">
        <is>
          <t>No</t>
        </is>
      </c>
      <c r="B308" t="inlineStr">
        <is>
          <t>NX180.F4 R384 1988</t>
        </is>
      </c>
      <c r="C308" t="inlineStr">
        <is>
          <t>0                      NX 0180000F  4                  R  384         1988</t>
        </is>
      </c>
      <c r="D308" t="inlineStr">
        <is>
          <t>Crossing over : feminism and art of social concern / by Arlene Raven.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K308" t="inlineStr">
        <is>
          <t>Raven, Arlene.</t>
        </is>
      </c>
      <c r="L308" t="inlineStr">
        <is>
          <t>Ann Arbor, Mich. : UMI Research Press, c1988.</t>
        </is>
      </c>
      <c r="M308" t="inlineStr">
        <is>
          <t>1988</t>
        </is>
      </c>
      <c r="O308" t="inlineStr">
        <is>
          <t>eng</t>
        </is>
      </c>
      <c r="P308" t="inlineStr">
        <is>
          <t>miu</t>
        </is>
      </c>
      <c r="Q308" t="inlineStr">
        <is>
          <t>Contemporary American art critics ; no. 10</t>
        </is>
      </c>
      <c r="R308" t="inlineStr">
        <is>
          <t xml:space="preserve">NX </t>
        </is>
      </c>
      <c r="S308" t="n">
        <v>8</v>
      </c>
      <c r="T308" t="n">
        <v>8</v>
      </c>
      <c r="U308" t="inlineStr">
        <is>
          <t>2003-11-20</t>
        </is>
      </c>
      <c r="V308" t="inlineStr">
        <is>
          <t>2003-11-20</t>
        </is>
      </c>
      <c r="W308" t="inlineStr">
        <is>
          <t>1989-11-16</t>
        </is>
      </c>
      <c r="X308" t="inlineStr">
        <is>
          <t>1989-11-16</t>
        </is>
      </c>
      <c r="Y308" t="n">
        <v>443</v>
      </c>
      <c r="Z308" t="n">
        <v>372</v>
      </c>
      <c r="AA308" t="n">
        <v>382</v>
      </c>
      <c r="AB308" t="n">
        <v>5</v>
      </c>
      <c r="AC308" t="n">
        <v>5</v>
      </c>
      <c r="AD308" t="n">
        <v>14</v>
      </c>
      <c r="AE308" t="n">
        <v>14</v>
      </c>
      <c r="AF308" t="n">
        <v>4</v>
      </c>
      <c r="AG308" t="n">
        <v>4</v>
      </c>
      <c r="AH308" t="n">
        <v>2</v>
      </c>
      <c r="AI308" t="n">
        <v>2</v>
      </c>
      <c r="AJ308" t="n">
        <v>7</v>
      </c>
      <c r="AK308" t="n">
        <v>7</v>
      </c>
      <c r="AL308" t="n">
        <v>3</v>
      </c>
      <c r="AM308" t="n">
        <v>3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HYPERLINK("http://catalog.hathitrust.org/Record/000866708","HathiTrust Record")</f>
        <v/>
      </c>
      <c r="AS308">
        <f>HYPERLINK("https://creighton-primo.hosted.exlibrisgroup.com/primo-explore/search?tab=default_tab&amp;search_scope=EVERYTHING&amp;vid=01CRU&amp;lang=en_US&amp;offset=0&amp;query=any,contains,991001153859702656","Catalog Record")</f>
        <v/>
      </c>
      <c r="AT308">
        <f>HYPERLINK("http://www.worldcat.org/oclc/16832766","WorldCat Record")</f>
        <v/>
      </c>
      <c r="AU308" t="inlineStr">
        <is>
          <t>13811154:eng</t>
        </is>
      </c>
      <c r="AV308" t="inlineStr">
        <is>
          <t>16832766</t>
        </is>
      </c>
      <c r="AW308" t="inlineStr">
        <is>
          <t>991001153859702656</t>
        </is>
      </c>
      <c r="AX308" t="inlineStr">
        <is>
          <t>991001153859702656</t>
        </is>
      </c>
      <c r="AY308" t="inlineStr">
        <is>
          <t>2257051000002656</t>
        </is>
      </c>
      <c r="AZ308" t="inlineStr">
        <is>
          <t>BOOK</t>
        </is>
      </c>
      <c r="BB308" t="inlineStr">
        <is>
          <t>9780835718486</t>
        </is>
      </c>
      <c r="BC308" t="inlineStr">
        <is>
          <t>32285000014059</t>
        </is>
      </c>
      <c r="BD308" t="inlineStr">
        <is>
          <t>893334106</t>
        </is>
      </c>
      <c r="BE308" t="inlineStr">
        <is>
          <t>AM Nelson</t>
        </is>
      </c>
    </row>
    <row r="309">
      <c r="A309" t="inlineStr">
        <is>
          <t>No</t>
        </is>
      </c>
      <c r="B309" t="inlineStr">
        <is>
          <t>NX180.F4 S49 1992</t>
        </is>
      </c>
      <c r="C309" t="inlineStr">
        <is>
          <t>0                      NX 0180000F  4                  S  49          1992</t>
        </is>
      </c>
      <c r="D309" t="inlineStr">
        <is>
          <t>Sexuality, the female gaze, and the arts : women, the arts, and society / edited by Ronald Dotterer and Susan Bowers.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L309" t="inlineStr">
        <is>
          <t>Selinsgrove [Pa.] : Susquehanna University Press ; London : Associated University Presses, 1992.</t>
        </is>
      </c>
      <c r="M309" t="inlineStr">
        <is>
          <t>1992</t>
        </is>
      </c>
      <c r="O309" t="inlineStr">
        <is>
          <t>eng</t>
        </is>
      </c>
      <c r="P309" t="inlineStr">
        <is>
          <t>pau</t>
        </is>
      </c>
      <c r="Q309" t="inlineStr">
        <is>
          <t>Susquehanna University studies</t>
        </is>
      </c>
      <c r="R309" t="inlineStr">
        <is>
          <t xml:space="preserve">NX </t>
        </is>
      </c>
      <c r="S309" t="n">
        <v>15</v>
      </c>
      <c r="T309" t="n">
        <v>15</v>
      </c>
      <c r="U309" t="inlineStr">
        <is>
          <t>2001-04-12</t>
        </is>
      </c>
      <c r="V309" t="inlineStr">
        <is>
          <t>2001-04-12</t>
        </is>
      </c>
      <c r="W309" t="inlineStr">
        <is>
          <t>1994-05-24</t>
        </is>
      </c>
      <c r="X309" t="inlineStr">
        <is>
          <t>1994-05-24</t>
        </is>
      </c>
      <c r="Y309" t="n">
        <v>388</v>
      </c>
      <c r="Z309" t="n">
        <v>333</v>
      </c>
      <c r="AA309" t="n">
        <v>335</v>
      </c>
      <c r="AB309" t="n">
        <v>4</v>
      </c>
      <c r="AC309" t="n">
        <v>4</v>
      </c>
      <c r="AD309" t="n">
        <v>18</v>
      </c>
      <c r="AE309" t="n">
        <v>18</v>
      </c>
      <c r="AF309" t="n">
        <v>6</v>
      </c>
      <c r="AG309" t="n">
        <v>6</v>
      </c>
      <c r="AH309" t="n">
        <v>6</v>
      </c>
      <c r="AI309" t="n">
        <v>6</v>
      </c>
      <c r="AJ309" t="n">
        <v>8</v>
      </c>
      <c r="AK309" t="n">
        <v>8</v>
      </c>
      <c r="AL309" t="n">
        <v>3</v>
      </c>
      <c r="AM309" t="n">
        <v>3</v>
      </c>
      <c r="AN309" t="n">
        <v>0</v>
      </c>
      <c r="AO309" t="n">
        <v>0</v>
      </c>
      <c r="AP309" t="inlineStr">
        <is>
          <t>No</t>
        </is>
      </c>
      <c r="AQ309" t="inlineStr">
        <is>
          <t>Yes</t>
        </is>
      </c>
      <c r="AR309">
        <f>HYPERLINK("http://catalog.hathitrust.org/Record/002624558","HathiTrust Record")</f>
        <v/>
      </c>
      <c r="AS309">
        <f>HYPERLINK("https://creighton-primo.hosted.exlibrisgroup.com/primo-explore/search?tab=default_tab&amp;search_scope=EVERYTHING&amp;vid=01CRU&amp;lang=en_US&amp;offset=0&amp;query=any,contains,991001880299702656","Catalog Record")</f>
        <v/>
      </c>
      <c r="AT309">
        <f>HYPERLINK("http://www.worldcat.org/oclc/23731474","WorldCat Record")</f>
        <v/>
      </c>
      <c r="AU309" t="inlineStr">
        <is>
          <t>375380260:eng</t>
        </is>
      </c>
      <c r="AV309" t="inlineStr">
        <is>
          <t>23731474</t>
        </is>
      </c>
      <c r="AW309" t="inlineStr">
        <is>
          <t>991001880299702656</t>
        </is>
      </c>
      <c r="AX309" t="inlineStr">
        <is>
          <t>991001880299702656</t>
        </is>
      </c>
      <c r="AY309" t="inlineStr">
        <is>
          <t>2266556140002656</t>
        </is>
      </c>
      <c r="AZ309" t="inlineStr">
        <is>
          <t>BOOK</t>
        </is>
      </c>
      <c r="BB309" t="inlineStr">
        <is>
          <t>9780945636328</t>
        </is>
      </c>
      <c r="BC309" t="inlineStr">
        <is>
          <t>32285001897999</t>
        </is>
      </c>
      <c r="BD309" t="inlineStr">
        <is>
          <t>893439505</t>
        </is>
      </c>
      <c r="BE309" t="inlineStr">
        <is>
          <t>AM Nelson</t>
        </is>
      </c>
    </row>
    <row r="310">
      <c r="A310" t="inlineStr">
        <is>
          <t>No</t>
        </is>
      </c>
      <c r="B310" t="inlineStr">
        <is>
          <t>NX180.S6 K36 1990</t>
        </is>
      </c>
      <c r="C310" t="inlineStr">
        <is>
          <t>0                      NX 0180000S  6                  K  36          1990</t>
        </is>
      </c>
      <c r="D310" t="inlineStr">
        <is>
          <t>The arts : a social perspective / Max Kaplan.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Kaplan, Max, 1911-1998.</t>
        </is>
      </c>
      <c r="L310" t="inlineStr">
        <is>
          <t>Rutherford, N.J. : Fairleigh Dickinson University Press, c1990.</t>
        </is>
      </c>
      <c r="M310" t="inlineStr">
        <is>
          <t>1990</t>
        </is>
      </c>
      <c r="O310" t="inlineStr">
        <is>
          <t>eng</t>
        </is>
      </c>
      <c r="P310" t="inlineStr">
        <is>
          <t>nju</t>
        </is>
      </c>
      <c r="R310" t="inlineStr">
        <is>
          <t xml:space="preserve">NX </t>
        </is>
      </c>
      <c r="S310" t="n">
        <v>2</v>
      </c>
      <c r="T310" t="n">
        <v>2</v>
      </c>
      <c r="U310" t="inlineStr">
        <is>
          <t>1994-11-08</t>
        </is>
      </c>
      <c r="V310" t="inlineStr">
        <is>
          <t>1994-11-08</t>
        </is>
      </c>
      <c r="W310" t="inlineStr">
        <is>
          <t>1990-06-21</t>
        </is>
      </c>
      <c r="X310" t="inlineStr">
        <is>
          <t>1990-06-21</t>
        </is>
      </c>
      <c r="Y310" t="n">
        <v>325</v>
      </c>
      <c r="Z310" t="n">
        <v>281</v>
      </c>
      <c r="AA310" t="n">
        <v>295</v>
      </c>
      <c r="AB310" t="n">
        <v>4</v>
      </c>
      <c r="AC310" t="n">
        <v>4</v>
      </c>
      <c r="AD310" t="n">
        <v>16</v>
      </c>
      <c r="AE310" t="n">
        <v>16</v>
      </c>
      <c r="AF310" t="n">
        <v>2</v>
      </c>
      <c r="AG310" t="n">
        <v>2</v>
      </c>
      <c r="AH310" t="n">
        <v>4</v>
      </c>
      <c r="AI310" t="n">
        <v>4</v>
      </c>
      <c r="AJ310" t="n">
        <v>8</v>
      </c>
      <c r="AK310" t="n">
        <v>8</v>
      </c>
      <c r="AL310" t="n">
        <v>3</v>
      </c>
      <c r="AM310" t="n">
        <v>3</v>
      </c>
      <c r="AN310" t="n">
        <v>0</v>
      </c>
      <c r="AO310" t="n">
        <v>0</v>
      </c>
      <c r="AP310" t="inlineStr">
        <is>
          <t>No</t>
        </is>
      </c>
      <c r="AQ310" t="inlineStr">
        <is>
          <t>Yes</t>
        </is>
      </c>
      <c r="AR310">
        <f>HYPERLINK("http://catalog.hathitrust.org/Record/002055889","HathiTrust Record")</f>
        <v/>
      </c>
      <c r="AS310">
        <f>HYPERLINK("https://creighton-primo.hosted.exlibrisgroup.com/primo-explore/search?tab=default_tab&amp;search_scope=EVERYTHING&amp;vid=01CRU&amp;lang=en_US&amp;offset=0&amp;query=any,contains,991001530309702656","Catalog Record")</f>
        <v/>
      </c>
      <c r="AT310">
        <f>HYPERLINK("http://www.worldcat.org/oclc/20017363","WorldCat Record")</f>
        <v/>
      </c>
      <c r="AU310" t="inlineStr">
        <is>
          <t>432281048:eng</t>
        </is>
      </c>
      <c r="AV310" t="inlineStr">
        <is>
          <t>20017363</t>
        </is>
      </c>
      <c r="AW310" t="inlineStr">
        <is>
          <t>991001530309702656</t>
        </is>
      </c>
      <c r="AX310" t="inlineStr">
        <is>
          <t>991001530309702656</t>
        </is>
      </c>
      <c r="AY310" t="inlineStr">
        <is>
          <t>2261233080002656</t>
        </is>
      </c>
      <c r="AZ310" t="inlineStr">
        <is>
          <t>BOOK</t>
        </is>
      </c>
      <c r="BB310" t="inlineStr">
        <is>
          <t>9780838633557</t>
        </is>
      </c>
      <c r="BC310" t="inlineStr">
        <is>
          <t>32285000178946</t>
        </is>
      </c>
      <c r="BD310" t="inlineStr">
        <is>
          <t>893334374</t>
        </is>
      </c>
      <c r="BE310" t="inlineStr">
        <is>
          <t>AM Nelson</t>
        </is>
      </c>
    </row>
    <row r="311">
      <c r="A311" t="inlineStr">
        <is>
          <t>No</t>
        </is>
      </c>
      <c r="B311" t="inlineStr">
        <is>
          <t>NX180.S6 O97 1990</t>
        </is>
      </c>
      <c r="C311" t="inlineStr">
        <is>
          <t>0                      NX 0180000S  6                  O  97          1990</t>
        </is>
      </c>
      <c r="D311" t="inlineStr">
        <is>
          <t>Out there : marginalization and contemporary cultures / edited by Russell Ferguson ... [et al.] ; foreword by Marcia Tucker ; images selected by Félix González-Torres.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L311" t="inlineStr">
        <is>
          <t>New York, N.Y. : New Museum of Contemporary Art ; Cambridge, Mass. : MIT Press, c1990.</t>
        </is>
      </c>
      <c r="M311" t="inlineStr">
        <is>
          <t>1990</t>
        </is>
      </c>
      <c r="O311" t="inlineStr">
        <is>
          <t>eng</t>
        </is>
      </c>
      <c r="P311" t="inlineStr">
        <is>
          <t>nyu</t>
        </is>
      </c>
      <c r="Q311" t="inlineStr">
        <is>
          <t>Documentary sources in contemporary art ; v. 4</t>
        </is>
      </c>
      <c r="R311" t="inlineStr">
        <is>
          <t xml:space="preserve">NX </t>
        </is>
      </c>
      <c r="S311" t="n">
        <v>2</v>
      </c>
      <c r="T311" t="n">
        <v>2</v>
      </c>
      <c r="U311" t="inlineStr">
        <is>
          <t>2006-10-09</t>
        </is>
      </c>
      <c r="V311" t="inlineStr">
        <is>
          <t>2006-10-09</t>
        </is>
      </c>
      <c r="W311" t="inlineStr">
        <is>
          <t>2003-09-15</t>
        </is>
      </c>
      <c r="X311" t="inlineStr">
        <is>
          <t>2003-09-15</t>
        </is>
      </c>
      <c r="Y311" t="n">
        <v>769</v>
      </c>
      <c r="Z311" t="n">
        <v>535</v>
      </c>
      <c r="AA311" t="n">
        <v>544</v>
      </c>
      <c r="AB311" t="n">
        <v>3</v>
      </c>
      <c r="AC311" t="n">
        <v>3</v>
      </c>
      <c r="AD311" t="n">
        <v>26</v>
      </c>
      <c r="AE311" t="n">
        <v>26</v>
      </c>
      <c r="AF311" t="n">
        <v>11</v>
      </c>
      <c r="AG311" t="n">
        <v>11</v>
      </c>
      <c r="AH311" t="n">
        <v>6</v>
      </c>
      <c r="AI311" t="n">
        <v>6</v>
      </c>
      <c r="AJ311" t="n">
        <v>14</v>
      </c>
      <c r="AK311" t="n">
        <v>14</v>
      </c>
      <c r="AL311" t="n">
        <v>1</v>
      </c>
      <c r="AM311" t="n">
        <v>1</v>
      </c>
      <c r="AN311" t="n">
        <v>0</v>
      </c>
      <c r="AO311" t="n">
        <v>0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HYPERLINK("https://creighton-primo.hosted.exlibrisgroup.com/primo-explore/search?tab=default_tab&amp;search_scope=EVERYTHING&amp;vid=01CRU&amp;lang=en_US&amp;offset=0&amp;query=any,contains,991004123059702656","Catalog Record")</f>
        <v/>
      </c>
      <c r="AT311">
        <f>HYPERLINK("http://www.worldcat.org/oclc/21162781","WorldCat Record")</f>
        <v/>
      </c>
      <c r="AU311" t="inlineStr">
        <is>
          <t>787076810:eng</t>
        </is>
      </c>
      <c r="AV311" t="inlineStr">
        <is>
          <t>21162781</t>
        </is>
      </c>
      <c r="AW311" t="inlineStr">
        <is>
          <t>991004123059702656</t>
        </is>
      </c>
      <c r="AX311" t="inlineStr">
        <is>
          <t>991004123059702656</t>
        </is>
      </c>
      <c r="AY311" t="inlineStr">
        <is>
          <t>2258451510002656</t>
        </is>
      </c>
      <c r="AZ311" t="inlineStr">
        <is>
          <t>BOOK</t>
        </is>
      </c>
      <c r="BB311" t="inlineStr">
        <is>
          <t>9780262061322</t>
        </is>
      </c>
      <c r="BC311" t="inlineStr">
        <is>
          <t>32285004783113</t>
        </is>
      </c>
      <c r="BD311" t="inlineStr">
        <is>
          <t>893806682</t>
        </is>
      </c>
      <c r="BE311" t="inlineStr">
        <is>
          <t>AM Nelson</t>
        </is>
      </c>
    </row>
    <row r="312">
      <c r="A312" t="inlineStr">
        <is>
          <t>No</t>
        </is>
      </c>
      <c r="B312" t="inlineStr">
        <is>
          <t>NX456.5.D3 D32513 1990</t>
        </is>
      </c>
      <c r="C312" t="inlineStr">
        <is>
          <t>0                      NX 0456500D  3                  D  32513       1990</t>
        </is>
      </c>
      <c r="D312" t="inlineStr">
        <is>
          <t>The Dada movement, 1915-1923 / Marc Dachy.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Dachy, Marc.</t>
        </is>
      </c>
      <c r="L312" t="inlineStr">
        <is>
          <t>Geneva : Skira ; New York : Rizzoli, 1990.</t>
        </is>
      </c>
      <c r="M312" t="inlineStr">
        <is>
          <t>1990</t>
        </is>
      </c>
      <c r="O312" t="inlineStr">
        <is>
          <t>eng</t>
        </is>
      </c>
      <c r="P312" t="inlineStr">
        <is>
          <t xml:space="preserve">sw </t>
        </is>
      </c>
      <c r="R312" t="inlineStr">
        <is>
          <t xml:space="preserve">NX </t>
        </is>
      </c>
      <c r="S312" t="n">
        <v>21</v>
      </c>
      <c r="T312" t="n">
        <v>21</v>
      </c>
      <c r="U312" t="inlineStr">
        <is>
          <t>1999-03-22</t>
        </is>
      </c>
      <c r="V312" t="inlineStr">
        <is>
          <t>1999-03-22</t>
        </is>
      </c>
      <c r="W312" t="inlineStr">
        <is>
          <t>1991-06-13</t>
        </is>
      </c>
      <c r="X312" t="inlineStr">
        <is>
          <t>1991-06-13</t>
        </is>
      </c>
      <c r="Y312" t="n">
        <v>720</v>
      </c>
      <c r="Z312" t="n">
        <v>586</v>
      </c>
      <c r="AA312" t="n">
        <v>598</v>
      </c>
      <c r="AB312" t="n">
        <v>5</v>
      </c>
      <c r="AC312" t="n">
        <v>5</v>
      </c>
      <c r="AD312" t="n">
        <v>25</v>
      </c>
      <c r="AE312" t="n">
        <v>25</v>
      </c>
      <c r="AF312" t="n">
        <v>9</v>
      </c>
      <c r="AG312" t="n">
        <v>9</v>
      </c>
      <c r="AH312" t="n">
        <v>5</v>
      </c>
      <c r="AI312" t="n">
        <v>5</v>
      </c>
      <c r="AJ312" t="n">
        <v>12</v>
      </c>
      <c r="AK312" t="n">
        <v>12</v>
      </c>
      <c r="AL312" t="n">
        <v>4</v>
      </c>
      <c r="AM312" t="n">
        <v>4</v>
      </c>
      <c r="AN312" t="n">
        <v>0</v>
      </c>
      <c r="AO312" t="n">
        <v>0</v>
      </c>
      <c r="AP312" t="inlineStr">
        <is>
          <t>No</t>
        </is>
      </c>
      <c r="AQ312" t="inlineStr">
        <is>
          <t>No</t>
        </is>
      </c>
      <c r="AS312">
        <f>HYPERLINK("https://creighton-primo.hosted.exlibrisgroup.com/primo-explore/search?tab=default_tab&amp;search_scope=EVERYTHING&amp;vid=01CRU&amp;lang=en_US&amp;offset=0&amp;query=any,contains,991001592249702656","Catalog Record")</f>
        <v/>
      </c>
      <c r="AT312">
        <f>HYPERLINK("http://www.worldcat.org/oclc/20593701","WorldCat Record")</f>
        <v/>
      </c>
      <c r="AU312" t="inlineStr">
        <is>
          <t>22708484:eng</t>
        </is>
      </c>
      <c r="AV312" t="inlineStr">
        <is>
          <t>20593701</t>
        </is>
      </c>
      <c r="AW312" t="inlineStr">
        <is>
          <t>991001592249702656</t>
        </is>
      </c>
      <c r="AX312" t="inlineStr">
        <is>
          <t>991001592249702656</t>
        </is>
      </c>
      <c r="AY312" t="inlineStr">
        <is>
          <t>2267027430002656</t>
        </is>
      </c>
      <c r="AZ312" t="inlineStr">
        <is>
          <t>BOOK</t>
        </is>
      </c>
      <c r="BB312" t="inlineStr">
        <is>
          <t>9780847811106</t>
        </is>
      </c>
      <c r="BC312" t="inlineStr">
        <is>
          <t>32285000656156</t>
        </is>
      </c>
      <c r="BD312" t="inlineStr">
        <is>
          <t>893432939</t>
        </is>
      </c>
      <c r="BE312" t="inlineStr">
        <is>
          <t>AM Nelson</t>
        </is>
      </c>
    </row>
    <row r="313">
      <c r="A313" t="inlineStr">
        <is>
          <t>No</t>
        </is>
      </c>
      <c r="B313" t="inlineStr">
        <is>
          <t>NX504 .M44 1991</t>
        </is>
      </c>
      <c r="C313" t="inlineStr">
        <is>
          <t>0                      NX 0504000M  44          1991</t>
        </is>
      </c>
      <c r="D313" t="inlineStr">
        <is>
          <t>Engendering culture : manhood and womanhood in New Deal public art and theater / Barbara Melosh.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K313" t="inlineStr">
        <is>
          <t>Melosh, Barbara.</t>
        </is>
      </c>
      <c r="L313" t="inlineStr">
        <is>
          <t>Washington : Smithsonian Institution Press, c1991.</t>
        </is>
      </c>
      <c r="M313" t="inlineStr">
        <is>
          <t>1991</t>
        </is>
      </c>
      <c r="O313" t="inlineStr">
        <is>
          <t>eng</t>
        </is>
      </c>
      <c r="P313" t="inlineStr">
        <is>
          <t>dcu</t>
        </is>
      </c>
      <c r="Q313" t="inlineStr">
        <is>
          <t>New directions in American art</t>
        </is>
      </c>
      <c r="R313" t="inlineStr">
        <is>
          <t xml:space="preserve">NX </t>
        </is>
      </c>
      <c r="S313" t="n">
        <v>6</v>
      </c>
      <c r="T313" t="n">
        <v>6</v>
      </c>
      <c r="U313" t="inlineStr">
        <is>
          <t>1998-04-06</t>
        </is>
      </c>
      <c r="V313" t="inlineStr">
        <is>
          <t>1998-04-06</t>
        </is>
      </c>
      <c r="W313" t="inlineStr">
        <is>
          <t>1992-09-22</t>
        </is>
      </c>
      <c r="X313" t="inlineStr">
        <is>
          <t>1992-09-22</t>
        </is>
      </c>
      <c r="Y313" t="n">
        <v>786</v>
      </c>
      <c r="Z313" t="n">
        <v>665</v>
      </c>
      <c r="AA313" t="n">
        <v>672</v>
      </c>
      <c r="AB313" t="n">
        <v>4</v>
      </c>
      <c r="AC313" t="n">
        <v>4</v>
      </c>
      <c r="AD313" t="n">
        <v>33</v>
      </c>
      <c r="AE313" t="n">
        <v>33</v>
      </c>
      <c r="AF313" t="n">
        <v>15</v>
      </c>
      <c r="AG313" t="n">
        <v>15</v>
      </c>
      <c r="AH313" t="n">
        <v>6</v>
      </c>
      <c r="AI313" t="n">
        <v>6</v>
      </c>
      <c r="AJ313" t="n">
        <v>17</v>
      </c>
      <c r="AK313" t="n">
        <v>17</v>
      </c>
      <c r="AL313" t="n">
        <v>3</v>
      </c>
      <c r="AM313" t="n">
        <v>3</v>
      </c>
      <c r="AN313" t="n">
        <v>1</v>
      </c>
      <c r="AO313" t="n">
        <v>1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HYPERLINK("http://catalog.hathitrust.org/Record/002521433","HathiTrust Record")</f>
        <v/>
      </c>
      <c r="AS313">
        <f>HYPERLINK("https://creighton-primo.hosted.exlibrisgroup.com/primo-explore/search?tab=default_tab&amp;search_scope=EVERYTHING&amp;vid=01CRU&amp;lang=en_US&amp;offset=0&amp;query=any,contains,991001714539702656","Catalog Record")</f>
        <v/>
      </c>
      <c r="AT313">
        <f>HYPERLINK("http://www.worldcat.org/oclc/21672138","WorldCat Record")</f>
        <v/>
      </c>
      <c r="AU313" t="inlineStr">
        <is>
          <t>836707629:eng</t>
        </is>
      </c>
      <c r="AV313" t="inlineStr">
        <is>
          <t>21672138</t>
        </is>
      </c>
      <c r="AW313" t="inlineStr">
        <is>
          <t>991001714539702656</t>
        </is>
      </c>
      <c r="AX313" t="inlineStr">
        <is>
          <t>991001714539702656</t>
        </is>
      </c>
      <c r="AY313" t="inlineStr">
        <is>
          <t>2261896950002656</t>
        </is>
      </c>
      <c r="AZ313" t="inlineStr">
        <is>
          <t>BOOK</t>
        </is>
      </c>
      <c r="BB313" t="inlineStr">
        <is>
          <t>9780874747218</t>
        </is>
      </c>
      <c r="BC313" t="inlineStr">
        <is>
          <t>32285001287969</t>
        </is>
      </c>
      <c r="BD313" t="inlineStr">
        <is>
          <t>893328319</t>
        </is>
      </c>
      <c r="BE313" t="inlineStr">
        <is>
          <t>AM Nelson</t>
        </is>
      </c>
    </row>
    <row r="314">
      <c r="A314" t="inlineStr">
        <is>
          <t>No</t>
        </is>
      </c>
      <c r="B314" t="inlineStr">
        <is>
          <t>NX504.A1 D36 2002</t>
        </is>
      </c>
      <c r="C314" t="inlineStr">
        <is>
          <t>0                      NX 0504000A  1                  D  36          2002</t>
        </is>
      </c>
      <c r="D314" t="inlineStr">
        <is>
          <t>Headin' for better times : the arts of the great depression / Duane Damon.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Damon, Duane.</t>
        </is>
      </c>
      <c r="L314" t="inlineStr">
        <is>
          <t>Minneapolis : Lerner Publications Co., c2002.</t>
        </is>
      </c>
      <c r="M314" t="inlineStr">
        <is>
          <t>2002</t>
        </is>
      </c>
      <c r="O314" t="inlineStr">
        <is>
          <t>eng</t>
        </is>
      </c>
      <c r="P314" t="inlineStr">
        <is>
          <t>mnu</t>
        </is>
      </c>
      <c r="Q314" t="inlineStr">
        <is>
          <t>People's history</t>
        </is>
      </c>
      <c r="R314" t="inlineStr">
        <is>
          <t xml:space="preserve">NX </t>
        </is>
      </c>
      <c r="S314" t="n">
        <v>6</v>
      </c>
      <c r="T314" t="n">
        <v>6</v>
      </c>
      <c r="U314" t="inlineStr">
        <is>
          <t>2009-11-10</t>
        </is>
      </c>
      <c r="V314" t="inlineStr">
        <is>
          <t>2009-11-10</t>
        </is>
      </c>
      <c r="W314" t="inlineStr">
        <is>
          <t>2003-06-16</t>
        </is>
      </c>
      <c r="X314" t="inlineStr">
        <is>
          <t>2003-06-16</t>
        </is>
      </c>
      <c r="Y314" t="n">
        <v>342</v>
      </c>
      <c r="Z314" t="n">
        <v>337</v>
      </c>
      <c r="AA314" t="n">
        <v>338</v>
      </c>
      <c r="AB314" t="n">
        <v>3</v>
      </c>
      <c r="AC314" t="n">
        <v>3</v>
      </c>
      <c r="AD314" t="n">
        <v>6</v>
      </c>
      <c r="AE314" t="n">
        <v>6</v>
      </c>
      <c r="AF314" t="n">
        <v>2</v>
      </c>
      <c r="AG314" t="n">
        <v>2</v>
      </c>
      <c r="AH314" t="n">
        <v>2</v>
      </c>
      <c r="AI314" t="n">
        <v>2</v>
      </c>
      <c r="AJ314" t="n">
        <v>1</v>
      </c>
      <c r="AK314" t="n">
        <v>1</v>
      </c>
      <c r="AL314" t="n">
        <v>1</v>
      </c>
      <c r="AM314" t="n">
        <v>1</v>
      </c>
      <c r="AN314" t="n">
        <v>0</v>
      </c>
      <c r="AO314" t="n">
        <v>0</v>
      </c>
      <c r="AP314" t="inlineStr">
        <is>
          <t>No</t>
        </is>
      </c>
      <c r="AQ314" t="inlineStr">
        <is>
          <t>No</t>
        </is>
      </c>
      <c r="AS314">
        <f>HYPERLINK("https://creighton-primo.hosted.exlibrisgroup.com/primo-explore/search?tab=default_tab&amp;search_scope=EVERYTHING&amp;vid=01CRU&amp;lang=en_US&amp;offset=0&amp;query=any,contains,991004070709702656","Catalog Record")</f>
        <v/>
      </c>
      <c r="AT314">
        <f>HYPERLINK("http://www.worldcat.org/oclc/45387263","WorldCat Record")</f>
        <v/>
      </c>
      <c r="AU314" t="inlineStr">
        <is>
          <t>10142619272:eng</t>
        </is>
      </c>
      <c r="AV314" t="inlineStr">
        <is>
          <t>45387263</t>
        </is>
      </c>
      <c r="AW314" t="inlineStr">
        <is>
          <t>991004070709702656</t>
        </is>
      </c>
      <c r="AX314" t="inlineStr">
        <is>
          <t>991004070709702656</t>
        </is>
      </c>
      <c r="AY314" t="inlineStr">
        <is>
          <t>2258385610002656</t>
        </is>
      </c>
      <c r="AZ314" t="inlineStr">
        <is>
          <t>BOOK</t>
        </is>
      </c>
      <c r="BB314" t="inlineStr">
        <is>
          <t>9780822517412</t>
        </is>
      </c>
      <c r="BC314" t="inlineStr">
        <is>
          <t>32285004752498</t>
        </is>
      </c>
      <c r="BD314" t="inlineStr">
        <is>
          <t>893220597</t>
        </is>
      </c>
      <c r="BE314" t="inlineStr">
        <is>
          <t>AM Nelson</t>
        </is>
      </c>
    </row>
    <row r="315">
      <c r="A315" t="inlineStr">
        <is>
          <t>No</t>
        </is>
      </c>
      <c r="B315" t="inlineStr">
        <is>
          <t>NX600.D3 L5</t>
        </is>
      </c>
      <c r="C315" t="inlineStr">
        <is>
          <t>0                      NX 0600000D  3                  L  5</t>
        </is>
      </c>
      <c r="D315" t="inlineStr">
        <is>
          <t>Dadas on art / edited by Lucy R. Lippard.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Lippard, Lucy R. compiler.</t>
        </is>
      </c>
      <c r="L315" t="inlineStr">
        <is>
          <t>Englewood Cliffs, N.J. : Prentice-Hall, [1971]</t>
        </is>
      </c>
      <c r="M315" t="inlineStr">
        <is>
          <t>1971</t>
        </is>
      </c>
      <c r="O315" t="inlineStr">
        <is>
          <t>eng</t>
        </is>
      </c>
      <c r="P315" t="inlineStr">
        <is>
          <t>nju</t>
        </is>
      </c>
      <c r="Q315" t="inlineStr">
        <is>
          <t>A Spectrum book</t>
        </is>
      </c>
      <c r="R315" t="inlineStr">
        <is>
          <t xml:space="preserve">NX </t>
        </is>
      </c>
      <c r="S315" t="n">
        <v>5</v>
      </c>
      <c r="T315" t="n">
        <v>5</v>
      </c>
      <c r="U315" t="inlineStr">
        <is>
          <t>2003-04-27</t>
        </is>
      </c>
      <c r="V315" t="inlineStr">
        <is>
          <t>2003-04-27</t>
        </is>
      </c>
      <c r="W315" t="inlineStr">
        <is>
          <t>1993-11-30</t>
        </is>
      </c>
      <c r="X315" t="inlineStr">
        <is>
          <t>1993-11-30</t>
        </is>
      </c>
      <c r="Y315" t="n">
        <v>636</v>
      </c>
      <c r="Z315" t="n">
        <v>533</v>
      </c>
      <c r="AA315" t="n">
        <v>580</v>
      </c>
      <c r="AB315" t="n">
        <v>3</v>
      </c>
      <c r="AC315" t="n">
        <v>3</v>
      </c>
      <c r="AD315" t="n">
        <v>13</v>
      </c>
      <c r="AE315" t="n">
        <v>13</v>
      </c>
      <c r="AF315" t="n">
        <v>3</v>
      </c>
      <c r="AG315" t="n">
        <v>3</v>
      </c>
      <c r="AH315" t="n">
        <v>5</v>
      </c>
      <c r="AI315" t="n">
        <v>5</v>
      </c>
      <c r="AJ315" t="n">
        <v>7</v>
      </c>
      <c r="AK315" t="n">
        <v>7</v>
      </c>
      <c r="AL315" t="n">
        <v>1</v>
      </c>
      <c r="AM315" t="n">
        <v>1</v>
      </c>
      <c r="AN315" t="n">
        <v>0</v>
      </c>
      <c r="AO315" t="n">
        <v>0</v>
      </c>
      <c r="AP315" t="inlineStr">
        <is>
          <t>No</t>
        </is>
      </c>
      <c r="AQ315" t="inlineStr">
        <is>
          <t>Yes</t>
        </is>
      </c>
      <c r="AR315">
        <f>HYPERLINK("http://catalog.hathitrust.org/Record/001472960","HathiTrust Record")</f>
        <v/>
      </c>
      <c r="AS315">
        <f>HYPERLINK("https://creighton-primo.hosted.exlibrisgroup.com/primo-explore/search?tab=default_tab&amp;search_scope=EVERYTHING&amp;vid=01CRU&amp;lang=en_US&amp;offset=0&amp;query=any,contains,991000798469702656","Catalog Record")</f>
        <v/>
      </c>
      <c r="AT315">
        <f>HYPERLINK("http://www.worldcat.org/oclc/138044","WorldCat Record")</f>
        <v/>
      </c>
      <c r="AU315" t="inlineStr">
        <is>
          <t>1292446:eng</t>
        </is>
      </c>
      <c r="AV315" t="inlineStr">
        <is>
          <t>138044</t>
        </is>
      </c>
      <c r="AW315" t="inlineStr">
        <is>
          <t>991000798469702656</t>
        </is>
      </c>
      <c r="AX315" t="inlineStr">
        <is>
          <t>991000798469702656</t>
        </is>
      </c>
      <c r="AY315" t="inlineStr">
        <is>
          <t>2262351990002656</t>
        </is>
      </c>
      <c r="AZ315" t="inlineStr">
        <is>
          <t>BOOK</t>
        </is>
      </c>
      <c r="BB315" t="inlineStr">
        <is>
          <t>9780131974593</t>
        </is>
      </c>
      <c r="BC315" t="inlineStr">
        <is>
          <t>32285001689719</t>
        </is>
      </c>
      <c r="BD315" t="inlineStr">
        <is>
          <t>893608293</t>
        </is>
      </c>
      <c r="BE315" t="inlineStr">
        <is>
          <t>AM Nelson</t>
        </is>
      </c>
    </row>
    <row r="316">
      <c r="A316" t="inlineStr">
        <is>
          <t>No</t>
        </is>
      </c>
      <c r="B316" t="inlineStr">
        <is>
          <t>N6535.S3 J66 1990</t>
        </is>
      </c>
      <c r="C316" t="inlineStr">
        <is>
          <t>0                      N  6535000S  3                  J  66          1990</t>
        </is>
      </c>
      <c r="D316" t="inlineStr">
        <is>
          <t>Bay Area figurative art, 1950-1965 / Caroline A. Jones.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K316" t="inlineStr">
        <is>
          <t>Jones, Caroline A.</t>
        </is>
      </c>
      <c r="L316" t="inlineStr">
        <is>
          <t>San Francisco, Calif. : San Francisco Museum of Modern Art ; Berkeley : University of California Press, c1990.</t>
        </is>
      </c>
      <c r="M316" t="inlineStr">
        <is>
          <t>1990</t>
        </is>
      </c>
      <c r="O316" t="inlineStr">
        <is>
          <t>eng</t>
        </is>
      </c>
      <c r="P316" t="inlineStr">
        <is>
          <t>cau</t>
        </is>
      </c>
      <c r="R316" t="inlineStr">
        <is>
          <t xml:space="preserve">N  </t>
        </is>
      </c>
      <c r="S316" t="n">
        <v>10</v>
      </c>
      <c r="T316" t="n">
        <v>10</v>
      </c>
      <c r="U316" t="inlineStr">
        <is>
          <t>1996-09-04</t>
        </is>
      </c>
      <c r="V316" t="inlineStr">
        <is>
          <t>1996-09-04</t>
        </is>
      </c>
      <c r="W316" t="inlineStr">
        <is>
          <t>1991-07-18</t>
        </is>
      </c>
      <c r="X316" t="inlineStr">
        <is>
          <t>1991-07-18</t>
        </is>
      </c>
      <c r="Y316" t="n">
        <v>762</v>
      </c>
      <c r="Z316" t="n">
        <v>661</v>
      </c>
      <c r="AA316" t="n">
        <v>661</v>
      </c>
      <c r="AB316" t="n">
        <v>6</v>
      </c>
      <c r="AC316" t="n">
        <v>6</v>
      </c>
      <c r="AD316" t="n">
        <v>23</v>
      </c>
      <c r="AE316" t="n">
        <v>23</v>
      </c>
      <c r="AF316" t="n">
        <v>10</v>
      </c>
      <c r="AG316" t="n">
        <v>10</v>
      </c>
      <c r="AH316" t="n">
        <v>4</v>
      </c>
      <c r="AI316" t="n">
        <v>4</v>
      </c>
      <c r="AJ316" t="n">
        <v>11</v>
      </c>
      <c r="AK316" t="n">
        <v>11</v>
      </c>
      <c r="AL316" t="n">
        <v>4</v>
      </c>
      <c r="AM316" t="n">
        <v>4</v>
      </c>
      <c r="AN316" t="n">
        <v>0</v>
      </c>
      <c r="AO316" t="n">
        <v>0</v>
      </c>
      <c r="AP316" t="inlineStr">
        <is>
          <t>No</t>
        </is>
      </c>
      <c r="AQ316" t="inlineStr">
        <is>
          <t>No</t>
        </is>
      </c>
      <c r="AS316">
        <f>HYPERLINK("https://creighton-primo.hosted.exlibrisgroup.com/primo-explore/search?tab=default_tab&amp;search_scope=EVERYTHING&amp;vid=01CRU&amp;lang=en_US&amp;offset=0&amp;query=any,contains,991001671609702656","Catalog Record")</f>
        <v/>
      </c>
      <c r="AT316">
        <f>HYPERLINK("http://www.worldcat.org/oclc/21294814","WorldCat Record")</f>
        <v/>
      </c>
      <c r="AU316" t="inlineStr">
        <is>
          <t>190479778:eng</t>
        </is>
      </c>
      <c r="AV316" t="inlineStr">
        <is>
          <t>21294814</t>
        </is>
      </c>
      <c r="AW316" t="inlineStr">
        <is>
          <t>991001671609702656</t>
        </is>
      </c>
      <c r="AX316" t="inlineStr">
        <is>
          <t>991001671609702656</t>
        </is>
      </c>
      <c r="AY316" t="inlineStr">
        <is>
          <t>2267582300002656</t>
        </is>
      </c>
      <c r="AZ316" t="inlineStr">
        <is>
          <t>BOOK</t>
        </is>
      </c>
      <c r="BB316" t="inlineStr">
        <is>
          <t>9780520068421</t>
        </is>
      </c>
      <c r="BC316" t="inlineStr">
        <is>
          <t>32285000661677</t>
        </is>
      </c>
      <c r="BD316" t="inlineStr">
        <is>
          <t>893414391</t>
        </is>
      </c>
      <c r="BE316" t="inlineStr">
        <is>
          <t>AM Nelson</t>
        </is>
      </c>
    </row>
    <row r="317">
      <c r="A317" t="inlineStr">
        <is>
          <t>No</t>
        </is>
      </c>
      <c r="B317" t="inlineStr">
        <is>
          <t>N6537.A675 A4 1985</t>
        </is>
      </c>
      <c r="C317" t="inlineStr">
        <is>
          <t>0                      N  6537000A  675                A  4           1985</t>
        </is>
      </c>
      <c r="D317" t="inlineStr">
        <is>
          <t>Robert Arneson : a retrospective / Neal Benezra.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Benezra, Neal David, 1953-</t>
        </is>
      </c>
      <c r="L317" t="inlineStr">
        <is>
          <t>Des Moines, Iowa : Des Moines Art Center, c1985.</t>
        </is>
      </c>
      <c r="M317" t="inlineStr">
        <is>
          <t>1985</t>
        </is>
      </c>
      <c r="O317" t="inlineStr">
        <is>
          <t>eng</t>
        </is>
      </c>
      <c r="P317" t="inlineStr">
        <is>
          <t>iau</t>
        </is>
      </c>
      <c r="R317" t="inlineStr">
        <is>
          <t xml:space="preserve">N  </t>
        </is>
      </c>
      <c r="S317" t="n">
        <v>6</v>
      </c>
      <c r="T317" t="n">
        <v>6</v>
      </c>
      <c r="U317" t="inlineStr">
        <is>
          <t>2007-03-14</t>
        </is>
      </c>
      <c r="V317" t="inlineStr">
        <is>
          <t>2007-03-14</t>
        </is>
      </c>
      <c r="W317" t="inlineStr">
        <is>
          <t>1990-08-27</t>
        </is>
      </c>
      <c r="X317" t="inlineStr">
        <is>
          <t>1990-08-27</t>
        </is>
      </c>
      <c r="Y317" t="n">
        <v>616</v>
      </c>
      <c r="Z317" t="n">
        <v>566</v>
      </c>
      <c r="AA317" t="n">
        <v>568</v>
      </c>
      <c r="AB317" t="n">
        <v>4</v>
      </c>
      <c r="AC317" t="n">
        <v>4</v>
      </c>
      <c r="AD317" t="n">
        <v>14</v>
      </c>
      <c r="AE317" t="n">
        <v>14</v>
      </c>
      <c r="AF317" t="n">
        <v>5</v>
      </c>
      <c r="AG317" t="n">
        <v>5</v>
      </c>
      <c r="AH317" t="n">
        <v>3</v>
      </c>
      <c r="AI317" t="n">
        <v>3</v>
      </c>
      <c r="AJ317" t="n">
        <v>6</v>
      </c>
      <c r="AK317" t="n">
        <v>6</v>
      </c>
      <c r="AL317" t="n">
        <v>2</v>
      </c>
      <c r="AM317" t="n">
        <v>2</v>
      </c>
      <c r="AN317" t="n">
        <v>0</v>
      </c>
      <c r="AO317" t="n">
        <v>0</v>
      </c>
      <c r="AP317" t="inlineStr">
        <is>
          <t>No</t>
        </is>
      </c>
      <c r="AQ317" t="inlineStr">
        <is>
          <t>Yes</t>
        </is>
      </c>
      <c r="AR317">
        <f>HYPERLINK("http://catalog.hathitrust.org/Record/000477959","HathiTrust Record")</f>
        <v/>
      </c>
      <c r="AS317">
        <f>HYPERLINK("https://creighton-primo.hosted.exlibrisgroup.com/primo-explore/search?tab=default_tab&amp;search_scope=EVERYTHING&amp;vid=01CRU&amp;lang=en_US&amp;offset=0&amp;query=any,contains,991000838169702656","Catalog Record")</f>
        <v/>
      </c>
      <c r="AT317">
        <f>HYPERLINK("http://www.worldcat.org/oclc/13508868","WorldCat Record")</f>
        <v/>
      </c>
      <c r="AU317" t="inlineStr">
        <is>
          <t>1812845828:eng</t>
        </is>
      </c>
      <c r="AV317" t="inlineStr">
        <is>
          <t>13508868</t>
        </is>
      </c>
      <c r="AW317" t="inlineStr">
        <is>
          <t>991000838169702656</t>
        </is>
      </c>
      <c r="AX317" t="inlineStr">
        <is>
          <t>991000838169702656</t>
        </is>
      </c>
      <c r="AY317" t="inlineStr">
        <is>
          <t>2268077690002656</t>
        </is>
      </c>
      <c r="AZ317" t="inlineStr">
        <is>
          <t>BOOK</t>
        </is>
      </c>
      <c r="BB317" t="inlineStr">
        <is>
          <t>9780961461515</t>
        </is>
      </c>
      <c r="BC317" t="inlineStr">
        <is>
          <t>32285000244995</t>
        </is>
      </c>
      <c r="BD317" t="inlineStr">
        <is>
          <t>893626469</t>
        </is>
      </c>
      <c r="BE317" t="inlineStr">
        <is>
          <t>AM Nelson</t>
        </is>
      </c>
    </row>
    <row r="318">
      <c r="A318" t="inlineStr">
        <is>
          <t>No</t>
        </is>
      </c>
      <c r="B318" t="inlineStr">
        <is>
          <t>N6537.C48 A4 1985</t>
        </is>
      </c>
      <c r="C318" t="inlineStr">
        <is>
          <t>0                      N  6537000C  48                 A  4           1985</t>
        </is>
      </c>
      <c r="D318" t="inlineStr">
        <is>
          <t>The birth project / by Judy Chicago.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Chicago, Judy, 1939-</t>
        </is>
      </c>
      <c r="L318" t="inlineStr">
        <is>
          <t>Garden City, N.Y. : Doubleday, 1985.</t>
        </is>
      </c>
      <c r="M318" t="inlineStr">
        <is>
          <t>1985</t>
        </is>
      </c>
      <c r="O318" t="inlineStr">
        <is>
          <t>eng</t>
        </is>
      </c>
      <c r="P318" t="inlineStr">
        <is>
          <t>nyu</t>
        </is>
      </c>
      <c r="R318" t="inlineStr">
        <is>
          <t xml:space="preserve">N  </t>
        </is>
      </c>
      <c r="S318" t="n">
        <v>7</v>
      </c>
      <c r="T318" t="n">
        <v>7</v>
      </c>
      <c r="U318" t="inlineStr">
        <is>
          <t>2010-10-20</t>
        </is>
      </c>
      <c r="V318" t="inlineStr">
        <is>
          <t>2010-10-20</t>
        </is>
      </c>
      <c r="W318" t="inlineStr">
        <is>
          <t>1990-04-06</t>
        </is>
      </c>
      <c r="X318" t="inlineStr">
        <is>
          <t>1990-04-06</t>
        </is>
      </c>
      <c r="Y318" t="n">
        <v>880</v>
      </c>
      <c r="Z318" t="n">
        <v>782</v>
      </c>
      <c r="AA318" t="n">
        <v>787</v>
      </c>
      <c r="AB318" t="n">
        <v>8</v>
      </c>
      <c r="AC318" t="n">
        <v>8</v>
      </c>
      <c r="AD318" t="n">
        <v>20</v>
      </c>
      <c r="AE318" t="n">
        <v>20</v>
      </c>
      <c r="AF318" t="n">
        <v>5</v>
      </c>
      <c r="AG318" t="n">
        <v>5</v>
      </c>
      <c r="AH318" t="n">
        <v>5</v>
      </c>
      <c r="AI318" t="n">
        <v>5</v>
      </c>
      <c r="AJ318" t="n">
        <v>9</v>
      </c>
      <c r="AK318" t="n">
        <v>9</v>
      </c>
      <c r="AL318" t="n">
        <v>6</v>
      </c>
      <c r="AM318" t="n">
        <v>6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HYPERLINK("http://catalog.hathitrust.org/Record/000347229","HathiTrust Record")</f>
        <v/>
      </c>
      <c r="AS318">
        <f>HYPERLINK("https://creighton-primo.hosted.exlibrisgroup.com/primo-explore/search?tab=default_tab&amp;search_scope=EVERYTHING&amp;vid=01CRU&amp;lang=en_US&amp;offset=0&amp;query=any,contains,991000499089702656","Catalog Record")</f>
        <v/>
      </c>
      <c r="AT318">
        <f>HYPERLINK("http://www.worldcat.org/oclc/11159627","WorldCat Record")</f>
        <v/>
      </c>
      <c r="AU318" t="inlineStr">
        <is>
          <t>3859804:eng</t>
        </is>
      </c>
      <c r="AV318" t="inlineStr">
        <is>
          <t>11159627</t>
        </is>
      </c>
      <c r="AW318" t="inlineStr">
        <is>
          <t>991000499089702656</t>
        </is>
      </c>
      <c r="AX318" t="inlineStr">
        <is>
          <t>991000499089702656</t>
        </is>
      </c>
      <c r="AY318" t="inlineStr">
        <is>
          <t>2257947030002656</t>
        </is>
      </c>
      <c r="AZ318" t="inlineStr">
        <is>
          <t>BOOK</t>
        </is>
      </c>
      <c r="BB318" t="inlineStr">
        <is>
          <t>9780385187091</t>
        </is>
      </c>
      <c r="BC318" t="inlineStr">
        <is>
          <t>32285000111848</t>
        </is>
      </c>
      <c r="BD318" t="inlineStr">
        <is>
          <t>893595596</t>
        </is>
      </c>
      <c r="BE318" t="inlineStr">
        <is>
          <t>AM Nelson</t>
        </is>
      </c>
    </row>
    <row r="319">
      <c r="A319" t="inlineStr">
        <is>
          <t>No</t>
        </is>
      </c>
      <c r="B319" t="inlineStr">
        <is>
          <t>N6537.H4 L56</t>
        </is>
      </c>
      <c r="C319" t="inlineStr">
        <is>
          <t>0                      N  6537000H  4                  L  56</t>
        </is>
      </c>
      <c r="D319" t="inlineStr">
        <is>
          <t>Eva Hesse / Lucy R. Lippard.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Lippard, Lucy R.</t>
        </is>
      </c>
      <c r="L319" t="inlineStr">
        <is>
          <t>New York : New York University Press, 1976.</t>
        </is>
      </c>
      <c r="M319" t="inlineStr">
        <is>
          <t>1976</t>
        </is>
      </c>
      <c r="O319" t="inlineStr">
        <is>
          <t>eng</t>
        </is>
      </c>
      <c r="P319" t="inlineStr">
        <is>
          <t>nyu</t>
        </is>
      </c>
      <c r="R319" t="inlineStr">
        <is>
          <t xml:space="preserve">N  </t>
        </is>
      </c>
      <c r="S319" t="n">
        <v>14</v>
      </c>
      <c r="T319" t="n">
        <v>14</v>
      </c>
      <c r="U319" t="inlineStr">
        <is>
          <t>2009-02-18</t>
        </is>
      </c>
      <c r="V319" t="inlineStr">
        <is>
          <t>2009-02-18</t>
        </is>
      </c>
      <c r="W319" t="inlineStr">
        <is>
          <t>1990-08-13</t>
        </is>
      </c>
      <c r="X319" t="inlineStr">
        <is>
          <t>1990-08-13</t>
        </is>
      </c>
      <c r="Y319" t="n">
        <v>928</v>
      </c>
      <c r="Z319" t="n">
        <v>796</v>
      </c>
      <c r="AA319" t="n">
        <v>935</v>
      </c>
      <c r="AB319" t="n">
        <v>7</v>
      </c>
      <c r="AC319" t="n">
        <v>7</v>
      </c>
      <c r="AD319" t="n">
        <v>26</v>
      </c>
      <c r="AE319" t="n">
        <v>31</v>
      </c>
      <c r="AF319" t="n">
        <v>10</v>
      </c>
      <c r="AG319" t="n">
        <v>13</v>
      </c>
      <c r="AH319" t="n">
        <v>6</v>
      </c>
      <c r="AI319" t="n">
        <v>7</v>
      </c>
      <c r="AJ319" t="n">
        <v>9</v>
      </c>
      <c r="AK319" t="n">
        <v>11</v>
      </c>
      <c r="AL319" t="n">
        <v>5</v>
      </c>
      <c r="AM319" t="n">
        <v>5</v>
      </c>
      <c r="AN319" t="n">
        <v>0</v>
      </c>
      <c r="AO319" t="n">
        <v>0</v>
      </c>
      <c r="AP319" t="inlineStr">
        <is>
          <t>No</t>
        </is>
      </c>
      <c r="AQ319" t="inlineStr">
        <is>
          <t>No</t>
        </is>
      </c>
      <c r="AS319">
        <f>HYPERLINK("https://creighton-primo.hosted.exlibrisgroup.com/primo-explore/search?tab=default_tab&amp;search_scope=EVERYTHING&amp;vid=01CRU&amp;lang=en_US&amp;offset=0&amp;query=any,contains,991004233849702656","Catalog Record")</f>
        <v/>
      </c>
      <c r="AT319">
        <f>HYPERLINK("http://www.worldcat.org/oclc/2757814","WorldCat Record")</f>
        <v/>
      </c>
      <c r="AU319" t="inlineStr">
        <is>
          <t>2070226765:eng</t>
        </is>
      </c>
      <c r="AV319" t="inlineStr">
        <is>
          <t>2757814</t>
        </is>
      </c>
      <c r="AW319" t="inlineStr">
        <is>
          <t>991004233849702656</t>
        </is>
      </c>
      <c r="AX319" t="inlineStr">
        <is>
          <t>991004233849702656</t>
        </is>
      </c>
      <c r="AY319" t="inlineStr">
        <is>
          <t>2261173260002656</t>
        </is>
      </c>
      <c r="AZ319" t="inlineStr">
        <is>
          <t>BOOK</t>
        </is>
      </c>
      <c r="BB319" t="inlineStr">
        <is>
          <t>9780814749715</t>
        </is>
      </c>
      <c r="BC319" t="inlineStr">
        <is>
          <t>32285000273150</t>
        </is>
      </c>
      <c r="BD319" t="inlineStr">
        <is>
          <t>893247325</t>
        </is>
      </c>
      <c r="BE319" t="inlineStr">
        <is>
          <t>AM Nelson</t>
        </is>
      </c>
    </row>
    <row r="320">
      <c r="A320" t="inlineStr">
        <is>
          <t>No</t>
        </is>
      </c>
      <c r="B320" t="inlineStr">
        <is>
          <t>N6537.O39 H64 1992</t>
        </is>
      </c>
      <c r="C320" t="inlineStr">
        <is>
          <t>0                      N  6537000O  39                 H  64          1992</t>
        </is>
      </c>
      <c r="D320" t="inlineStr">
        <is>
          <t>O'Keeffe : the life of an American legend / by Jeffrey Hogrefe.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Hogrefe, Jeffrey.</t>
        </is>
      </c>
      <c r="L320" t="inlineStr">
        <is>
          <t>New York, N.Y. : Bantam Books, 1992.</t>
        </is>
      </c>
      <c r="M320" t="inlineStr">
        <is>
          <t>1992</t>
        </is>
      </c>
      <c r="O320" t="inlineStr">
        <is>
          <t>eng</t>
        </is>
      </c>
      <c r="P320" t="inlineStr">
        <is>
          <t>nyu</t>
        </is>
      </c>
      <c r="R320" t="inlineStr">
        <is>
          <t xml:space="preserve">N  </t>
        </is>
      </c>
      <c r="S320" t="n">
        <v>3</v>
      </c>
      <c r="T320" t="n">
        <v>3</v>
      </c>
      <c r="U320" t="inlineStr">
        <is>
          <t>1992-10-08</t>
        </is>
      </c>
      <c r="V320" t="inlineStr">
        <is>
          <t>1992-10-08</t>
        </is>
      </c>
      <c r="W320" t="inlineStr">
        <is>
          <t>1992-09-09</t>
        </is>
      </c>
      <c r="X320" t="inlineStr">
        <is>
          <t>1992-09-09</t>
        </is>
      </c>
      <c r="Y320" t="n">
        <v>1107</v>
      </c>
      <c r="Z320" t="n">
        <v>1045</v>
      </c>
      <c r="AA320" t="n">
        <v>1145</v>
      </c>
      <c r="AB320" t="n">
        <v>9</v>
      </c>
      <c r="AC320" t="n">
        <v>9</v>
      </c>
      <c r="AD320" t="n">
        <v>23</v>
      </c>
      <c r="AE320" t="n">
        <v>25</v>
      </c>
      <c r="AF320" t="n">
        <v>9</v>
      </c>
      <c r="AG320" t="n">
        <v>9</v>
      </c>
      <c r="AH320" t="n">
        <v>6</v>
      </c>
      <c r="AI320" t="n">
        <v>6</v>
      </c>
      <c r="AJ320" t="n">
        <v>8</v>
      </c>
      <c r="AK320" t="n">
        <v>10</v>
      </c>
      <c r="AL320" t="n">
        <v>5</v>
      </c>
      <c r="AM320" t="n">
        <v>5</v>
      </c>
      <c r="AN320" t="n">
        <v>0</v>
      </c>
      <c r="AO320" t="n">
        <v>0</v>
      </c>
      <c r="AP320" t="inlineStr">
        <is>
          <t>No</t>
        </is>
      </c>
      <c r="AQ320" t="inlineStr">
        <is>
          <t>No</t>
        </is>
      </c>
      <c r="AS320">
        <f>HYPERLINK("https://creighton-primo.hosted.exlibrisgroup.com/primo-explore/search?tab=default_tab&amp;search_scope=EVERYTHING&amp;vid=01CRU&amp;lang=en_US&amp;offset=0&amp;query=any,contains,991001984889702656","Catalog Record")</f>
        <v/>
      </c>
      <c r="AT320">
        <f>HYPERLINK("http://www.worldcat.org/oclc/25201493","WorldCat Record")</f>
        <v/>
      </c>
      <c r="AU320" t="inlineStr">
        <is>
          <t>27599633:eng</t>
        </is>
      </c>
      <c r="AV320" t="inlineStr">
        <is>
          <t>25201493</t>
        </is>
      </c>
      <c r="AW320" t="inlineStr">
        <is>
          <t>991001984889702656</t>
        </is>
      </c>
      <c r="AX320" t="inlineStr">
        <is>
          <t>991001984889702656</t>
        </is>
      </c>
      <c r="AY320" t="inlineStr">
        <is>
          <t>2265642060002656</t>
        </is>
      </c>
      <c r="AZ320" t="inlineStr">
        <is>
          <t>BOOK</t>
        </is>
      </c>
      <c r="BB320" t="inlineStr">
        <is>
          <t>9780553081169</t>
        </is>
      </c>
      <c r="BC320" t="inlineStr">
        <is>
          <t>32285001286847</t>
        </is>
      </c>
      <c r="BD320" t="inlineStr">
        <is>
          <t>893232443</t>
        </is>
      </c>
      <c r="BE320" t="inlineStr">
        <is>
          <t>AM Nelson</t>
        </is>
      </c>
    </row>
    <row r="321">
      <c r="A321" t="inlineStr">
        <is>
          <t>No</t>
        </is>
      </c>
      <c r="B321" t="inlineStr">
        <is>
          <t>N6537.O39 P65 1988</t>
        </is>
      </c>
      <c r="C321" t="inlineStr">
        <is>
          <t>0                      N  6537000O  39                 P  65          1988</t>
        </is>
      </c>
      <c r="D321" t="inlineStr">
        <is>
          <t>A woman on paper : Georgia O'Keeffe / by Anita Pollitzer ; introduction by Kay Boyle.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Pollitzer, Anita, 1894-1975.</t>
        </is>
      </c>
      <c r="L321" t="inlineStr">
        <is>
          <t>New York : Simon &amp; Schuster, c1988.</t>
        </is>
      </c>
      <c r="M321" t="inlineStr">
        <is>
          <t>1988</t>
        </is>
      </c>
      <c r="O321" t="inlineStr">
        <is>
          <t>eng</t>
        </is>
      </c>
      <c r="P321" t="inlineStr">
        <is>
          <t>nyu</t>
        </is>
      </c>
      <c r="Q321" t="inlineStr">
        <is>
          <t>A Touchstone book</t>
        </is>
      </c>
      <c r="R321" t="inlineStr">
        <is>
          <t xml:space="preserve">N  </t>
        </is>
      </c>
      <c r="S321" t="n">
        <v>6</v>
      </c>
      <c r="T321" t="n">
        <v>6</v>
      </c>
      <c r="U321" t="inlineStr">
        <is>
          <t>2005-03-07</t>
        </is>
      </c>
      <c r="V321" t="inlineStr">
        <is>
          <t>2005-03-07</t>
        </is>
      </c>
      <c r="W321" t="inlineStr">
        <is>
          <t>1993-04-23</t>
        </is>
      </c>
      <c r="X321" t="inlineStr">
        <is>
          <t>1993-04-23</t>
        </is>
      </c>
      <c r="Y321" t="n">
        <v>1285</v>
      </c>
      <c r="Z321" t="n">
        <v>1201</v>
      </c>
      <c r="AA321" t="n">
        <v>1205</v>
      </c>
      <c r="AB321" t="n">
        <v>9</v>
      </c>
      <c r="AC321" t="n">
        <v>9</v>
      </c>
      <c r="AD321" t="n">
        <v>35</v>
      </c>
      <c r="AE321" t="n">
        <v>35</v>
      </c>
      <c r="AF321" t="n">
        <v>14</v>
      </c>
      <c r="AG321" t="n">
        <v>14</v>
      </c>
      <c r="AH321" t="n">
        <v>7</v>
      </c>
      <c r="AI321" t="n">
        <v>7</v>
      </c>
      <c r="AJ321" t="n">
        <v>15</v>
      </c>
      <c r="AK321" t="n">
        <v>15</v>
      </c>
      <c r="AL321" t="n">
        <v>6</v>
      </c>
      <c r="AM321" t="n">
        <v>6</v>
      </c>
      <c r="AN321" t="n">
        <v>0</v>
      </c>
      <c r="AO321" t="n">
        <v>0</v>
      </c>
      <c r="AP321" t="inlineStr">
        <is>
          <t>No</t>
        </is>
      </c>
      <c r="AQ321" t="inlineStr">
        <is>
          <t>No</t>
        </is>
      </c>
      <c r="AS321">
        <f>HYPERLINK("https://creighton-primo.hosted.exlibrisgroup.com/primo-explore/search?tab=default_tab&amp;search_scope=EVERYTHING&amp;vid=01CRU&amp;lang=en_US&amp;offset=0&amp;query=any,contains,991001291119702656","Catalog Record")</f>
        <v/>
      </c>
      <c r="AT321">
        <f>HYPERLINK("http://www.worldcat.org/oclc/17983619","WorldCat Record")</f>
        <v/>
      </c>
      <c r="AU321" t="inlineStr">
        <is>
          <t>198687965:eng</t>
        </is>
      </c>
      <c r="AV321" t="inlineStr">
        <is>
          <t>17983619</t>
        </is>
      </c>
      <c r="AW321" t="inlineStr">
        <is>
          <t>991001291119702656</t>
        </is>
      </c>
      <c r="AX321" t="inlineStr">
        <is>
          <t>991001291119702656</t>
        </is>
      </c>
      <c r="AY321" t="inlineStr">
        <is>
          <t>2258802300002656</t>
        </is>
      </c>
      <c r="AZ321" t="inlineStr">
        <is>
          <t>BOOK</t>
        </is>
      </c>
      <c r="BB321" t="inlineStr">
        <is>
          <t>9780671662424</t>
        </is>
      </c>
      <c r="BC321" t="inlineStr">
        <is>
          <t>32285001624781</t>
        </is>
      </c>
      <c r="BD321" t="inlineStr">
        <is>
          <t>893621241</t>
        </is>
      </c>
      <c r="BE321" t="inlineStr">
        <is>
          <t>AM Nelson</t>
        </is>
      </c>
    </row>
    <row r="322">
      <c r="A322" t="inlineStr">
        <is>
          <t>No</t>
        </is>
      </c>
      <c r="B322" t="inlineStr">
        <is>
          <t>N7350 .A75 1965</t>
        </is>
      </c>
      <c r="C322" t="inlineStr">
        <is>
          <t>0                      N  7350000A  75          1965</t>
        </is>
      </c>
      <c r="D322" t="inlineStr">
        <is>
          <t>Mingei : folk arts of old Japan / by Hugo Munsterberg.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Munsterberg, Hugo, 1916-1995.</t>
        </is>
      </c>
      <c r="L322" t="inlineStr">
        <is>
          <t>[New York] : Asia Society, Inc. ; Distributed by H.N. Abrams, 1965.</t>
        </is>
      </c>
      <c r="M322" t="inlineStr">
        <is>
          <t>1965</t>
        </is>
      </c>
      <c r="O322" t="inlineStr">
        <is>
          <t>eng</t>
        </is>
      </c>
      <c r="P322" t="inlineStr">
        <is>
          <t>nyu</t>
        </is>
      </c>
      <c r="R322" t="inlineStr">
        <is>
          <t xml:space="preserve">N  </t>
        </is>
      </c>
      <c r="S322" t="n">
        <v>1</v>
      </c>
      <c r="T322" t="n">
        <v>1</v>
      </c>
      <c r="U322" t="inlineStr">
        <is>
          <t>2007-02-01</t>
        </is>
      </c>
      <c r="V322" t="inlineStr">
        <is>
          <t>2007-02-01</t>
        </is>
      </c>
      <c r="W322" t="inlineStr">
        <is>
          <t>2007-02-01</t>
        </is>
      </c>
      <c r="X322" t="inlineStr">
        <is>
          <t>2007-02-01</t>
        </is>
      </c>
      <c r="Y322" t="n">
        <v>386</v>
      </c>
      <c r="Z322" t="n">
        <v>359</v>
      </c>
      <c r="AA322" t="n">
        <v>363</v>
      </c>
      <c r="AB322" t="n">
        <v>3</v>
      </c>
      <c r="AC322" t="n">
        <v>3</v>
      </c>
      <c r="AD322" t="n">
        <v>12</v>
      </c>
      <c r="AE322" t="n">
        <v>12</v>
      </c>
      <c r="AF322" t="n">
        <v>5</v>
      </c>
      <c r="AG322" t="n">
        <v>5</v>
      </c>
      <c r="AH322" t="n">
        <v>4</v>
      </c>
      <c r="AI322" t="n">
        <v>4</v>
      </c>
      <c r="AJ322" t="n">
        <v>5</v>
      </c>
      <c r="AK322" t="n">
        <v>5</v>
      </c>
      <c r="AL322" t="n">
        <v>1</v>
      </c>
      <c r="AM322" t="n">
        <v>1</v>
      </c>
      <c r="AN322" t="n">
        <v>0</v>
      </c>
      <c r="AO322" t="n">
        <v>0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HYPERLINK("http://catalog.hathitrust.org/Record/000408729","HathiTrust Record")</f>
        <v/>
      </c>
      <c r="AS322">
        <f>HYPERLINK("https://creighton-primo.hosted.exlibrisgroup.com/primo-explore/search?tab=default_tab&amp;search_scope=EVERYTHING&amp;vid=01CRU&amp;lang=en_US&amp;offset=0&amp;query=any,contains,991005032749702656","Catalog Record")</f>
        <v/>
      </c>
      <c r="AT322">
        <f>HYPERLINK("http://www.worldcat.org/oclc/669573","WorldCat Record")</f>
        <v/>
      </c>
      <c r="AU322" t="inlineStr">
        <is>
          <t>793279171:eng</t>
        </is>
      </c>
      <c r="AV322" t="inlineStr">
        <is>
          <t>669573</t>
        </is>
      </c>
      <c r="AW322" t="inlineStr">
        <is>
          <t>991005032749702656</t>
        </is>
      </c>
      <c r="AX322" t="inlineStr">
        <is>
          <t>991005032749702656</t>
        </is>
      </c>
      <c r="AY322" t="inlineStr">
        <is>
          <t>2256156800002656</t>
        </is>
      </c>
      <c r="AZ322" t="inlineStr">
        <is>
          <t>BOOK</t>
        </is>
      </c>
      <c r="BC322" t="inlineStr">
        <is>
          <t>32285005274492</t>
        </is>
      </c>
      <c r="BD322" t="inlineStr">
        <is>
          <t>893520313</t>
        </is>
      </c>
      <c r="BE322" t="inlineStr">
        <is>
          <t>AM Nelson</t>
        </is>
      </c>
    </row>
    <row r="323">
      <c r="A323" t="inlineStr">
        <is>
          <t>No</t>
        </is>
      </c>
      <c r="B323" t="inlineStr">
        <is>
          <t>N7428 .L56 1983</t>
        </is>
      </c>
      <c r="C323" t="inlineStr">
        <is>
          <t>0                      N  7428000L  56          1983</t>
        </is>
      </c>
      <c r="D323" t="inlineStr">
        <is>
          <t>Overlay : contemporary art and the art of prehistory / by Lucy R. Lippard.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K323" t="inlineStr">
        <is>
          <t>Lippard, Lucy R.</t>
        </is>
      </c>
      <c r="L323" t="inlineStr">
        <is>
          <t>New York : Pantheon Books, c1983.</t>
        </is>
      </c>
      <c r="M323" t="inlineStr">
        <is>
          <t>1983</t>
        </is>
      </c>
      <c r="N323" t="inlineStr">
        <is>
          <t>1st ed.</t>
        </is>
      </c>
      <c r="O323" t="inlineStr">
        <is>
          <t>eng</t>
        </is>
      </c>
      <c r="P323" t="inlineStr">
        <is>
          <t>nyu</t>
        </is>
      </c>
      <c r="R323" t="inlineStr">
        <is>
          <t xml:space="preserve">N  </t>
        </is>
      </c>
      <c r="S323" t="n">
        <v>4</v>
      </c>
      <c r="T323" t="n">
        <v>4</v>
      </c>
      <c r="U323" t="inlineStr">
        <is>
          <t>2004-04-10</t>
        </is>
      </c>
      <c r="V323" t="inlineStr">
        <is>
          <t>2004-04-10</t>
        </is>
      </c>
      <c r="W323" t="inlineStr">
        <is>
          <t>1990-04-12</t>
        </is>
      </c>
      <c r="X323" t="inlineStr">
        <is>
          <t>1990-04-12</t>
        </is>
      </c>
      <c r="Y323" t="n">
        <v>957</v>
      </c>
      <c r="Z323" t="n">
        <v>804</v>
      </c>
      <c r="AA323" t="n">
        <v>933</v>
      </c>
      <c r="AB323" t="n">
        <v>10</v>
      </c>
      <c r="AC323" t="n">
        <v>10</v>
      </c>
      <c r="AD323" t="n">
        <v>27</v>
      </c>
      <c r="AE323" t="n">
        <v>32</v>
      </c>
      <c r="AF323" t="n">
        <v>10</v>
      </c>
      <c r="AG323" t="n">
        <v>13</v>
      </c>
      <c r="AH323" t="n">
        <v>5</v>
      </c>
      <c r="AI323" t="n">
        <v>6</v>
      </c>
      <c r="AJ323" t="n">
        <v>10</v>
      </c>
      <c r="AK323" t="n">
        <v>12</v>
      </c>
      <c r="AL323" t="n">
        <v>7</v>
      </c>
      <c r="AM323" t="n">
        <v>7</v>
      </c>
      <c r="AN323" t="n">
        <v>0</v>
      </c>
      <c r="AO323" t="n">
        <v>0</v>
      </c>
      <c r="AP323" t="inlineStr">
        <is>
          <t>No</t>
        </is>
      </c>
      <c r="AQ323" t="inlineStr">
        <is>
          <t>Yes</t>
        </is>
      </c>
      <c r="AR323">
        <f>HYPERLINK("http://catalog.hathitrust.org/Record/000152330","HathiTrust Record")</f>
        <v/>
      </c>
      <c r="AS323">
        <f>HYPERLINK("https://creighton-primo.hosted.exlibrisgroup.com/primo-explore/search?tab=default_tab&amp;search_scope=EVERYTHING&amp;vid=01CRU&amp;lang=en_US&amp;offset=0&amp;query=any,contains,991000124409702656","Catalog Record")</f>
        <v/>
      </c>
      <c r="AT323">
        <f>HYPERLINK("http://www.worldcat.org/oclc/9082129","WorldCat Record")</f>
        <v/>
      </c>
      <c r="AU323" t="inlineStr">
        <is>
          <t>34098542:eng</t>
        </is>
      </c>
      <c r="AV323" t="inlineStr">
        <is>
          <t>9082129</t>
        </is>
      </c>
      <c r="AW323" t="inlineStr">
        <is>
          <t>991000124409702656</t>
        </is>
      </c>
      <c r="AX323" t="inlineStr">
        <is>
          <t>991000124409702656</t>
        </is>
      </c>
      <c r="AY323" t="inlineStr">
        <is>
          <t>2255900760002656</t>
        </is>
      </c>
      <c r="AZ323" t="inlineStr">
        <is>
          <t>BOOK</t>
        </is>
      </c>
      <c r="BB323" t="inlineStr">
        <is>
          <t>9780394711454</t>
        </is>
      </c>
      <c r="BC323" t="inlineStr">
        <is>
          <t>32285000122100</t>
        </is>
      </c>
      <c r="BD323" t="inlineStr">
        <is>
          <t>893237089</t>
        </is>
      </c>
      <c r="BE323" t="inlineStr">
        <is>
          <t>AM Nelson</t>
        </is>
      </c>
    </row>
    <row r="324">
      <c r="A324" t="inlineStr">
        <is>
          <t>No</t>
        </is>
      </c>
      <c r="B324" t="inlineStr">
        <is>
          <t>N7445.2 .G74 1988</t>
        </is>
      </c>
      <c r="C324" t="inlineStr">
        <is>
          <t>0                      N  7445200G  74          1988</t>
        </is>
      </c>
      <c r="D324" t="inlineStr">
        <is>
          <t>The collected essays and criticism / Clement Greenberg ; edited by John O'Brian.</t>
        </is>
      </c>
      <c r="E324" t="inlineStr">
        <is>
          <t>V. 3</t>
        </is>
      </c>
      <c r="F324" t="inlineStr">
        <is>
          <t>Yes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Greenberg, Clement, 1909-1994.</t>
        </is>
      </c>
      <c r="L324" t="inlineStr">
        <is>
          <t>Chicago : University of Chicago Press, 1988-</t>
        </is>
      </c>
      <c r="M324" t="inlineStr">
        <is>
          <t>1988</t>
        </is>
      </c>
      <c r="O324" t="inlineStr">
        <is>
          <t>eng</t>
        </is>
      </c>
      <c r="P324" t="inlineStr">
        <is>
          <t>ilu</t>
        </is>
      </c>
      <c r="R324" t="inlineStr">
        <is>
          <t xml:space="preserve">N  </t>
        </is>
      </c>
      <c r="S324" t="n">
        <v>1</v>
      </c>
      <c r="T324" t="n">
        <v>3</v>
      </c>
      <c r="U324" t="inlineStr">
        <is>
          <t>2007-10-25</t>
        </is>
      </c>
      <c r="V324" t="inlineStr">
        <is>
          <t>2007-10-25</t>
        </is>
      </c>
      <c r="W324" t="inlineStr">
        <is>
          <t>2007-10-25</t>
        </is>
      </c>
      <c r="X324" t="inlineStr">
        <is>
          <t>2007-10-25</t>
        </is>
      </c>
      <c r="Y324" t="n">
        <v>51</v>
      </c>
      <c r="Z324" t="n">
        <v>41</v>
      </c>
      <c r="AA324" t="n">
        <v>681</v>
      </c>
      <c r="AB324" t="n">
        <v>1</v>
      </c>
      <c r="AC324" t="n">
        <v>6</v>
      </c>
      <c r="AD324" t="n">
        <v>4</v>
      </c>
      <c r="AE324" t="n">
        <v>36</v>
      </c>
      <c r="AF324" t="n">
        <v>4</v>
      </c>
      <c r="AG324" t="n">
        <v>17</v>
      </c>
      <c r="AH324" t="n">
        <v>0</v>
      </c>
      <c r="AI324" t="n">
        <v>7</v>
      </c>
      <c r="AJ324" t="n">
        <v>1</v>
      </c>
      <c r="AK324" t="n">
        <v>16</v>
      </c>
      <c r="AL324" t="n">
        <v>0</v>
      </c>
      <c r="AM324" t="n">
        <v>4</v>
      </c>
      <c r="AN324" t="n">
        <v>0</v>
      </c>
      <c r="AO324" t="n">
        <v>0</v>
      </c>
      <c r="AP324" t="inlineStr">
        <is>
          <t>No</t>
        </is>
      </c>
      <c r="AQ324" t="inlineStr">
        <is>
          <t>No</t>
        </is>
      </c>
      <c r="AS324">
        <f>HYPERLINK("https://creighton-primo.hosted.exlibrisgroup.com/primo-explore/search?tab=default_tab&amp;search_scope=EVERYTHING&amp;vid=01CRU&amp;lang=en_US&amp;offset=0&amp;query=any,contains,991004939929702656","Catalog Record")</f>
        <v/>
      </c>
      <c r="AT324">
        <f>HYPERLINK("http://www.worldcat.org/oclc/34057648","WorldCat Record")</f>
        <v/>
      </c>
      <c r="AU324" t="inlineStr">
        <is>
          <t>5218105348:eng</t>
        </is>
      </c>
      <c r="AV324" t="inlineStr">
        <is>
          <t>34057648</t>
        </is>
      </c>
      <c r="AW324" t="inlineStr">
        <is>
          <t>991004939929702656</t>
        </is>
      </c>
      <c r="AX324" t="inlineStr">
        <is>
          <t>991004939929702656</t>
        </is>
      </c>
      <c r="AY324" t="inlineStr">
        <is>
          <t>2261196260002656</t>
        </is>
      </c>
      <c r="AZ324" t="inlineStr">
        <is>
          <t>BOOK</t>
        </is>
      </c>
      <c r="BB324" t="inlineStr">
        <is>
          <t>9780226306193</t>
        </is>
      </c>
      <c r="BC324" t="inlineStr">
        <is>
          <t>32285005361471</t>
        </is>
      </c>
      <c r="BD324" t="inlineStr">
        <is>
          <t>893795425</t>
        </is>
      </c>
      <c r="BE324" t="inlineStr">
        <is>
          <t>AM Nelson</t>
        </is>
      </c>
    </row>
    <row r="325">
      <c r="A325" t="inlineStr">
        <is>
          <t>No</t>
        </is>
      </c>
      <c r="B325" t="inlineStr">
        <is>
          <t>N7445.2 .G74 1988</t>
        </is>
      </c>
      <c r="C325" t="inlineStr">
        <is>
          <t>0                      N  7445200G  74          1988</t>
        </is>
      </c>
      <c r="D325" t="inlineStr">
        <is>
          <t>The collected essays and criticism / Clement Greenberg ; edited by John O'Brian.</t>
        </is>
      </c>
      <c r="E325" t="inlineStr">
        <is>
          <t>V. 4</t>
        </is>
      </c>
      <c r="F325" t="inlineStr">
        <is>
          <t>Yes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Greenberg, Clement, 1909-1994.</t>
        </is>
      </c>
      <c r="L325" t="inlineStr">
        <is>
          <t>Chicago : University of Chicago Press, 1988-</t>
        </is>
      </c>
      <c r="M325" t="inlineStr">
        <is>
          <t>1988</t>
        </is>
      </c>
      <c r="O325" t="inlineStr">
        <is>
          <t>eng</t>
        </is>
      </c>
      <c r="P325" t="inlineStr">
        <is>
          <t>ilu</t>
        </is>
      </c>
      <c r="R325" t="inlineStr">
        <is>
          <t xml:space="preserve">N  </t>
        </is>
      </c>
      <c r="S325" t="n">
        <v>1</v>
      </c>
      <c r="T325" t="n">
        <v>3</v>
      </c>
      <c r="U325" t="inlineStr">
        <is>
          <t>2006-10-16</t>
        </is>
      </c>
      <c r="V325" t="inlineStr">
        <is>
          <t>2007-10-25</t>
        </is>
      </c>
      <c r="W325" t="inlineStr">
        <is>
          <t>2006-10-16</t>
        </is>
      </c>
      <c r="X325" t="inlineStr">
        <is>
          <t>2007-10-25</t>
        </is>
      </c>
      <c r="Y325" t="n">
        <v>51</v>
      </c>
      <c r="Z325" t="n">
        <v>41</v>
      </c>
      <c r="AA325" t="n">
        <v>681</v>
      </c>
      <c r="AB325" t="n">
        <v>1</v>
      </c>
      <c r="AC325" t="n">
        <v>6</v>
      </c>
      <c r="AD325" t="n">
        <v>4</v>
      </c>
      <c r="AE325" t="n">
        <v>36</v>
      </c>
      <c r="AF325" t="n">
        <v>4</v>
      </c>
      <c r="AG325" t="n">
        <v>17</v>
      </c>
      <c r="AH325" t="n">
        <v>0</v>
      </c>
      <c r="AI325" t="n">
        <v>7</v>
      </c>
      <c r="AJ325" t="n">
        <v>1</v>
      </c>
      <c r="AK325" t="n">
        <v>16</v>
      </c>
      <c r="AL325" t="n">
        <v>0</v>
      </c>
      <c r="AM325" t="n">
        <v>4</v>
      </c>
      <c r="AN325" t="n">
        <v>0</v>
      </c>
      <c r="AO325" t="n">
        <v>0</v>
      </c>
      <c r="AP325" t="inlineStr">
        <is>
          <t>No</t>
        </is>
      </c>
      <c r="AQ325" t="inlineStr">
        <is>
          <t>No</t>
        </is>
      </c>
      <c r="AS325">
        <f>HYPERLINK("https://creighton-primo.hosted.exlibrisgroup.com/primo-explore/search?tab=default_tab&amp;search_scope=EVERYTHING&amp;vid=01CRU&amp;lang=en_US&amp;offset=0&amp;query=any,contains,991004939929702656","Catalog Record")</f>
        <v/>
      </c>
      <c r="AT325">
        <f>HYPERLINK("http://www.worldcat.org/oclc/34057648","WorldCat Record")</f>
        <v/>
      </c>
      <c r="AU325" t="inlineStr">
        <is>
          <t>5218105348:eng</t>
        </is>
      </c>
      <c r="AV325" t="inlineStr">
        <is>
          <t>34057648</t>
        </is>
      </c>
      <c r="AW325" t="inlineStr">
        <is>
          <t>991004939929702656</t>
        </is>
      </c>
      <c r="AX325" t="inlineStr">
        <is>
          <t>991004939929702656</t>
        </is>
      </c>
      <c r="AY325" t="inlineStr">
        <is>
          <t>2261196260002656</t>
        </is>
      </c>
      <c r="AZ325" t="inlineStr">
        <is>
          <t>BOOK</t>
        </is>
      </c>
      <c r="BB325" t="inlineStr">
        <is>
          <t>9780226306193</t>
        </is>
      </c>
      <c r="BC325" t="inlineStr">
        <is>
          <t>32285005230049</t>
        </is>
      </c>
      <c r="BD325" t="inlineStr">
        <is>
          <t>893789257</t>
        </is>
      </c>
      <c r="BE325" t="inlineStr">
        <is>
          <t>AM Nelson</t>
        </is>
      </c>
    </row>
    <row r="326">
      <c r="A326" t="inlineStr">
        <is>
          <t>No</t>
        </is>
      </c>
      <c r="B326" t="inlineStr">
        <is>
          <t>N7445.2 .S62</t>
        </is>
      </c>
      <c r="C326" t="inlineStr">
        <is>
          <t>0                      N  7445200S  62</t>
        </is>
      </c>
      <c r="D326" t="inlineStr">
        <is>
          <t>The writings of Robert Smithson : essays with illustrations / edited by Nancy Holt ; introd. by Philip Leider ; designed by Sol LeWitt.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Smithson, Robert.</t>
        </is>
      </c>
      <c r="L326" t="inlineStr">
        <is>
          <t>New York : New York University Press, 1979.</t>
        </is>
      </c>
      <c r="M326" t="inlineStr">
        <is>
          <t>1979</t>
        </is>
      </c>
      <c r="O326" t="inlineStr">
        <is>
          <t>eng</t>
        </is>
      </c>
      <c r="P326" t="inlineStr">
        <is>
          <t>nyu</t>
        </is>
      </c>
      <c r="R326" t="inlineStr">
        <is>
          <t xml:space="preserve">N  </t>
        </is>
      </c>
      <c r="S326" t="n">
        <v>2</v>
      </c>
      <c r="T326" t="n">
        <v>2</v>
      </c>
      <c r="U326" t="inlineStr">
        <is>
          <t>1996-04-30</t>
        </is>
      </c>
      <c r="V326" t="inlineStr">
        <is>
          <t>1996-04-30</t>
        </is>
      </c>
      <c r="W326" t="inlineStr">
        <is>
          <t>1991-12-09</t>
        </is>
      </c>
      <c r="X326" t="inlineStr">
        <is>
          <t>1991-12-09</t>
        </is>
      </c>
      <c r="Y326" t="n">
        <v>700</v>
      </c>
      <c r="Z326" t="n">
        <v>555</v>
      </c>
      <c r="AA326" t="n">
        <v>563</v>
      </c>
      <c r="AB326" t="n">
        <v>3</v>
      </c>
      <c r="AC326" t="n">
        <v>3</v>
      </c>
      <c r="AD326" t="n">
        <v>14</v>
      </c>
      <c r="AE326" t="n">
        <v>14</v>
      </c>
      <c r="AF326" t="n">
        <v>5</v>
      </c>
      <c r="AG326" t="n">
        <v>5</v>
      </c>
      <c r="AH326" t="n">
        <v>3</v>
      </c>
      <c r="AI326" t="n">
        <v>3</v>
      </c>
      <c r="AJ326" t="n">
        <v>7</v>
      </c>
      <c r="AK326" t="n">
        <v>7</v>
      </c>
      <c r="AL326" t="n">
        <v>2</v>
      </c>
      <c r="AM326" t="n">
        <v>2</v>
      </c>
      <c r="AN326" t="n">
        <v>0</v>
      </c>
      <c r="AO326" t="n">
        <v>0</v>
      </c>
      <c r="AP326" t="inlineStr">
        <is>
          <t>No</t>
        </is>
      </c>
      <c r="AQ326" t="inlineStr">
        <is>
          <t>No</t>
        </is>
      </c>
      <c r="AS326">
        <f>HYPERLINK("https://creighton-primo.hosted.exlibrisgroup.com/primo-explore/search?tab=default_tab&amp;search_scope=EVERYTHING&amp;vid=01CRU&amp;lang=en_US&amp;offset=0&amp;query=any,contains,991004589549702656","Catalog Record")</f>
        <v/>
      </c>
      <c r="AT326">
        <f>HYPERLINK("http://www.worldcat.org/oclc/4114348","WorldCat Record")</f>
        <v/>
      </c>
      <c r="AU326" t="inlineStr">
        <is>
          <t>1059183668:eng</t>
        </is>
      </c>
      <c r="AV326" t="inlineStr">
        <is>
          <t>4114348</t>
        </is>
      </c>
      <c r="AW326" t="inlineStr">
        <is>
          <t>991004589549702656</t>
        </is>
      </c>
      <c r="AX326" t="inlineStr">
        <is>
          <t>991004589549702656</t>
        </is>
      </c>
      <c r="AY326" t="inlineStr">
        <is>
          <t>2271846040002656</t>
        </is>
      </c>
      <c r="AZ326" t="inlineStr">
        <is>
          <t>BOOK</t>
        </is>
      </c>
      <c r="BB326" t="inlineStr">
        <is>
          <t>9780814733943</t>
        </is>
      </c>
      <c r="BC326" t="inlineStr">
        <is>
          <t>32285000838416</t>
        </is>
      </c>
      <c r="BD326" t="inlineStr">
        <is>
          <t>893807248</t>
        </is>
      </c>
      <c r="BE326" t="inlineStr">
        <is>
          <t>AM Nelson</t>
        </is>
      </c>
    </row>
    <row r="327">
      <c r="A327" t="inlineStr">
        <is>
          <t>No</t>
        </is>
      </c>
      <c r="B327" t="inlineStr">
        <is>
          <t>PA2073 .K43</t>
        </is>
      </c>
      <c r="C327" t="inlineStr">
        <is>
          <t>0                      PA 2073000K  43</t>
        </is>
      </c>
      <c r="D327" t="inlineStr">
        <is>
          <t>Grammatici Latini ex recensione Henrici Keilii.</t>
        </is>
      </c>
      <c r="E327" t="inlineStr">
        <is>
          <t>V.5</t>
        </is>
      </c>
      <c r="F327" t="inlineStr">
        <is>
          <t>Yes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Keil, Heinrich, 1822-1894 editor.</t>
        </is>
      </c>
      <c r="L327" t="inlineStr">
        <is>
          <t>Hildesheim, G. Olm, 1961.</t>
        </is>
      </c>
      <c r="M327" t="inlineStr">
        <is>
          <t>1961</t>
        </is>
      </c>
      <c r="O327" t="inlineStr">
        <is>
          <t>lat</t>
        </is>
      </c>
      <c r="P327" t="inlineStr">
        <is>
          <t xml:space="preserve">gw </t>
        </is>
      </c>
      <c r="R327" t="inlineStr">
        <is>
          <t xml:space="preserve">PA </t>
        </is>
      </c>
      <c r="S327" t="n">
        <v>0</v>
      </c>
      <c r="T327" t="n">
        <v>4</v>
      </c>
      <c r="V327" t="inlineStr">
        <is>
          <t>1997-11-04</t>
        </is>
      </c>
      <c r="W327" t="inlineStr">
        <is>
          <t>1997-11-05</t>
        </is>
      </c>
      <c r="X327" t="inlineStr">
        <is>
          <t>1997-11-05</t>
        </is>
      </c>
      <c r="Y327" t="n">
        <v>84</v>
      </c>
      <c r="Z327" t="n">
        <v>62</v>
      </c>
      <c r="AA327" t="n">
        <v>64</v>
      </c>
      <c r="AB327" t="n">
        <v>1</v>
      </c>
      <c r="AC327" t="n">
        <v>1</v>
      </c>
      <c r="AD327" t="n">
        <v>7</v>
      </c>
      <c r="AE327" t="n">
        <v>7</v>
      </c>
      <c r="AF327" t="n">
        <v>1</v>
      </c>
      <c r="AG327" t="n">
        <v>1</v>
      </c>
      <c r="AH327" t="n">
        <v>2</v>
      </c>
      <c r="AI327" t="n">
        <v>2</v>
      </c>
      <c r="AJ327" t="n">
        <v>6</v>
      </c>
      <c r="AK327" t="n">
        <v>6</v>
      </c>
      <c r="AL327" t="n">
        <v>0</v>
      </c>
      <c r="AM327" t="n">
        <v>0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HYPERLINK("http://catalog.hathitrust.org/Record/006792844","HathiTrust Record")</f>
        <v/>
      </c>
      <c r="AS327">
        <f>HYPERLINK("https://creighton-primo.hosted.exlibrisgroup.com/primo-explore/search?tab=default_tab&amp;search_scope=EVERYTHING&amp;vid=01CRU&amp;lang=en_US&amp;offset=0&amp;query=any,contains,991002232769702656","Catalog Record")</f>
        <v/>
      </c>
      <c r="AT327">
        <f>HYPERLINK("http://www.worldcat.org/oclc/1595598","WorldCat Record")</f>
        <v/>
      </c>
      <c r="AU327" t="inlineStr">
        <is>
          <t>8960437229:lat</t>
        </is>
      </c>
      <c r="AV327" t="inlineStr">
        <is>
          <t>1595598</t>
        </is>
      </c>
      <c r="AW327" t="inlineStr">
        <is>
          <t>991002232769702656</t>
        </is>
      </c>
      <c r="AX327" t="inlineStr">
        <is>
          <t>991002232769702656</t>
        </is>
      </c>
      <c r="AY327" t="inlineStr">
        <is>
          <t>2270461080002656</t>
        </is>
      </c>
      <c r="AZ327" t="inlineStr">
        <is>
          <t>BOOK</t>
        </is>
      </c>
      <c r="BC327" t="inlineStr">
        <is>
          <t>32285003276267</t>
        </is>
      </c>
      <c r="BD327" t="inlineStr">
        <is>
          <t>893497863</t>
        </is>
      </c>
      <c r="BE327" t="inlineStr">
        <is>
          <t>Fajardo Acosta</t>
        </is>
      </c>
    </row>
    <row r="328">
      <c r="A328" t="inlineStr">
        <is>
          <t>No</t>
        </is>
      </c>
      <c r="B328" t="inlineStr">
        <is>
          <t>PA2073 .K43</t>
        </is>
      </c>
      <c r="C328" t="inlineStr">
        <is>
          <t>0                      PA 2073000K  43</t>
        </is>
      </c>
      <c r="D328" t="inlineStr">
        <is>
          <t>Grammatici Latini ex recensione Henrici Keilii.</t>
        </is>
      </c>
      <c r="E328" t="inlineStr">
        <is>
          <t>V.8</t>
        </is>
      </c>
      <c r="F328" t="inlineStr">
        <is>
          <t>Yes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Keil, Heinrich, 1822-1894 editor.</t>
        </is>
      </c>
      <c r="L328" t="inlineStr">
        <is>
          <t>Hildesheim, G. Olm, 1961.</t>
        </is>
      </c>
      <c r="M328" t="inlineStr">
        <is>
          <t>1961</t>
        </is>
      </c>
      <c r="O328" t="inlineStr">
        <is>
          <t>lat</t>
        </is>
      </c>
      <c r="P328" t="inlineStr">
        <is>
          <t xml:space="preserve">gw </t>
        </is>
      </c>
      <c r="R328" t="inlineStr">
        <is>
          <t xml:space="preserve">PA </t>
        </is>
      </c>
      <c r="S328" t="n">
        <v>0</v>
      </c>
      <c r="T328" t="n">
        <v>4</v>
      </c>
      <c r="V328" t="inlineStr">
        <is>
          <t>1997-11-04</t>
        </is>
      </c>
      <c r="W328" t="inlineStr">
        <is>
          <t>1997-11-05</t>
        </is>
      </c>
      <c r="X328" t="inlineStr">
        <is>
          <t>1997-11-05</t>
        </is>
      </c>
      <c r="Y328" t="n">
        <v>84</v>
      </c>
      <c r="Z328" t="n">
        <v>62</v>
      </c>
      <c r="AA328" t="n">
        <v>64</v>
      </c>
      <c r="AB328" t="n">
        <v>1</v>
      </c>
      <c r="AC328" t="n">
        <v>1</v>
      </c>
      <c r="AD328" t="n">
        <v>7</v>
      </c>
      <c r="AE328" t="n">
        <v>7</v>
      </c>
      <c r="AF328" t="n">
        <v>1</v>
      </c>
      <c r="AG328" t="n">
        <v>1</v>
      </c>
      <c r="AH328" t="n">
        <v>2</v>
      </c>
      <c r="AI328" t="n">
        <v>2</v>
      </c>
      <c r="AJ328" t="n">
        <v>6</v>
      </c>
      <c r="AK328" t="n">
        <v>6</v>
      </c>
      <c r="AL328" t="n">
        <v>0</v>
      </c>
      <c r="AM328" t="n">
        <v>0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HYPERLINK("http://catalog.hathitrust.org/Record/006792844","HathiTrust Record")</f>
        <v/>
      </c>
      <c r="AS328">
        <f>HYPERLINK("https://creighton-primo.hosted.exlibrisgroup.com/primo-explore/search?tab=default_tab&amp;search_scope=EVERYTHING&amp;vid=01CRU&amp;lang=en_US&amp;offset=0&amp;query=any,contains,991002232769702656","Catalog Record")</f>
        <v/>
      </c>
      <c r="AT328">
        <f>HYPERLINK("http://www.worldcat.org/oclc/1595598","WorldCat Record")</f>
        <v/>
      </c>
      <c r="AU328" t="inlineStr">
        <is>
          <t>8960437229:lat</t>
        </is>
      </c>
      <c r="AV328" t="inlineStr">
        <is>
          <t>1595598</t>
        </is>
      </c>
      <c r="AW328" t="inlineStr">
        <is>
          <t>991002232769702656</t>
        </is>
      </c>
      <c r="AX328" t="inlineStr">
        <is>
          <t>991002232769702656</t>
        </is>
      </c>
      <c r="AY328" t="inlineStr">
        <is>
          <t>2270461080002656</t>
        </is>
      </c>
      <c r="AZ328" t="inlineStr">
        <is>
          <t>BOOK</t>
        </is>
      </c>
      <c r="BC328" t="inlineStr">
        <is>
          <t>32285003276291</t>
        </is>
      </c>
      <c r="BD328" t="inlineStr">
        <is>
          <t>893497862</t>
        </is>
      </c>
      <c r="BE328" t="inlineStr">
        <is>
          <t>Fajardo Acosta</t>
        </is>
      </c>
    </row>
    <row r="329">
      <c r="A329" t="inlineStr">
        <is>
          <t>No</t>
        </is>
      </c>
      <c r="B329" t="inlineStr">
        <is>
          <t>PA2073 .K43</t>
        </is>
      </c>
      <c r="C329" t="inlineStr">
        <is>
          <t>0                      PA 2073000K  43</t>
        </is>
      </c>
      <c r="D329" t="inlineStr">
        <is>
          <t>Grammatici Latini ex recensione Henrici Keilii.</t>
        </is>
      </c>
      <c r="E329" t="inlineStr">
        <is>
          <t>V.2</t>
        </is>
      </c>
      <c r="F329" t="inlineStr">
        <is>
          <t>Yes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Keil, Heinrich, 1822-1894 editor.</t>
        </is>
      </c>
      <c r="L329" t="inlineStr">
        <is>
          <t>Hildesheim, G. Olm, 1961.</t>
        </is>
      </c>
      <c r="M329" t="inlineStr">
        <is>
          <t>1961</t>
        </is>
      </c>
      <c r="O329" t="inlineStr">
        <is>
          <t>lat</t>
        </is>
      </c>
      <c r="P329" t="inlineStr">
        <is>
          <t xml:space="preserve">gw </t>
        </is>
      </c>
      <c r="R329" t="inlineStr">
        <is>
          <t xml:space="preserve">PA </t>
        </is>
      </c>
      <c r="S329" t="n">
        <v>2</v>
      </c>
      <c r="T329" t="n">
        <v>4</v>
      </c>
      <c r="U329" t="inlineStr">
        <is>
          <t>1997-11-04</t>
        </is>
      </c>
      <c r="V329" t="inlineStr">
        <is>
          <t>1997-11-04</t>
        </is>
      </c>
      <c r="W329" t="inlineStr">
        <is>
          <t>1997-11-03</t>
        </is>
      </c>
      <c r="X329" t="inlineStr">
        <is>
          <t>1997-11-05</t>
        </is>
      </c>
      <c r="Y329" t="n">
        <v>84</v>
      </c>
      <c r="Z329" t="n">
        <v>62</v>
      </c>
      <c r="AA329" t="n">
        <v>64</v>
      </c>
      <c r="AB329" t="n">
        <v>1</v>
      </c>
      <c r="AC329" t="n">
        <v>1</v>
      </c>
      <c r="AD329" t="n">
        <v>7</v>
      </c>
      <c r="AE329" t="n">
        <v>7</v>
      </c>
      <c r="AF329" t="n">
        <v>1</v>
      </c>
      <c r="AG329" t="n">
        <v>1</v>
      </c>
      <c r="AH329" t="n">
        <v>2</v>
      </c>
      <c r="AI329" t="n">
        <v>2</v>
      </c>
      <c r="AJ329" t="n">
        <v>6</v>
      </c>
      <c r="AK329" t="n">
        <v>6</v>
      </c>
      <c r="AL329" t="n">
        <v>0</v>
      </c>
      <c r="AM329" t="n">
        <v>0</v>
      </c>
      <c r="AN329" t="n">
        <v>0</v>
      </c>
      <c r="AO329" t="n">
        <v>0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HYPERLINK("http://catalog.hathitrust.org/Record/006792844","HathiTrust Record")</f>
        <v/>
      </c>
      <c r="AS329">
        <f>HYPERLINK("https://creighton-primo.hosted.exlibrisgroup.com/primo-explore/search?tab=default_tab&amp;search_scope=EVERYTHING&amp;vid=01CRU&amp;lang=en_US&amp;offset=0&amp;query=any,contains,991002232769702656","Catalog Record")</f>
        <v/>
      </c>
      <c r="AT329">
        <f>HYPERLINK("http://www.worldcat.org/oclc/1595598","WorldCat Record")</f>
        <v/>
      </c>
      <c r="AU329" t="inlineStr">
        <is>
          <t>8960437229:lat</t>
        </is>
      </c>
      <c r="AV329" t="inlineStr">
        <is>
          <t>1595598</t>
        </is>
      </c>
      <c r="AW329" t="inlineStr">
        <is>
          <t>991002232769702656</t>
        </is>
      </c>
      <c r="AX329" t="inlineStr">
        <is>
          <t>991002232769702656</t>
        </is>
      </c>
      <c r="AY329" t="inlineStr">
        <is>
          <t>2270461080002656</t>
        </is>
      </c>
      <c r="AZ329" t="inlineStr">
        <is>
          <t>BOOK</t>
        </is>
      </c>
      <c r="BC329" t="inlineStr">
        <is>
          <t>32285003259099</t>
        </is>
      </c>
      <c r="BD329" t="inlineStr">
        <is>
          <t>893529708</t>
        </is>
      </c>
      <c r="BE329" t="inlineStr">
        <is>
          <t>Fajardo Acosta</t>
        </is>
      </c>
    </row>
    <row r="330">
      <c r="A330" t="inlineStr">
        <is>
          <t>No</t>
        </is>
      </c>
      <c r="B330" t="inlineStr">
        <is>
          <t>PA2073 .K43</t>
        </is>
      </c>
      <c r="C330" t="inlineStr">
        <is>
          <t>0                      PA 2073000K  43</t>
        </is>
      </c>
      <c r="D330" t="inlineStr">
        <is>
          <t>Grammatici Latini ex recensione Henrici Keilii.</t>
        </is>
      </c>
      <c r="E330" t="inlineStr">
        <is>
          <t>V.1</t>
        </is>
      </c>
      <c r="F330" t="inlineStr">
        <is>
          <t>Yes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Keil, Heinrich, 1822-1894 editor.</t>
        </is>
      </c>
      <c r="L330" t="inlineStr">
        <is>
          <t>Hildesheim, G. Olm, 1961.</t>
        </is>
      </c>
      <c r="M330" t="inlineStr">
        <is>
          <t>1961</t>
        </is>
      </c>
      <c r="O330" t="inlineStr">
        <is>
          <t>lat</t>
        </is>
      </c>
      <c r="P330" t="inlineStr">
        <is>
          <t xml:space="preserve">gw </t>
        </is>
      </c>
      <c r="R330" t="inlineStr">
        <is>
          <t xml:space="preserve">PA </t>
        </is>
      </c>
      <c r="S330" t="n">
        <v>0</v>
      </c>
      <c r="T330" t="n">
        <v>4</v>
      </c>
      <c r="V330" t="inlineStr">
        <is>
          <t>1997-11-04</t>
        </is>
      </c>
      <c r="W330" t="inlineStr">
        <is>
          <t>1997-11-05</t>
        </is>
      </c>
      <c r="X330" t="inlineStr">
        <is>
          <t>1997-11-05</t>
        </is>
      </c>
      <c r="Y330" t="n">
        <v>84</v>
      </c>
      <c r="Z330" t="n">
        <v>62</v>
      </c>
      <c r="AA330" t="n">
        <v>64</v>
      </c>
      <c r="AB330" t="n">
        <v>1</v>
      </c>
      <c r="AC330" t="n">
        <v>1</v>
      </c>
      <c r="AD330" t="n">
        <v>7</v>
      </c>
      <c r="AE330" t="n">
        <v>7</v>
      </c>
      <c r="AF330" t="n">
        <v>1</v>
      </c>
      <c r="AG330" t="n">
        <v>1</v>
      </c>
      <c r="AH330" t="n">
        <v>2</v>
      </c>
      <c r="AI330" t="n">
        <v>2</v>
      </c>
      <c r="AJ330" t="n">
        <v>6</v>
      </c>
      <c r="AK330" t="n">
        <v>6</v>
      </c>
      <c r="AL330" t="n">
        <v>0</v>
      </c>
      <c r="AM330" t="n">
        <v>0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HYPERLINK("http://catalog.hathitrust.org/Record/006792844","HathiTrust Record")</f>
        <v/>
      </c>
      <c r="AS330">
        <f>HYPERLINK("https://creighton-primo.hosted.exlibrisgroup.com/primo-explore/search?tab=default_tab&amp;search_scope=EVERYTHING&amp;vid=01CRU&amp;lang=en_US&amp;offset=0&amp;query=any,contains,991002232769702656","Catalog Record")</f>
        <v/>
      </c>
      <c r="AT330">
        <f>HYPERLINK("http://www.worldcat.org/oclc/1595598","WorldCat Record")</f>
        <v/>
      </c>
      <c r="AU330" t="inlineStr">
        <is>
          <t>8960437229:lat</t>
        </is>
      </c>
      <c r="AV330" t="inlineStr">
        <is>
          <t>1595598</t>
        </is>
      </c>
      <c r="AW330" t="inlineStr">
        <is>
          <t>991002232769702656</t>
        </is>
      </c>
      <c r="AX330" t="inlineStr">
        <is>
          <t>991002232769702656</t>
        </is>
      </c>
      <c r="AY330" t="inlineStr">
        <is>
          <t>2270461080002656</t>
        </is>
      </c>
      <c r="AZ330" t="inlineStr">
        <is>
          <t>BOOK</t>
        </is>
      </c>
      <c r="BC330" t="inlineStr">
        <is>
          <t>32285003276242</t>
        </is>
      </c>
      <c r="BD330" t="inlineStr">
        <is>
          <t>893497864</t>
        </is>
      </c>
      <c r="BE330" t="inlineStr">
        <is>
          <t>Fajardo Acosta</t>
        </is>
      </c>
    </row>
    <row r="331">
      <c r="A331" t="inlineStr">
        <is>
          <t>No</t>
        </is>
      </c>
      <c r="B331" t="inlineStr">
        <is>
          <t>PA2073 .K43</t>
        </is>
      </c>
      <c r="C331" t="inlineStr">
        <is>
          <t>0                      PA 2073000K  43</t>
        </is>
      </c>
      <c r="D331" t="inlineStr">
        <is>
          <t>Grammatici Latini ex recensione Henrici Keilii.</t>
        </is>
      </c>
      <c r="E331" t="inlineStr">
        <is>
          <t>V.4</t>
        </is>
      </c>
      <c r="F331" t="inlineStr">
        <is>
          <t>Yes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Keil, Heinrich, 1822-1894 editor.</t>
        </is>
      </c>
      <c r="L331" t="inlineStr">
        <is>
          <t>Hildesheim, G. Olm, 1961.</t>
        </is>
      </c>
      <c r="M331" t="inlineStr">
        <is>
          <t>1961</t>
        </is>
      </c>
      <c r="O331" t="inlineStr">
        <is>
          <t>lat</t>
        </is>
      </c>
      <c r="P331" t="inlineStr">
        <is>
          <t xml:space="preserve">gw </t>
        </is>
      </c>
      <c r="R331" t="inlineStr">
        <is>
          <t xml:space="preserve">PA </t>
        </is>
      </c>
      <c r="S331" t="n">
        <v>0</v>
      </c>
      <c r="T331" t="n">
        <v>4</v>
      </c>
      <c r="V331" t="inlineStr">
        <is>
          <t>1997-11-04</t>
        </is>
      </c>
      <c r="W331" t="inlineStr">
        <is>
          <t>1997-11-05</t>
        </is>
      </c>
      <c r="X331" t="inlineStr">
        <is>
          <t>1997-11-05</t>
        </is>
      </c>
      <c r="Y331" t="n">
        <v>84</v>
      </c>
      <c r="Z331" t="n">
        <v>62</v>
      </c>
      <c r="AA331" t="n">
        <v>64</v>
      </c>
      <c r="AB331" t="n">
        <v>1</v>
      </c>
      <c r="AC331" t="n">
        <v>1</v>
      </c>
      <c r="AD331" t="n">
        <v>7</v>
      </c>
      <c r="AE331" t="n">
        <v>7</v>
      </c>
      <c r="AF331" t="n">
        <v>1</v>
      </c>
      <c r="AG331" t="n">
        <v>1</v>
      </c>
      <c r="AH331" t="n">
        <v>2</v>
      </c>
      <c r="AI331" t="n">
        <v>2</v>
      </c>
      <c r="AJ331" t="n">
        <v>6</v>
      </c>
      <c r="AK331" t="n">
        <v>6</v>
      </c>
      <c r="AL331" t="n">
        <v>0</v>
      </c>
      <c r="AM331" t="n">
        <v>0</v>
      </c>
      <c r="AN331" t="n">
        <v>0</v>
      </c>
      <c r="AO331" t="n">
        <v>0</v>
      </c>
      <c r="AP331" t="inlineStr">
        <is>
          <t>No</t>
        </is>
      </c>
      <c r="AQ331" t="inlineStr">
        <is>
          <t>Yes</t>
        </is>
      </c>
      <c r="AR331">
        <f>HYPERLINK("http://catalog.hathitrust.org/Record/006792844","HathiTrust Record")</f>
        <v/>
      </c>
      <c r="AS331">
        <f>HYPERLINK("https://creighton-primo.hosted.exlibrisgroup.com/primo-explore/search?tab=default_tab&amp;search_scope=EVERYTHING&amp;vid=01CRU&amp;lang=en_US&amp;offset=0&amp;query=any,contains,991002232769702656","Catalog Record")</f>
        <v/>
      </c>
      <c r="AT331">
        <f>HYPERLINK("http://www.worldcat.org/oclc/1595598","WorldCat Record")</f>
        <v/>
      </c>
      <c r="AU331" t="inlineStr">
        <is>
          <t>8960437229:lat</t>
        </is>
      </c>
      <c r="AV331" t="inlineStr">
        <is>
          <t>1595598</t>
        </is>
      </c>
      <c r="AW331" t="inlineStr">
        <is>
          <t>991002232769702656</t>
        </is>
      </c>
      <c r="AX331" t="inlineStr">
        <is>
          <t>991002232769702656</t>
        </is>
      </c>
      <c r="AY331" t="inlineStr">
        <is>
          <t>2270461080002656</t>
        </is>
      </c>
      <c r="AZ331" t="inlineStr">
        <is>
          <t>BOOK</t>
        </is>
      </c>
      <c r="BC331" t="inlineStr">
        <is>
          <t>32285003276259</t>
        </is>
      </c>
      <c r="BD331" t="inlineStr">
        <is>
          <t>893510473</t>
        </is>
      </c>
      <c r="BE331" t="inlineStr">
        <is>
          <t>Fajardo Acosta</t>
        </is>
      </c>
    </row>
    <row r="332">
      <c r="A332" t="inlineStr">
        <is>
          <t>No</t>
        </is>
      </c>
      <c r="B332" t="inlineStr">
        <is>
          <t>PA2073 .K43</t>
        </is>
      </c>
      <c r="C332" t="inlineStr">
        <is>
          <t>0                      PA 2073000K  43</t>
        </is>
      </c>
      <c r="D332" t="inlineStr">
        <is>
          <t>Grammatici Latini ex recensione Henrici Keilii.</t>
        </is>
      </c>
      <c r="E332" t="inlineStr">
        <is>
          <t>V.3</t>
        </is>
      </c>
      <c r="F332" t="inlineStr">
        <is>
          <t>Yes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Keil, Heinrich, 1822-1894 editor.</t>
        </is>
      </c>
      <c r="L332" t="inlineStr">
        <is>
          <t>Hildesheim, G. Olm, 1961.</t>
        </is>
      </c>
      <c r="M332" t="inlineStr">
        <is>
          <t>1961</t>
        </is>
      </c>
      <c r="O332" t="inlineStr">
        <is>
          <t>lat</t>
        </is>
      </c>
      <c r="P332" t="inlineStr">
        <is>
          <t xml:space="preserve">gw </t>
        </is>
      </c>
      <c r="R332" t="inlineStr">
        <is>
          <t xml:space="preserve">PA </t>
        </is>
      </c>
      <c r="S332" t="n">
        <v>2</v>
      </c>
      <c r="T332" t="n">
        <v>4</v>
      </c>
      <c r="U332" t="inlineStr">
        <is>
          <t>1997-11-04</t>
        </is>
      </c>
      <c r="V332" t="inlineStr">
        <is>
          <t>1997-11-04</t>
        </is>
      </c>
      <c r="W332" t="inlineStr">
        <is>
          <t>1997-11-03</t>
        </is>
      </c>
      <c r="X332" t="inlineStr">
        <is>
          <t>1997-11-05</t>
        </is>
      </c>
      <c r="Y332" t="n">
        <v>84</v>
      </c>
      <c r="Z332" t="n">
        <v>62</v>
      </c>
      <c r="AA332" t="n">
        <v>64</v>
      </c>
      <c r="AB332" t="n">
        <v>1</v>
      </c>
      <c r="AC332" t="n">
        <v>1</v>
      </c>
      <c r="AD332" t="n">
        <v>7</v>
      </c>
      <c r="AE332" t="n">
        <v>7</v>
      </c>
      <c r="AF332" t="n">
        <v>1</v>
      </c>
      <c r="AG332" t="n">
        <v>1</v>
      </c>
      <c r="AH332" t="n">
        <v>2</v>
      </c>
      <c r="AI332" t="n">
        <v>2</v>
      </c>
      <c r="AJ332" t="n">
        <v>6</v>
      </c>
      <c r="AK332" t="n">
        <v>6</v>
      </c>
      <c r="AL332" t="n">
        <v>0</v>
      </c>
      <c r="AM332" t="n">
        <v>0</v>
      </c>
      <c r="AN332" t="n">
        <v>0</v>
      </c>
      <c r="AO332" t="n">
        <v>0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HYPERLINK("http://catalog.hathitrust.org/Record/006792844","HathiTrust Record")</f>
        <v/>
      </c>
      <c r="AS332">
        <f>HYPERLINK("https://creighton-primo.hosted.exlibrisgroup.com/primo-explore/search?tab=default_tab&amp;search_scope=EVERYTHING&amp;vid=01CRU&amp;lang=en_US&amp;offset=0&amp;query=any,contains,991002232769702656","Catalog Record")</f>
        <v/>
      </c>
      <c r="AT332">
        <f>HYPERLINK("http://www.worldcat.org/oclc/1595598","WorldCat Record")</f>
        <v/>
      </c>
      <c r="AU332" t="inlineStr">
        <is>
          <t>8960437229:lat</t>
        </is>
      </c>
      <c r="AV332" t="inlineStr">
        <is>
          <t>1595598</t>
        </is>
      </c>
      <c r="AW332" t="inlineStr">
        <is>
          <t>991002232769702656</t>
        </is>
      </c>
      <c r="AX332" t="inlineStr">
        <is>
          <t>991002232769702656</t>
        </is>
      </c>
      <c r="AY332" t="inlineStr">
        <is>
          <t>2270461080002656</t>
        </is>
      </c>
      <c r="AZ332" t="inlineStr">
        <is>
          <t>BOOK</t>
        </is>
      </c>
      <c r="BC332" t="inlineStr">
        <is>
          <t>32285003259107</t>
        </is>
      </c>
      <c r="BD332" t="inlineStr">
        <is>
          <t>893517041</t>
        </is>
      </c>
      <c r="BE332" t="inlineStr">
        <is>
          <t>Fajardo Acosta</t>
        </is>
      </c>
    </row>
    <row r="333">
      <c r="A333" t="inlineStr">
        <is>
          <t>No</t>
        </is>
      </c>
      <c r="B333" t="inlineStr">
        <is>
          <t>PA2073 .K43</t>
        </is>
      </c>
      <c r="C333" t="inlineStr">
        <is>
          <t>0                      PA 2073000K  43</t>
        </is>
      </c>
      <c r="D333" t="inlineStr">
        <is>
          <t>Grammatici Latini ex recensione Henrici Keilii.</t>
        </is>
      </c>
      <c r="E333" t="inlineStr">
        <is>
          <t>V.6</t>
        </is>
      </c>
      <c r="F333" t="inlineStr">
        <is>
          <t>Yes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Keil, Heinrich, 1822-1894 editor.</t>
        </is>
      </c>
      <c r="L333" t="inlineStr">
        <is>
          <t>Hildesheim, G. Olm, 1961.</t>
        </is>
      </c>
      <c r="M333" t="inlineStr">
        <is>
          <t>1961</t>
        </is>
      </c>
      <c r="O333" t="inlineStr">
        <is>
          <t>lat</t>
        </is>
      </c>
      <c r="P333" t="inlineStr">
        <is>
          <t xml:space="preserve">gw </t>
        </is>
      </c>
      <c r="R333" t="inlineStr">
        <is>
          <t xml:space="preserve">PA </t>
        </is>
      </c>
      <c r="S333" t="n">
        <v>0</v>
      </c>
      <c r="T333" t="n">
        <v>4</v>
      </c>
      <c r="V333" t="inlineStr">
        <is>
          <t>1997-11-04</t>
        </is>
      </c>
      <c r="W333" t="inlineStr">
        <is>
          <t>1997-11-05</t>
        </is>
      </c>
      <c r="X333" t="inlineStr">
        <is>
          <t>1997-11-05</t>
        </is>
      </c>
      <c r="Y333" t="n">
        <v>84</v>
      </c>
      <c r="Z333" t="n">
        <v>62</v>
      </c>
      <c r="AA333" t="n">
        <v>64</v>
      </c>
      <c r="AB333" t="n">
        <v>1</v>
      </c>
      <c r="AC333" t="n">
        <v>1</v>
      </c>
      <c r="AD333" t="n">
        <v>7</v>
      </c>
      <c r="AE333" t="n">
        <v>7</v>
      </c>
      <c r="AF333" t="n">
        <v>1</v>
      </c>
      <c r="AG333" t="n">
        <v>1</v>
      </c>
      <c r="AH333" t="n">
        <v>2</v>
      </c>
      <c r="AI333" t="n">
        <v>2</v>
      </c>
      <c r="AJ333" t="n">
        <v>6</v>
      </c>
      <c r="AK333" t="n">
        <v>6</v>
      </c>
      <c r="AL333" t="n">
        <v>0</v>
      </c>
      <c r="AM333" t="n">
        <v>0</v>
      </c>
      <c r="AN333" t="n">
        <v>0</v>
      </c>
      <c r="AO333" t="n">
        <v>0</v>
      </c>
      <c r="AP333" t="inlineStr">
        <is>
          <t>No</t>
        </is>
      </c>
      <c r="AQ333" t="inlineStr">
        <is>
          <t>Yes</t>
        </is>
      </c>
      <c r="AR333">
        <f>HYPERLINK("http://catalog.hathitrust.org/Record/006792844","HathiTrust Record")</f>
        <v/>
      </c>
      <c r="AS333">
        <f>HYPERLINK("https://creighton-primo.hosted.exlibrisgroup.com/primo-explore/search?tab=default_tab&amp;search_scope=EVERYTHING&amp;vid=01CRU&amp;lang=en_US&amp;offset=0&amp;query=any,contains,991002232769702656","Catalog Record")</f>
        <v/>
      </c>
      <c r="AT333">
        <f>HYPERLINK("http://www.worldcat.org/oclc/1595598","WorldCat Record")</f>
        <v/>
      </c>
      <c r="AU333" t="inlineStr">
        <is>
          <t>8960437229:lat</t>
        </is>
      </c>
      <c r="AV333" t="inlineStr">
        <is>
          <t>1595598</t>
        </is>
      </c>
      <c r="AW333" t="inlineStr">
        <is>
          <t>991002232769702656</t>
        </is>
      </c>
      <c r="AX333" t="inlineStr">
        <is>
          <t>991002232769702656</t>
        </is>
      </c>
      <c r="AY333" t="inlineStr">
        <is>
          <t>2270461080002656</t>
        </is>
      </c>
      <c r="AZ333" t="inlineStr">
        <is>
          <t>BOOK</t>
        </is>
      </c>
      <c r="BC333" t="inlineStr">
        <is>
          <t>32285003276275</t>
        </is>
      </c>
      <c r="BD333" t="inlineStr">
        <is>
          <t>893529707</t>
        </is>
      </c>
      <c r="BE333" t="inlineStr">
        <is>
          <t>Fajardo Acosta</t>
        </is>
      </c>
    </row>
    <row r="334">
      <c r="A334" t="inlineStr">
        <is>
          <t>No</t>
        </is>
      </c>
      <c r="B334" t="inlineStr">
        <is>
          <t>PA2073 .K43</t>
        </is>
      </c>
      <c r="C334" t="inlineStr">
        <is>
          <t>0                      PA 2073000K  43</t>
        </is>
      </c>
      <c r="D334" t="inlineStr">
        <is>
          <t>Grammatici Latini ex recensione Henrici Keilii.</t>
        </is>
      </c>
      <c r="E334" t="inlineStr">
        <is>
          <t>V.7</t>
        </is>
      </c>
      <c r="F334" t="inlineStr">
        <is>
          <t>Yes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Keil, Heinrich, 1822-1894 editor.</t>
        </is>
      </c>
      <c r="L334" t="inlineStr">
        <is>
          <t>Hildesheim, G. Olm, 1961.</t>
        </is>
      </c>
      <c r="M334" t="inlineStr">
        <is>
          <t>1961</t>
        </is>
      </c>
      <c r="O334" t="inlineStr">
        <is>
          <t>lat</t>
        </is>
      </c>
      <c r="P334" t="inlineStr">
        <is>
          <t xml:space="preserve">gw </t>
        </is>
      </c>
      <c r="R334" t="inlineStr">
        <is>
          <t xml:space="preserve">PA </t>
        </is>
      </c>
      <c r="S334" t="n">
        <v>0</v>
      </c>
      <c r="T334" t="n">
        <v>4</v>
      </c>
      <c r="V334" t="inlineStr">
        <is>
          <t>1997-11-04</t>
        </is>
      </c>
      <c r="W334" t="inlineStr">
        <is>
          <t>1997-11-05</t>
        </is>
      </c>
      <c r="X334" t="inlineStr">
        <is>
          <t>1997-11-05</t>
        </is>
      </c>
      <c r="Y334" t="n">
        <v>84</v>
      </c>
      <c r="Z334" t="n">
        <v>62</v>
      </c>
      <c r="AA334" t="n">
        <v>64</v>
      </c>
      <c r="AB334" t="n">
        <v>1</v>
      </c>
      <c r="AC334" t="n">
        <v>1</v>
      </c>
      <c r="AD334" t="n">
        <v>7</v>
      </c>
      <c r="AE334" t="n">
        <v>7</v>
      </c>
      <c r="AF334" t="n">
        <v>1</v>
      </c>
      <c r="AG334" t="n">
        <v>1</v>
      </c>
      <c r="AH334" t="n">
        <v>2</v>
      </c>
      <c r="AI334" t="n">
        <v>2</v>
      </c>
      <c r="AJ334" t="n">
        <v>6</v>
      </c>
      <c r="AK334" t="n">
        <v>6</v>
      </c>
      <c r="AL334" t="n">
        <v>0</v>
      </c>
      <c r="AM334" t="n">
        <v>0</v>
      </c>
      <c r="AN334" t="n">
        <v>0</v>
      </c>
      <c r="AO334" t="n">
        <v>0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HYPERLINK("http://catalog.hathitrust.org/Record/006792844","HathiTrust Record")</f>
        <v/>
      </c>
      <c r="AS334">
        <f>HYPERLINK("https://creighton-primo.hosted.exlibrisgroup.com/primo-explore/search?tab=default_tab&amp;search_scope=EVERYTHING&amp;vid=01CRU&amp;lang=en_US&amp;offset=0&amp;query=any,contains,991002232769702656","Catalog Record")</f>
        <v/>
      </c>
      <c r="AT334">
        <f>HYPERLINK("http://www.worldcat.org/oclc/1595598","WorldCat Record")</f>
        <v/>
      </c>
      <c r="AU334" t="inlineStr">
        <is>
          <t>8960437229:lat</t>
        </is>
      </c>
      <c r="AV334" t="inlineStr">
        <is>
          <t>1595598</t>
        </is>
      </c>
      <c r="AW334" t="inlineStr">
        <is>
          <t>991002232769702656</t>
        </is>
      </c>
      <c r="AX334" t="inlineStr">
        <is>
          <t>991002232769702656</t>
        </is>
      </c>
      <c r="AY334" t="inlineStr">
        <is>
          <t>2270461080002656</t>
        </is>
      </c>
      <c r="AZ334" t="inlineStr">
        <is>
          <t>BOOK</t>
        </is>
      </c>
      <c r="BC334" t="inlineStr">
        <is>
          <t>32285003276283</t>
        </is>
      </c>
      <c r="BD334" t="inlineStr">
        <is>
          <t>893529709</t>
        </is>
      </c>
      <c r="BE334" t="inlineStr">
        <is>
          <t>Fajardo Acosta</t>
        </is>
      </c>
    </row>
    <row r="335">
      <c r="A335" t="inlineStr">
        <is>
          <t>No</t>
        </is>
      </c>
      <c r="B335" t="inlineStr">
        <is>
          <t>PA260 .W74 1985</t>
        </is>
      </c>
      <c r="C335" t="inlineStr">
        <is>
          <t>0                      PA 0260000W  74          1985</t>
        </is>
      </c>
      <c r="D335" t="inlineStr">
        <is>
          <t>The presocratics : the main fragments in Greek with introduction, commentary &amp; appendix containing text &amp; translation of Aristotle on the presocratics / by M.R. Wright.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Wright, M. R., 1933-</t>
        </is>
      </c>
      <c r="L335" t="inlineStr">
        <is>
          <t>Bristol : Bristol Classical Press, 1985.</t>
        </is>
      </c>
      <c r="M335" t="inlineStr">
        <is>
          <t>1985</t>
        </is>
      </c>
      <c r="O335" t="inlineStr">
        <is>
          <t>eng</t>
        </is>
      </c>
      <c r="P335" t="inlineStr">
        <is>
          <t>enk</t>
        </is>
      </c>
      <c r="R335" t="inlineStr">
        <is>
          <t xml:space="preserve">PA </t>
        </is>
      </c>
      <c r="S335" t="n">
        <v>2</v>
      </c>
      <c r="T335" t="n">
        <v>2</v>
      </c>
      <c r="U335" t="inlineStr">
        <is>
          <t>2001-05-16</t>
        </is>
      </c>
      <c r="V335" t="inlineStr">
        <is>
          <t>2001-05-16</t>
        </is>
      </c>
      <c r="W335" t="inlineStr">
        <is>
          <t>2001-03-28</t>
        </is>
      </c>
      <c r="X335" t="inlineStr">
        <is>
          <t>2001-03-28</t>
        </is>
      </c>
      <c r="Y335" t="n">
        <v>152</v>
      </c>
      <c r="Z335" t="n">
        <v>105</v>
      </c>
      <c r="AA335" t="n">
        <v>117</v>
      </c>
      <c r="AB335" t="n">
        <v>2</v>
      </c>
      <c r="AC335" t="n">
        <v>2</v>
      </c>
      <c r="AD335" t="n">
        <v>5</v>
      </c>
      <c r="AE335" t="n">
        <v>7</v>
      </c>
      <c r="AF335" t="n">
        <v>1</v>
      </c>
      <c r="AG335" t="n">
        <v>1</v>
      </c>
      <c r="AH335" t="n">
        <v>0</v>
      </c>
      <c r="AI335" t="n">
        <v>1</v>
      </c>
      <c r="AJ335" t="n">
        <v>4</v>
      </c>
      <c r="AK335" t="n">
        <v>6</v>
      </c>
      <c r="AL335" t="n">
        <v>1</v>
      </c>
      <c r="AM335" t="n">
        <v>1</v>
      </c>
      <c r="AN335" t="n">
        <v>0</v>
      </c>
      <c r="AO335" t="n">
        <v>0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HYPERLINK("http://catalog.hathitrust.org/Record/000397480","HathiTrust Record")</f>
        <v/>
      </c>
      <c r="AS335">
        <f>HYPERLINK("https://creighton-primo.hosted.exlibrisgroup.com/primo-explore/search?tab=default_tab&amp;search_scope=EVERYTHING&amp;vid=01CRU&amp;lang=en_US&amp;offset=0&amp;query=any,contains,991003500239702656","Catalog Record")</f>
        <v/>
      </c>
      <c r="AT335">
        <f>HYPERLINK("http://www.worldcat.org/oclc/12689931","WorldCat Record")</f>
        <v/>
      </c>
      <c r="AU335" t="inlineStr">
        <is>
          <t>5685983:eng</t>
        </is>
      </c>
      <c r="AV335" t="inlineStr">
        <is>
          <t>12689931</t>
        </is>
      </c>
      <c r="AW335" t="inlineStr">
        <is>
          <t>991003500239702656</t>
        </is>
      </c>
      <c r="AX335" t="inlineStr">
        <is>
          <t>991003500239702656</t>
        </is>
      </c>
      <c r="AY335" t="inlineStr">
        <is>
          <t>2270669900002656</t>
        </is>
      </c>
      <c r="AZ335" t="inlineStr">
        <is>
          <t>BOOK</t>
        </is>
      </c>
      <c r="BB335" t="inlineStr">
        <is>
          <t>9780862920791</t>
        </is>
      </c>
      <c r="BC335" t="inlineStr">
        <is>
          <t>32285004308440</t>
        </is>
      </c>
      <c r="BD335" t="inlineStr">
        <is>
          <t>893598644</t>
        </is>
      </c>
      <c r="BE335" t="inlineStr">
        <is>
          <t>Fajardo Acosta</t>
        </is>
      </c>
    </row>
    <row r="336">
      <c r="A336" t="inlineStr">
        <is>
          <t>No</t>
        </is>
      </c>
      <c r="B336" t="inlineStr">
        <is>
          <t>PA3405.S8 E8</t>
        </is>
      </c>
      <c r="C336" t="inlineStr">
        <is>
          <t>0                      PA 3405000S  8                  E  8</t>
        </is>
      </c>
      <c r="D336" t="inlineStr">
        <is>
          <t>Euripidis Fabulae / recognovit brevique adnotatione critica instruxit Gilbertus Murray.</t>
        </is>
      </c>
      <c r="E336" t="inlineStr">
        <is>
          <t>V.1</t>
        </is>
      </c>
      <c r="F336" t="inlineStr">
        <is>
          <t>Yes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Euripides.</t>
        </is>
      </c>
      <c r="L336" t="inlineStr">
        <is>
          <t>Oxonii : E Typographeo Clarendoniano, 1902-&lt;1903? &gt;</t>
        </is>
      </c>
      <c r="M336" t="inlineStr">
        <is>
          <t>1902</t>
        </is>
      </c>
      <c r="O336" t="inlineStr">
        <is>
          <t>grc</t>
        </is>
      </c>
      <c r="P336" t="inlineStr">
        <is>
          <t>enk</t>
        </is>
      </c>
      <c r="Q336" t="inlineStr">
        <is>
          <t>Scriptorum classicorum bibliotheca Oxoniensis</t>
        </is>
      </c>
      <c r="R336" t="inlineStr">
        <is>
          <t xml:space="preserve">PA </t>
        </is>
      </c>
      <c r="S336" t="n">
        <v>7</v>
      </c>
      <c r="T336" t="n">
        <v>18</v>
      </c>
      <c r="U336" t="inlineStr">
        <is>
          <t>2002-09-24</t>
        </is>
      </c>
      <c r="V336" t="inlineStr">
        <is>
          <t>2008-09-09</t>
        </is>
      </c>
      <c r="W336" t="inlineStr">
        <is>
          <t>1997-08-06</t>
        </is>
      </c>
      <c r="X336" t="inlineStr">
        <is>
          <t>1997-08-06</t>
        </is>
      </c>
      <c r="Y336" t="n">
        <v>92</v>
      </c>
      <c r="Z336" t="n">
        <v>66</v>
      </c>
      <c r="AA336" t="n">
        <v>70</v>
      </c>
      <c r="AB336" t="n">
        <v>1</v>
      </c>
      <c r="AC336" t="n">
        <v>1</v>
      </c>
      <c r="AD336" t="n">
        <v>6</v>
      </c>
      <c r="AE336" t="n">
        <v>6</v>
      </c>
      <c r="AF336" t="n">
        <v>2</v>
      </c>
      <c r="AG336" t="n">
        <v>2</v>
      </c>
      <c r="AH336" t="n">
        <v>0</v>
      </c>
      <c r="AI336" t="n">
        <v>0</v>
      </c>
      <c r="AJ336" t="n">
        <v>6</v>
      </c>
      <c r="AK336" t="n">
        <v>6</v>
      </c>
      <c r="AL336" t="n">
        <v>0</v>
      </c>
      <c r="AM336" t="n">
        <v>0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HYPERLINK("http://catalog.hathitrust.org/Record/100616338","HathiTrust Record")</f>
        <v/>
      </c>
      <c r="AS336">
        <f>HYPERLINK("https://creighton-primo.hosted.exlibrisgroup.com/primo-explore/search?tab=default_tab&amp;search_scope=EVERYTHING&amp;vid=01CRU&amp;lang=en_US&amp;offset=0&amp;query=any,contains,991005384699702656","Catalog Record")</f>
        <v/>
      </c>
      <c r="AT336">
        <f>HYPERLINK("http://www.worldcat.org/oclc/6676463","WorldCat Record")</f>
        <v/>
      </c>
      <c r="AU336" t="inlineStr">
        <is>
          <t>3373967162:grc</t>
        </is>
      </c>
      <c r="AV336" t="inlineStr">
        <is>
          <t>6676463</t>
        </is>
      </c>
      <c r="AW336" t="inlineStr">
        <is>
          <t>991005384699702656</t>
        </is>
      </c>
      <c r="AX336" t="inlineStr">
        <is>
          <t>991005384699702656</t>
        </is>
      </c>
      <c r="AY336" t="inlineStr">
        <is>
          <t>2259645610002656</t>
        </is>
      </c>
      <c r="AZ336" t="inlineStr">
        <is>
          <t>BOOK</t>
        </is>
      </c>
      <c r="BC336" t="inlineStr">
        <is>
          <t>32285003028304</t>
        </is>
      </c>
      <c r="BD336" t="inlineStr">
        <is>
          <t>893242663</t>
        </is>
      </c>
      <c r="BE336" t="inlineStr">
        <is>
          <t>Fajardo Acosta</t>
        </is>
      </c>
    </row>
    <row r="337">
      <c r="A337" t="inlineStr">
        <is>
          <t>No</t>
        </is>
      </c>
      <c r="B337" t="inlineStr">
        <is>
          <t>PA3405.S8 H9</t>
        </is>
      </c>
      <c r="C337" t="inlineStr">
        <is>
          <t>0                      PA 3405000S  8                  H  9</t>
        </is>
      </c>
      <c r="D337" t="inlineStr">
        <is>
          <t>Hyperidis orationes et fragmenta. Recognovit brevique adnotatione critica instrvxit F.G. Kenyon ...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Hyperides.</t>
        </is>
      </c>
      <c r="L337" t="inlineStr">
        <is>
          <t>Oxonii, e typographeo Clarendoniano [1906]</t>
        </is>
      </c>
      <c r="M337" t="inlineStr">
        <is>
          <t>1906</t>
        </is>
      </c>
      <c r="O337" t="inlineStr">
        <is>
          <t>lat</t>
        </is>
      </c>
      <c r="P337" t="inlineStr">
        <is>
          <t>enk</t>
        </is>
      </c>
      <c r="Q337" t="inlineStr">
        <is>
          <t>Scriptorum classicorum bibliotheca oxoniensis [script. graeci]</t>
        </is>
      </c>
      <c r="R337" t="inlineStr">
        <is>
          <t xml:space="preserve">PA </t>
        </is>
      </c>
      <c r="S337" t="n">
        <v>5</v>
      </c>
      <c r="T337" t="n">
        <v>5</v>
      </c>
      <c r="U337" t="inlineStr">
        <is>
          <t>2003-10-07</t>
        </is>
      </c>
      <c r="V337" t="inlineStr">
        <is>
          <t>2003-10-07</t>
        </is>
      </c>
      <c r="W337" t="inlineStr">
        <is>
          <t>1997-08-28</t>
        </is>
      </c>
      <c r="X337" t="inlineStr">
        <is>
          <t>1997-08-28</t>
        </is>
      </c>
      <c r="Y337" t="n">
        <v>138</v>
      </c>
      <c r="Z337" t="n">
        <v>110</v>
      </c>
      <c r="AA337" t="n">
        <v>134</v>
      </c>
      <c r="AB337" t="n">
        <v>2</v>
      </c>
      <c r="AC337" t="n">
        <v>2</v>
      </c>
      <c r="AD337" t="n">
        <v>14</v>
      </c>
      <c r="AE337" t="n">
        <v>14</v>
      </c>
      <c r="AF337" t="n">
        <v>3</v>
      </c>
      <c r="AG337" t="n">
        <v>3</v>
      </c>
      <c r="AH337" t="n">
        <v>4</v>
      </c>
      <c r="AI337" t="n">
        <v>4</v>
      </c>
      <c r="AJ337" t="n">
        <v>9</v>
      </c>
      <c r="AK337" t="n">
        <v>9</v>
      </c>
      <c r="AL337" t="n">
        <v>1</v>
      </c>
      <c r="AM337" t="n">
        <v>1</v>
      </c>
      <c r="AN337" t="n">
        <v>0</v>
      </c>
      <c r="AO337" t="n">
        <v>0</v>
      </c>
      <c r="AP337" t="inlineStr">
        <is>
          <t>Yes</t>
        </is>
      </c>
      <c r="AQ337" t="inlineStr">
        <is>
          <t>No</t>
        </is>
      </c>
      <c r="AR337">
        <f>HYPERLINK("http://catalog.hathitrust.org/Record/001223085","HathiTrust Record")</f>
        <v/>
      </c>
      <c r="AS337">
        <f>HYPERLINK("https://creighton-primo.hosted.exlibrisgroup.com/primo-explore/search?tab=default_tab&amp;search_scope=EVERYTHING&amp;vid=01CRU&amp;lang=en_US&amp;offset=0&amp;query=any,contains,991005150199702656","Catalog Record")</f>
        <v/>
      </c>
      <c r="AT337">
        <f>HYPERLINK("http://www.worldcat.org/oclc/7726931","WorldCat Record")</f>
        <v/>
      </c>
      <c r="AU337" t="inlineStr">
        <is>
          <t>18103608:lat</t>
        </is>
      </c>
      <c r="AV337" t="inlineStr">
        <is>
          <t>7726931</t>
        </is>
      </c>
      <c r="AW337" t="inlineStr">
        <is>
          <t>991005150199702656</t>
        </is>
      </c>
      <c r="AX337" t="inlineStr">
        <is>
          <t>991005150199702656</t>
        </is>
      </c>
      <c r="AY337" t="inlineStr">
        <is>
          <t>2257717650002656</t>
        </is>
      </c>
      <c r="AZ337" t="inlineStr">
        <is>
          <t>BOOK</t>
        </is>
      </c>
      <c r="BC337" t="inlineStr">
        <is>
          <t>32285002944311</t>
        </is>
      </c>
      <c r="BD337" t="inlineStr">
        <is>
          <t>893418455</t>
        </is>
      </c>
      <c r="BE337" t="inlineStr">
        <is>
          <t>Fajardo Acosta</t>
        </is>
      </c>
    </row>
    <row r="338">
      <c r="A338" t="inlineStr">
        <is>
          <t>No</t>
        </is>
      </c>
      <c r="B338" t="inlineStr">
        <is>
          <t>PA3405.S8 T7</t>
        </is>
      </c>
      <c r="C338" t="inlineStr">
        <is>
          <t>0                      PA 3405000S  8                  T  7</t>
        </is>
      </c>
      <c r="D338" t="inlineStr">
        <is>
          <t>Thucydidis Historiae / recognovit brevique adnotatione critica instruxit Henricus Stuart Jones.</t>
        </is>
      </c>
      <c r="E338" t="inlineStr">
        <is>
          <t>V.1</t>
        </is>
      </c>
      <c r="F338" t="inlineStr">
        <is>
          <t>Yes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Thucydides.</t>
        </is>
      </c>
      <c r="L338" t="inlineStr">
        <is>
          <t>Oxonii, e typographeo Clarendoniano [1902]</t>
        </is>
      </c>
      <c r="M338" t="inlineStr">
        <is>
          <t>1902</t>
        </is>
      </c>
      <c r="O338" t="inlineStr">
        <is>
          <t>lat</t>
        </is>
      </c>
      <c r="P338" t="inlineStr">
        <is>
          <t>enk</t>
        </is>
      </c>
      <c r="Q338" t="inlineStr">
        <is>
          <t>Scriptorum classicorum bibliotheca Oxoniensis</t>
        </is>
      </c>
      <c r="R338" t="inlineStr">
        <is>
          <t xml:space="preserve">PA </t>
        </is>
      </c>
      <c r="S338" t="n">
        <v>1</v>
      </c>
      <c r="T338" t="n">
        <v>2</v>
      </c>
      <c r="U338" t="inlineStr">
        <is>
          <t>2003-04-21</t>
        </is>
      </c>
      <c r="V338" t="inlineStr">
        <is>
          <t>2003-04-21</t>
        </is>
      </c>
      <c r="W338" t="inlineStr">
        <is>
          <t>1997-08-06</t>
        </is>
      </c>
      <c r="X338" t="inlineStr">
        <is>
          <t>1997-08-06</t>
        </is>
      </c>
      <c r="Y338" t="n">
        <v>134</v>
      </c>
      <c r="Z338" t="n">
        <v>117</v>
      </c>
      <c r="AA338" t="n">
        <v>137</v>
      </c>
      <c r="AB338" t="n">
        <v>1</v>
      </c>
      <c r="AC338" t="n">
        <v>1</v>
      </c>
      <c r="AD338" t="n">
        <v>11</v>
      </c>
      <c r="AE338" t="n">
        <v>13</v>
      </c>
      <c r="AF338" t="n">
        <v>2</v>
      </c>
      <c r="AG338" t="n">
        <v>3</v>
      </c>
      <c r="AH338" t="n">
        <v>3</v>
      </c>
      <c r="AI338" t="n">
        <v>3</v>
      </c>
      <c r="AJ338" t="n">
        <v>8</v>
      </c>
      <c r="AK338" t="n">
        <v>10</v>
      </c>
      <c r="AL338" t="n">
        <v>0</v>
      </c>
      <c r="AM338" t="n">
        <v>0</v>
      </c>
      <c r="AN338" t="n">
        <v>0</v>
      </c>
      <c r="AO338" t="n">
        <v>0</v>
      </c>
      <c r="AP338" t="inlineStr">
        <is>
          <t>Yes</t>
        </is>
      </c>
      <c r="AQ338" t="inlineStr">
        <is>
          <t>No</t>
        </is>
      </c>
      <c r="AR338">
        <f>HYPERLINK("http://catalog.hathitrust.org/Record/009020891","HathiTrust Record")</f>
        <v/>
      </c>
      <c r="AS338">
        <f>HYPERLINK("https://creighton-primo.hosted.exlibrisgroup.com/primo-explore/search?tab=default_tab&amp;search_scope=EVERYTHING&amp;vid=01CRU&amp;lang=en_US&amp;offset=0&amp;query=any,contains,991005074539702656","Catalog Record")</f>
        <v/>
      </c>
      <c r="AT338">
        <f>HYPERLINK("http://www.worldcat.org/oclc/7089981","WorldCat Record")</f>
        <v/>
      </c>
      <c r="AU338" t="inlineStr">
        <is>
          <t>4575217393:grc</t>
        </is>
      </c>
      <c r="AV338" t="inlineStr">
        <is>
          <t>7089981</t>
        </is>
      </c>
      <c r="AW338" t="inlineStr">
        <is>
          <t>991005074539702656</t>
        </is>
      </c>
      <c r="AX338" t="inlineStr">
        <is>
          <t>991005074539702656</t>
        </is>
      </c>
      <c r="AY338" t="inlineStr">
        <is>
          <t>2272495760002656</t>
        </is>
      </c>
      <c r="AZ338" t="inlineStr">
        <is>
          <t>BOOK</t>
        </is>
      </c>
      <c r="BC338" t="inlineStr">
        <is>
          <t>32285003028288</t>
        </is>
      </c>
      <c r="BD338" t="inlineStr">
        <is>
          <t>893719727</t>
        </is>
      </c>
      <c r="BE338" t="inlineStr">
        <is>
          <t>Fajardo Acosta</t>
        </is>
      </c>
    </row>
    <row r="339">
      <c r="A339" t="inlineStr">
        <is>
          <t>No</t>
        </is>
      </c>
      <c r="B339" t="inlineStr">
        <is>
          <t>PA3405.S8 T7</t>
        </is>
      </c>
      <c r="C339" t="inlineStr">
        <is>
          <t>0                      PA 3405000S  8                  T  7</t>
        </is>
      </c>
      <c r="D339" t="inlineStr">
        <is>
          <t>Thucydidis Historiae / recognovit brevique adnotatione critica instruxit Henricus Stuart Jones.</t>
        </is>
      </c>
      <c r="E339" t="inlineStr">
        <is>
          <t>V.2</t>
        </is>
      </c>
      <c r="F339" t="inlineStr">
        <is>
          <t>Yes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Thucydides.</t>
        </is>
      </c>
      <c r="L339" t="inlineStr">
        <is>
          <t>Oxonii, e typographeo Clarendoniano [1902]</t>
        </is>
      </c>
      <c r="M339" t="inlineStr">
        <is>
          <t>1902</t>
        </is>
      </c>
      <c r="O339" t="inlineStr">
        <is>
          <t>lat</t>
        </is>
      </c>
      <c r="P339" t="inlineStr">
        <is>
          <t>enk</t>
        </is>
      </c>
      <c r="Q339" t="inlineStr">
        <is>
          <t>Scriptorum classicorum bibliotheca Oxoniensis</t>
        </is>
      </c>
      <c r="R339" t="inlineStr">
        <is>
          <t xml:space="preserve">PA </t>
        </is>
      </c>
      <c r="S339" t="n">
        <v>1</v>
      </c>
      <c r="T339" t="n">
        <v>2</v>
      </c>
      <c r="U339" t="inlineStr">
        <is>
          <t>2003-04-21</t>
        </is>
      </c>
      <c r="V339" t="inlineStr">
        <is>
          <t>2003-04-21</t>
        </is>
      </c>
      <c r="W339" t="inlineStr">
        <is>
          <t>1997-08-06</t>
        </is>
      </c>
      <c r="X339" t="inlineStr">
        <is>
          <t>1997-08-06</t>
        </is>
      </c>
      <c r="Y339" t="n">
        <v>134</v>
      </c>
      <c r="Z339" t="n">
        <v>117</v>
      </c>
      <c r="AA339" t="n">
        <v>137</v>
      </c>
      <c r="AB339" t="n">
        <v>1</v>
      </c>
      <c r="AC339" t="n">
        <v>1</v>
      </c>
      <c r="AD339" t="n">
        <v>11</v>
      </c>
      <c r="AE339" t="n">
        <v>13</v>
      </c>
      <c r="AF339" t="n">
        <v>2</v>
      </c>
      <c r="AG339" t="n">
        <v>3</v>
      </c>
      <c r="AH339" t="n">
        <v>3</v>
      </c>
      <c r="AI339" t="n">
        <v>3</v>
      </c>
      <c r="AJ339" t="n">
        <v>8</v>
      </c>
      <c r="AK339" t="n">
        <v>10</v>
      </c>
      <c r="AL339" t="n">
        <v>0</v>
      </c>
      <c r="AM339" t="n">
        <v>0</v>
      </c>
      <c r="AN339" t="n">
        <v>0</v>
      </c>
      <c r="AO339" t="n">
        <v>0</v>
      </c>
      <c r="AP339" t="inlineStr">
        <is>
          <t>Yes</t>
        </is>
      </c>
      <c r="AQ339" t="inlineStr">
        <is>
          <t>No</t>
        </is>
      </c>
      <c r="AR339">
        <f>HYPERLINK("http://catalog.hathitrust.org/Record/009020891","HathiTrust Record")</f>
        <v/>
      </c>
      <c r="AS339">
        <f>HYPERLINK("https://creighton-primo.hosted.exlibrisgroup.com/primo-explore/search?tab=default_tab&amp;search_scope=EVERYTHING&amp;vid=01CRU&amp;lang=en_US&amp;offset=0&amp;query=any,contains,991005074539702656","Catalog Record")</f>
        <v/>
      </c>
      <c r="AT339">
        <f>HYPERLINK("http://www.worldcat.org/oclc/7089981","WorldCat Record")</f>
        <v/>
      </c>
      <c r="AU339" t="inlineStr">
        <is>
          <t>4575217393:grc</t>
        </is>
      </c>
      <c r="AV339" t="inlineStr">
        <is>
          <t>7089981</t>
        </is>
      </c>
      <c r="AW339" t="inlineStr">
        <is>
          <t>991005074539702656</t>
        </is>
      </c>
      <c r="AX339" t="inlineStr">
        <is>
          <t>991005074539702656</t>
        </is>
      </c>
      <c r="AY339" t="inlineStr">
        <is>
          <t>2272495760002656</t>
        </is>
      </c>
      <c r="AZ339" t="inlineStr">
        <is>
          <t>BOOK</t>
        </is>
      </c>
      <c r="BC339" t="inlineStr">
        <is>
          <t>32285003028296</t>
        </is>
      </c>
      <c r="BD339" t="inlineStr">
        <is>
          <t>893700992</t>
        </is>
      </c>
      <c r="BE339" t="inlineStr">
        <is>
          <t>Fajardo Acosta</t>
        </is>
      </c>
    </row>
    <row r="340">
      <c r="A340" t="inlineStr">
        <is>
          <t>No</t>
        </is>
      </c>
      <c r="B340" t="inlineStr">
        <is>
          <t>PA3405.S8 X4 1900-20</t>
        </is>
      </c>
      <c r="C340" t="inlineStr">
        <is>
          <t>0                      PA 3405000S  8                  X  4           1900                  -20</t>
        </is>
      </c>
      <c r="D340" t="inlineStr">
        <is>
          <t>Xenophontis Opera omnia / recognovit breviqve adnotatione critica instrvxit E.C. Marchant ...</t>
        </is>
      </c>
      <c r="E340" t="inlineStr">
        <is>
          <t>V.2</t>
        </is>
      </c>
      <c r="F340" t="inlineStr">
        <is>
          <t>Yes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Xenophon.</t>
        </is>
      </c>
      <c r="L340" t="inlineStr">
        <is>
          <t>Oxonii : e typographeo Clarendoniano, [1900-20]</t>
        </is>
      </c>
      <c r="M340" t="inlineStr">
        <is>
          <t>1900</t>
        </is>
      </c>
      <c r="O340" t="inlineStr">
        <is>
          <t>grc</t>
        </is>
      </c>
      <c r="P340" t="inlineStr">
        <is>
          <t>enk</t>
        </is>
      </c>
      <c r="Q340" t="inlineStr">
        <is>
          <t>Scriptorum classicorum bibliotheca oxoniensis. [S.g.]</t>
        </is>
      </c>
      <c r="R340" t="inlineStr">
        <is>
          <t xml:space="preserve">PA </t>
        </is>
      </c>
      <c r="S340" t="n">
        <v>4</v>
      </c>
      <c r="T340" t="n">
        <v>13</v>
      </c>
      <c r="U340" t="inlineStr">
        <is>
          <t>2003-04-07</t>
        </is>
      </c>
      <c r="V340" t="inlineStr">
        <is>
          <t>2007-03-21</t>
        </is>
      </c>
      <c r="W340" t="inlineStr">
        <is>
          <t>1993-09-09</t>
        </is>
      </c>
      <c r="X340" t="inlineStr">
        <is>
          <t>1993-09-09</t>
        </is>
      </c>
      <c r="Y340" t="n">
        <v>274</v>
      </c>
      <c r="Z340" t="n">
        <v>230</v>
      </c>
      <c r="AA340" t="n">
        <v>245</v>
      </c>
      <c r="AB340" t="n">
        <v>2</v>
      </c>
      <c r="AC340" t="n">
        <v>2</v>
      </c>
      <c r="AD340" t="n">
        <v>19</v>
      </c>
      <c r="AE340" t="n">
        <v>22</v>
      </c>
      <c r="AF340" t="n">
        <v>5</v>
      </c>
      <c r="AG340" t="n">
        <v>7</v>
      </c>
      <c r="AH340" t="n">
        <v>5</v>
      </c>
      <c r="AI340" t="n">
        <v>5</v>
      </c>
      <c r="AJ340" t="n">
        <v>12</v>
      </c>
      <c r="AK340" t="n">
        <v>14</v>
      </c>
      <c r="AL340" t="n">
        <v>1</v>
      </c>
      <c r="AM340" t="n">
        <v>1</v>
      </c>
      <c r="AN340" t="n">
        <v>0</v>
      </c>
      <c r="AO340" t="n">
        <v>0</v>
      </c>
      <c r="AP340" t="inlineStr">
        <is>
          <t>Yes</t>
        </is>
      </c>
      <c r="AQ340" t="inlineStr">
        <is>
          <t>No</t>
        </is>
      </c>
      <c r="AR340">
        <f>HYPERLINK("http://catalog.hathitrust.org/Record/001058490","HathiTrust Record")</f>
        <v/>
      </c>
      <c r="AS340">
        <f>HYPERLINK("https://creighton-primo.hosted.exlibrisgroup.com/primo-explore/search?tab=default_tab&amp;search_scope=EVERYTHING&amp;vid=01CRU&amp;lang=en_US&amp;offset=0&amp;query=any,contains,991003340249702656","Catalog Record")</f>
        <v/>
      </c>
      <c r="AT340">
        <f>HYPERLINK("http://www.worldcat.org/oclc/30844347","WorldCat Record")</f>
        <v/>
      </c>
      <c r="AU340" t="inlineStr">
        <is>
          <t>3372112793:grc</t>
        </is>
      </c>
      <c r="AV340" t="inlineStr">
        <is>
          <t>30844347</t>
        </is>
      </c>
      <c r="AW340" t="inlineStr">
        <is>
          <t>991003340249702656</t>
        </is>
      </c>
      <c r="AX340" t="inlineStr">
        <is>
          <t>991003340249702656</t>
        </is>
      </c>
      <c r="AY340" t="inlineStr">
        <is>
          <t>2261421590002656</t>
        </is>
      </c>
      <c r="AZ340" t="inlineStr">
        <is>
          <t>BOOK</t>
        </is>
      </c>
      <c r="BC340" t="inlineStr">
        <is>
          <t>32285001764207</t>
        </is>
      </c>
      <c r="BD340" t="inlineStr">
        <is>
          <t>893434910</t>
        </is>
      </c>
      <c r="BE340" t="inlineStr">
        <is>
          <t>Fajardo Acosta</t>
        </is>
      </c>
    </row>
    <row r="341">
      <c r="A341" t="inlineStr">
        <is>
          <t>No</t>
        </is>
      </c>
      <c r="B341" t="inlineStr">
        <is>
          <t>PA3405.S8 X4 1900-20</t>
        </is>
      </c>
      <c r="C341" t="inlineStr">
        <is>
          <t>0                      PA 3405000S  8                  X  4           1900                  -20</t>
        </is>
      </c>
      <c r="D341" t="inlineStr">
        <is>
          <t>Xenophontis Opera omnia / recognovit breviqve adnotatione critica instrvxit E.C. Marchant ...</t>
        </is>
      </c>
      <c r="E341" t="inlineStr">
        <is>
          <t>V.3</t>
        </is>
      </c>
      <c r="F341" t="inlineStr">
        <is>
          <t>Yes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K341" t="inlineStr">
        <is>
          <t>Xenophon.</t>
        </is>
      </c>
      <c r="L341" t="inlineStr">
        <is>
          <t>Oxonii : e typographeo Clarendoniano, [1900-20]</t>
        </is>
      </c>
      <c r="M341" t="inlineStr">
        <is>
          <t>1900</t>
        </is>
      </c>
      <c r="O341" t="inlineStr">
        <is>
          <t>grc</t>
        </is>
      </c>
      <c r="P341" t="inlineStr">
        <is>
          <t>enk</t>
        </is>
      </c>
      <c r="Q341" t="inlineStr">
        <is>
          <t>Scriptorum classicorum bibliotheca oxoniensis. [S.g.]</t>
        </is>
      </c>
      <c r="R341" t="inlineStr">
        <is>
          <t xml:space="preserve">PA </t>
        </is>
      </c>
      <c r="S341" t="n">
        <v>4</v>
      </c>
      <c r="T341" t="n">
        <v>13</v>
      </c>
      <c r="U341" t="inlineStr">
        <is>
          <t>2001-04-18</t>
        </is>
      </c>
      <c r="V341" t="inlineStr">
        <is>
          <t>2007-03-21</t>
        </is>
      </c>
      <c r="W341" t="inlineStr">
        <is>
          <t>1993-09-09</t>
        </is>
      </c>
      <c r="X341" t="inlineStr">
        <is>
          <t>1993-09-09</t>
        </is>
      </c>
      <c r="Y341" t="n">
        <v>274</v>
      </c>
      <c r="Z341" t="n">
        <v>230</v>
      </c>
      <c r="AA341" t="n">
        <v>245</v>
      </c>
      <c r="AB341" t="n">
        <v>2</v>
      </c>
      <c r="AC341" t="n">
        <v>2</v>
      </c>
      <c r="AD341" t="n">
        <v>19</v>
      </c>
      <c r="AE341" t="n">
        <v>22</v>
      </c>
      <c r="AF341" t="n">
        <v>5</v>
      </c>
      <c r="AG341" t="n">
        <v>7</v>
      </c>
      <c r="AH341" t="n">
        <v>5</v>
      </c>
      <c r="AI341" t="n">
        <v>5</v>
      </c>
      <c r="AJ341" t="n">
        <v>12</v>
      </c>
      <c r="AK341" t="n">
        <v>14</v>
      </c>
      <c r="AL341" t="n">
        <v>1</v>
      </c>
      <c r="AM341" t="n">
        <v>1</v>
      </c>
      <c r="AN341" t="n">
        <v>0</v>
      </c>
      <c r="AO341" t="n">
        <v>0</v>
      </c>
      <c r="AP341" t="inlineStr">
        <is>
          <t>Yes</t>
        </is>
      </c>
      <c r="AQ341" t="inlineStr">
        <is>
          <t>No</t>
        </is>
      </c>
      <c r="AR341">
        <f>HYPERLINK("http://catalog.hathitrust.org/Record/001058490","HathiTrust Record")</f>
        <v/>
      </c>
      <c r="AS341">
        <f>HYPERLINK("https://creighton-primo.hosted.exlibrisgroup.com/primo-explore/search?tab=default_tab&amp;search_scope=EVERYTHING&amp;vid=01CRU&amp;lang=en_US&amp;offset=0&amp;query=any,contains,991003340249702656","Catalog Record")</f>
        <v/>
      </c>
      <c r="AT341">
        <f>HYPERLINK("http://www.worldcat.org/oclc/30844347","WorldCat Record")</f>
        <v/>
      </c>
      <c r="AU341" t="inlineStr">
        <is>
          <t>3372112793:grc</t>
        </is>
      </c>
      <c r="AV341" t="inlineStr">
        <is>
          <t>30844347</t>
        </is>
      </c>
      <c r="AW341" t="inlineStr">
        <is>
          <t>991003340249702656</t>
        </is>
      </c>
      <c r="AX341" t="inlineStr">
        <is>
          <t>991003340249702656</t>
        </is>
      </c>
      <c r="AY341" t="inlineStr">
        <is>
          <t>2261421590002656</t>
        </is>
      </c>
      <c r="AZ341" t="inlineStr">
        <is>
          <t>BOOK</t>
        </is>
      </c>
      <c r="BC341" t="inlineStr">
        <is>
          <t>32285001763431</t>
        </is>
      </c>
      <c r="BD341" t="inlineStr">
        <is>
          <t>893434909</t>
        </is>
      </c>
      <c r="BE341" t="inlineStr">
        <is>
          <t>Fajardo Acosta</t>
        </is>
      </c>
    </row>
    <row r="342">
      <c r="A342" t="inlineStr">
        <is>
          <t>No</t>
        </is>
      </c>
      <c r="B342" t="inlineStr">
        <is>
          <t>PA3405.S8 X4 1900-20</t>
        </is>
      </c>
      <c r="C342" t="inlineStr">
        <is>
          <t>0                      PA 3405000S  8                  X  4           1900                  -20</t>
        </is>
      </c>
      <c r="D342" t="inlineStr">
        <is>
          <t>Xenophontis Opera omnia / recognovit breviqve adnotatione critica instrvxit E.C. Marchant ...</t>
        </is>
      </c>
      <c r="E342" t="inlineStr">
        <is>
          <t>V.1</t>
        </is>
      </c>
      <c r="F342" t="inlineStr">
        <is>
          <t>Yes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Xenophon.</t>
        </is>
      </c>
      <c r="L342" t="inlineStr">
        <is>
          <t>Oxonii : e typographeo Clarendoniano, [1900-20]</t>
        </is>
      </c>
      <c r="M342" t="inlineStr">
        <is>
          <t>1900</t>
        </is>
      </c>
      <c r="O342" t="inlineStr">
        <is>
          <t>grc</t>
        </is>
      </c>
      <c r="P342" t="inlineStr">
        <is>
          <t>enk</t>
        </is>
      </c>
      <c r="Q342" t="inlineStr">
        <is>
          <t>Scriptorum classicorum bibliotheca oxoniensis. [S.g.]</t>
        </is>
      </c>
      <c r="R342" t="inlineStr">
        <is>
          <t xml:space="preserve">PA </t>
        </is>
      </c>
      <c r="S342" t="n">
        <v>1</v>
      </c>
      <c r="T342" t="n">
        <v>13</v>
      </c>
      <c r="U342" t="inlineStr">
        <is>
          <t>2005-03-29</t>
        </is>
      </c>
      <c r="V342" t="inlineStr">
        <is>
          <t>2007-03-21</t>
        </is>
      </c>
      <c r="W342" t="inlineStr">
        <is>
          <t>1993-09-09</t>
        </is>
      </c>
      <c r="X342" t="inlineStr">
        <is>
          <t>1993-09-09</t>
        </is>
      </c>
      <c r="Y342" t="n">
        <v>274</v>
      </c>
      <c r="Z342" t="n">
        <v>230</v>
      </c>
      <c r="AA342" t="n">
        <v>245</v>
      </c>
      <c r="AB342" t="n">
        <v>2</v>
      </c>
      <c r="AC342" t="n">
        <v>2</v>
      </c>
      <c r="AD342" t="n">
        <v>19</v>
      </c>
      <c r="AE342" t="n">
        <v>22</v>
      </c>
      <c r="AF342" t="n">
        <v>5</v>
      </c>
      <c r="AG342" t="n">
        <v>7</v>
      </c>
      <c r="AH342" t="n">
        <v>5</v>
      </c>
      <c r="AI342" t="n">
        <v>5</v>
      </c>
      <c r="AJ342" t="n">
        <v>12</v>
      </c>
      <c r="AK342" t="n">
        <v>14</v>
      </c>
      <c r="AL342" t="n">
        <v>1</v>
      </c>
      <c r="AM342" t="n">
        <v>1</v>
      </c>
      <c r="AN342" t="n">
        <v>0</v>
      </c>
      <c r="AO342" t="n">
        <v>0</v>
      </c>
      <c r="AP342" t="inlineStr">
        <is>
          <t>Yes</t>
        </is>
      </c>
      <c r="AQ342" t="inlineStr">
        <is>
          <t>No</t>
        </is>
      </c>
      <c r="AR342">
        <f>HYPERLINK("http://catalog.hathitrust.org/Record/001058490","HathiTrust Record")</f>
        <v/>
      </c>
      <c r="AS342">
        <f>HYPERLINK("https://creighton-primo.hosted.exlibrisgroup.com/primo-explore/search?tab=default_tab&amp;search_scope=EVERYTHING&amp;vid=01CRU&amp;lang=en_US&amp;offset=0&amp;query=any,contains,991003340249702656","Catalog Record")</f>
        <v/>
      </c>
      <c r="AT342">
        <f>HYPERLINK("http://www.worldcat.org/oclc/30844347","WorldCat Record")</f>
        <v/>
      </c>
      <c r="AU342" t="inlineStr">
        <is>
          <t>3372112793:grc</t>
        </is>
      </c>
      <c r="AV342" t="inlineStr">
        <is>
          <t>30844347</t>
        </is>
      </c>
      <c r="AW342" t="inlineStr">
        <is>
          <t>991003340249702656</t>
        </is>
      </c>
      <c r="AX342" t="inlineStr">
        <is>
          <t>991003340249702656</t>
        </is>
      </c>
      <c r="AY342" t="inlineStr">
        <is>
          <t>2261421590002656</t>
        </is>
      </c>
      <c r="AZ342" t="inlineStr">
        <is>
          <t>BOOK</t>
        </is>
      </c>
      <c r="BC342" t="inlineStr">
        <is>
          <t>32285001763423</t>
        </is>
      </c>
      <c r="BD342" t="inlineStr">
        <is>
          <t>893445624</t>
        </is>
      </c>
      <c r="BE342" t="inlineStr">
        <is>
          <t>Fajardo Acosta</t>
        </is>
      </c>
    </row>
    <row r="343">
      <c r="A343" t="inlineStr">
        <is>
          <t>No</t>
        </is>
      </c>
      <c r="B343" t="inlineStr">
        <is>
          <t>PA3611 .A15</t>
        </is>
      </c>
      <c r="C343" t="inlineStr">
        <is>
          <t>0                      PA 3611000A  15</t>
        </is>
      </c>
      <c r="D343" t="inlineStr">
        <is>
          <t>Lyra graeca : being the remains of all the Greek lyric poets from Eumelus to Timotheus excepting Pindar / newly edited and translted by J.M. Edmonds ... in three volumes.</t>
        </is>
      </c>
      <c r="E343" t="inlineStr">
        <is>
          <t>V.2</t>
        </is>
      </c>
      <c r="F343" t="inlineStr">
        <is>
          <t>Yes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K343" t="inlineStr">
        <is>
          <t>Edmonds, J. M. (John Maxwell) editor.</t>
        </is>
      </c>
      <c r="L343" t="inlineStr">
        <is>
          <t>London : W. Heinemann ; New York : G.P. Putnam's sons, 1922-1927.</t>
        </is>
      </c>
      <c r="M343" t="inlineStr">
        <is>
          <t>1922</t>
        </is>
      </c>
      <c r="O343" t="inlineStr">
        <is>
          <t>eng</t>
        </is>
      </c>
      <c r="P343" t="inlineStr">
        <is>
          <t>enk</t>
        </is>
      </c>
      <c r="Q343" t="inlineStr">
        <is>
          <t>The Loeb classical library. Greek authors</t>
        </is>
      </c>
      <c r="R343" t="inlineStr">
        <is>
          <t xml:space="preserve">PA </t>
        </is>
      </c>
      <c r="S343" t="n">
        <v>6</v>
      </c>
      <c r="T343" t="n">
        <v>13</v>
      </c>
      <c r="U343" t="inlineStr">
        <is>
          <t>2001-08-25</t>
        </is>
      </c>
      <c r="V343" t="inlineStr">
        <is>
          <t>2003-11-02</t>
        </is>
      </c>
      <c r="W343" t="inlineStr">
        <is>
          <t>1992-01-14</t>
        </is>
      </c>
      <c r="X343" t="inlineStr">
        <is>
          <t>1992-01-14</t>
        </is>
      </c>
      <c r="Y343" t="n">
        <v>338</v>
      </c>
      <c r="Z343" t="n">
        <v>266</v>
      </c>
      <c r="AA343" t="n">
        <v>745</v>
      </c>
      <c r="AB343" t="n">
        <v>2</v>
      </c>
      <c r="AC343" t="n">
        <v>6</v>
      </c>
      <c r="AD343" t="n">
        <v>13</v>
      </c>
      <c r="AE343" t="n">
        <v>36</v>
      </c>
      <c r="AF343" t="n">
        <v>2</v>
      </c>
      <c r="AG343" t="n">
        <v>14</v>
      </c>
      <c r="AH343" t="n">
        <v>5</v>
      </c>
      <c r="AI343" t="n">
        <v>9</v>
      </c>
      <c r="AJ343" t="n">
        <v>10</v>
      </c>
      <c r="AK343" t="n">
        <v>17</v>
      </c>
      <c r="AL343" t="n">
        <v>1</v>
      </c>
      <c r="AM343" t="n">
        <v>5</v>
      </c>
      <c r="AN343" t="n">
        <v>0</v>
      </c>
      <c r="AO343" t="n">
        <v>0</v>
      </c>
      <c r="AP343" t="inlineStr">
        <is>
          <t>Yes</t>
        </is>
      </c>
      <c r="AQ343" t="inlineStr">
        <is>
          <t>Yes</t>
        </is>
      </c>
      <c r="AR343">
        <f>HYPERLINK("http://catalog.hathitrust.org/Record/001193232","HathiTrust Record")</f>
        <v/>
      </c>
      <c r="AS343">
        <f>HYPERLINK("https://creighton-primo.hosted.exlibrisgroup.com/primo-explore/search?tab=default_tab&amp;search_scope=EVERYTHING&amp;vid=01CRU&amp;lang=en_US&amp;offset=0&amp;query=any,contains,991004132589702656","Catalog Record")</f>
        <v/>
      </c>
      <c r="AT343">
        <f>HYPERLINK("http://www.worldcat.org/oclc/2475412","WorldCat Record")</f>
        <v/>
      </c>
      <c r="AU343" t="inlineStr">
        <is>
          <t>2865521809:eng</t>
        </is>
      </c>
      <c r="AV343" t="inlineStr">
        <is>
          <t>2475412</t>
        </is>
      </c>
      <c r="AW343" t="inlineStr">
        <is>
          <t>991004132589702656</t>
        </is>
      </c>
      <c r="AX343" t="inlineStr">
        <is>
          <t>991004132589702656</t>
        </is>
      </c>
      <c r="AY343" t="inlineStr">
        <is>
          <t>2269290400002656</t>
        </is>
      </c>
      <c r="AZ343" t="inlineStr">
        <is>
          <t>BOOK</t>
        </is>
      </c>
      <c r="BC343" t="inlineStr">
        <is>
          <t>32285000911445</t>
        </is>
      </c>
      <c r="BD343" t="inlineStr">
        <is>
          <t>893331231</t>
        </is>
      </c>
      <c r="BE343" t="inlineStr">
        <is>
          <t>Fajardo Acosta</t>
        </is>
      </c>
    </row>
    <row r="344">
      <c r="A344" t="inlineStr">
        <is>
          <t>No</t>
        </is>
      </c>
      <c r="B344" t="inlineStr">
        <is>
          <t>PA3611 .A15</t>
        </is>
      </c>
      <c r="C344" t="inlineStr">
        <is>
          <t>0                      PA 3611000A  15</t>
        </is>
      </c>
      <c r="D344" t="inlineStr">
        <is>
          <t>Lyra graeca : being the remains of all the Greek lyric poets from Eumelus to Timotheus excepting Pindar / newly edited and translted by J.M. Edmonds ... in three volumes.</t>
        </is>
      </c>
      <c r="E344" t="inlineStr">
        <is>
          <t>V.1</t>
        </is>
      </c>
      <c r="F344" t="inlineStr">
        <is>
          <t>Yes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Edmonds, J. M. (John Maxwell) editor.</t>
        </is>
      </c>
      <c r="L344" t="inlineStr">
        <is>
          <t>London : W. Heinemann ; New York : G.P. Putnam's sons, 1922-1927.</t>
        </is>
      </c>
      <c r="M344" t="inlineStr">
        <is>
          <t>1922</t>
        </is>
      </c>
      <c r="O344" t="inlineStr">
        <is>
          <t>eng</t>
        </is>
      </c>
      <c r="P344" t="inlineStr">
        <is>
          <t>enk</t>
        </is>
      </c>
      <c r="Q344" t="inlineStr">
        <is>
          <t>The Loeb classical library. Greek authors</t>
        </is>
      </c>
      <c r="R344" t="inlineStr">
        <is>
          <t xml:space="preserve">PA </t>
        </is>
      </c>
      <c r="S344" t="n">
        <v>5</v>
      </c>
      <c r="T344" t="n">
        <v>13</v>
      </c>
      <c r="U344" t="inlineStr">
        <is>
          <t>2003-11-02</t>
        </is>
      </c>
      <c r="V344" t="inlineStr">
        <is>
          <t>2003-11-02</t>
        </is>
      </c>
      <c r="W344" t="inlineStr">
        <is>
          <t>1992-01-14</t>
        </is>
      </c>
      <c r="X344" t="inlineStr">
        <is>
          <t>1992-01-14</t>
        </is>
      </c>
      <c r="Y344" t="n">
        <v>338</v>
      </c>
      <c r="Z344" t="n">
        <v>266</v>
      </c>
      <c r="AA344" t="n">
        <v>745</v>
      </c>
      <c r="AB344" t="n">
        <v>2</v>
      </c>
      <c r="AC344" t="n">
        <v>6</v>
      </c>
      <c r="AD344" t="n">
        <v>13</v>
      </c>
      <c r="AE344" t="n">
        <v>36</v>
      </c>
      <c r="AF344" t="n">
        <v>2</v>
      </c>
      <c r="AG344" t="n">
        <v>14</v>
      </c>
      <c r="AH344" t="n">
        <v>5</v>
      </c>
      <c r="AI344" t="n">
        <v>9</v>
      </c>
      <c r="AJ344" t="n">
        <v>10</v>
      </c>
      <c r="AK344" t="n">
        <v>17</v>
      </c>
      <c r="AL344" t="n">
        <v>1</v>
      </c>
      <c r="AM344" t="n">
        <v>5</v>
      </c>
      <c r="AN344" t="n">
        <v>0</v>
      </c>
      <c r="AO344" t="n">
        <v>0</v>
      </c>
      <c r="AP344" t="inlineStr">
        <is>
          <t>Yes</t>
        </is>
      </c>
      <c r="AQ344" t="inlineStr">
        <is>
          <t>Yes</t>
        </is>
      </c>
      <c r="AR344">
        <f>HYPERLINK("http://catalog.hathitrust.org/Record/001193232","HathiTrust Record")</f>
        <v/>
      </c>
      <c r="AS344">
        <f>HYPERLINK("https://creighton-primo.hosted.exlibrisgroup.com/primo-explore/search?tab=default_tab&amp;search_scope=EVERYTHING&amp;vid=01CRU&amp;lang=en_US&amp;offset=0&amp;query=any,contains,991004132589702656","Catalog Record")</f>
        <v/>
      </c>
      <c r="AT344">
        <f>HYPERLINK("http://www.worldcat.org/oclc/2475412","WorldCat Record")</f>
        <v/>
      </c>
      <c r="AU344" t="inlineStr">
        <is>
          <t>2865521809:eng</t>
        </is>
      </c>
      <c r="AV344" t="inlineStr">
        <is>
          <t>2475412</t>
        </is>
      </c>
      <c r="AW344" t="inlineStr">
        <is>
          <t>991004132589702656</t>
        </is>
      </c>
      <c r="AX344" t="inlineStr">
        <is>
          <t>991004132589702656</t>
        </is>
      </c>
      <c r="AY344" t="inlineStr">
        <is>
          <t>2269290400002656</t>
        </is>
      </c>
      <c r="AZ344" t="inlineStr">
        <is>
          <t>BOOK</t>
        </is>
      </c>
      <c r="BC344" t="inlineStr">
        <is>
          <t>32285000911437</t>
        </is>
      </c>
      <c r="BD344" t="inlineStr">
        <is>
          <t>893324969</t>
        </is>
      </c>
      <c r="BE344" t="inlineStr">
        <is>
          <t>Fajardo Acosta</t>
        </is>
      </c>
    </row>
    <row r="345">
      <c r="A345" t="inlineStr">
        <is>
          <t>No</t>
        </is>
      </c>
      <c r="B345" t="inlineStr">
        <is>
          <t>PA3611 .A15</t>
        </is>
      </c>
      <c r="C345" t="inlineStr">
        <is>
          <t>0                      PA 3611000A  15</t>
        </is>
      </c>
      <c r="D345" t="inlineStr">
        <is>
          <t>Lyra graeca : being the remains of all the Greek lyric poets from Eumelus to Timotheus excepting Pindar / newly edited and translted by J.M. Edmonds ... in three volumes.</t>
        </is>
      </c>
      <c r="E345" t="inlineStr">
        <is>
          <t>V.3</t>
        </is>
      </c>
      <c r="F345" t="inlineStr">
        <is>
          <t>Yes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Edmonds, J. M. (John Maxwell) editor.</t>
        </is>
      </c>
      <c r="L345" t="inlineStr">
        <is>
          <t>London : W. Heinemann ; New York : G.P. Putnam's sons, 1922-1927.</t>
        </is>
      </c>
      <c r="M345" t="inlineStr">
        <is>
          <t>1922</t>
        </is>
      </c>
      <c r="O345" t="inlineStr">
        <is>
          <t>eng</t>
        </is>
      </c>
      <c r="P345" t="inlineStr">
        <is>
          <t>enk</t>
        </is>
      </c>
      <c r="Q345" t="inlineStr">
        <is>
          <t>The Loeb classical library. Greek authors</t>
        </is>
      </c>
      <c r="R345" t="inlineStr">
        <is>
          <t xml:space="preserve">PA </t>
        </is>
      </c>
      <c r="S345" t="n">
        <v>2</v>
      </c>
      <c r="T345" t="n">
        <v>13</v>
      </c>
      <c r="U345" t="inlineStr">
        <is>
          <t>2001-08-25</t>
        </is>
      </c>
      <c r="V345" t="inlineStr">
        <is>
          <t>2003-11-02</t>
        </is>
      </c>
      <c r="W345" t="inlineStr">
        <is>
          <t>1992-01-14</t>
        </is>
      </c>
      <c r="X345" t="inlineStr">
        <is>
          <t>1992-01-14</t>
        </is>
      </c>
      <c r="Y345" t="n">
        <v>338</v>
      </c>
      <c r="Z345" t="n">
        <v>266</v>
      </c>
      <c r="AA345" t="n">
        <v>745</v>
      </c>
      <c r="AB345" t="n">
        <v>2</v>
      </c>
      <c r="AC345" t="n">
        <v>6</v>
      </c>
      <c r="AD345" t="n">
        <v>13</v>
      </c>
      <c r="AE345" t="n">
        <v>36</v>
      </c>
      <c r="AF345" t="n">
        <v>2</v>
      </c>
      <c r="AG345" t="n">
        <v>14</v>
      </c>
      <c r="AH345" t="n">
        <v>5</v>
      </c>
      <c r="AI345" t="n">
        <v>9</v>
      </c>
      <c r="AJ345" t="n">
        <v>10</v>
      </c>
      <c r="AK345" t="n">
        <v>17</v>
      </c>
      <c r="AL345" t="n">
        <v>1</v>
      </c>
      <c r="AM345" t="n">
        <v>5</v>
      </c>
      <c r="AN345" t="n">
        <v>0</v>
      </c>
      <c r="AO345" t="n">
        <v>0</v>
      </c>
      <c r="AP345" t="inlineStr">
        <is>
          <t>Yes</t>
        </is>
      </c>
      <c r="AQ345" t="inlineStr">
        <is>
          <t>Yes</t>
        </is>
      </c>
      <c r="AR345">
        <f>HYPERLINK("http://catalog.hathitrust.org/Record/001193232","HathiTrust Record")</f>
        <v/>
      </c>
      <c r="AS345">
        <f>HYPERLINK("https://creighton-primo.hosted.exlibrisgroup.com/primo-explore/search?tab=default_tab&amp;search_scope=EVERYTHING&amp;vid=01CRU&amp;lang=en_US&amp;offset=0&amp;query=any,contains,991004132589702656","Catalog Record")</f>
        <v/>
      </c>
      <c r="AT345">
        <f>HYPERLINK("http://www.worldcat.org/oclc/2475412","WorldCat Record")</f>
        <v/>
      </c>
      <c r="AU345" t="inlineStr">
        <is>
          <t>2865521809:eng</t>
        </is>
      </c>
      <c r="AV345" t="inlineStr">
        <is>
          <t>2475412</t>
        </is>
      </c>
      <c r="AW345" t="inlineStr">
        <is>
          <t>991004132589702656</t>
        </is>
      </c>
      <c r="AX345" t="inlineStr">
        <is>
          <t>991004132589702656</t>
        </is>
      </c>
      <c r="AY345" t="inlineStr">
        <is>
          <t>2269290400002656</t>
        </is>
      </c>
      <c r="AZ345" t="inlineStr">
        <is>
          <t>BOOK</t>
        </is>
      </c>
      <c r="BC345" t="inlineStr">
        <is>
          <t>32285000911452</t>
        </is>
      </c>
      <c r="BD345" t="inlineStr">
        <is>
          <t>893353232</t>
        </is>
      </c>
      <c r="BE345" t="inlineStr">
        <is>
          <t>Fajardo Acosta</t>
        </is>
      </c>
    </row>
    <row r="346">
      <c r="A346" t="inlineStr">
        <is>
          <t>No</t>
        </is>
      </c>
      <c r="B346" t="inlineStr">
        <is>
          <t>PA3612 .C18 1958</t>
        </is>
      </c>
      <c r="C346" t="inlineStr">
        <is>
          <t>0                      PA 3612000C  18          1958</t>
        </is>
      </c>
      <c r="D346" t="inlineStr">
        <is>
          <t>Aetia, Iambi, lyric poems, Hecale, minor epic and elegiac poems, fragments of epigrams, fragments of uncertain location / text, translation, and notes by C. A. Trypanis.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Callimachus.</t>
        </is>
      </c>
      <c r="L346" t="inlineStr">
        <is>
          <t>Cambridge : Harvard University Press, 1958.</t>
        </is>
      </c>
      <c r="M346" t="inlineStr">
        <is>
          <t>1958</t>
        </is>
      </c>
      <c r="O346" t="inlineStr">
        <is>
          <t>grc</t>
        </is>
      </c>
      <c r="P346" t="inlineStr">
        <is>
          <t>mau</t>
        </is>
      </c>
      <c r="Q346" t="inlineStr">
        <is>
          <t>The Loeb classical library</t>
        </is>
      </c>
      <c r="R346" t="inlineStr">
        <is>
          <t xml:space="preserve">PA </t>
        </is>
      </c>
      <c r="S346" t="n">
        <v>6</v>
      </c>
      <c r="T346" t="n">
        <v>6</v>
      </c>
      <c r="U346" t="inlineStr">
        <is>
          <t>2001-04-27</t>
        </is>
      </c>
      <c r="V346" t="inlineStr">
        <is>
          <t>2001-04-27</t>
        </is>
      </c>
      <c r="W346" t="inlineStr">
        <is>
          <t>1992-01-14</t>
        </is>
      </c>
      <c r="X346" t="inlineStr">
        <is>
          <t>1992-01-14</t>
        </is>
      </c>
      <c r="Y346" t="n">
        <v>464</v>
      </c>
      <c r="Z346" t="n">
        <v>418</v>
      </c>
      <c r="AA346" t="n">
        <v>498</v>
      </c>
      <c r="AB346" t="n">
        <v>3</v>
      </c>
      <c r="AC346" t="n">
        <v>3</v>
      </c>
      <c r="AD346" t="n">
        <v>27</v>
      </c>
      <c r="AE346" t="n">
        <v>27</v>
      </c>
      <c r="AF346" t="n">
        <v>10</v>
      </c>
      <c r="AG346" t="n">
        <v>10</v>
      </c>
      <c r="AH346" t="n">
        <v>4</v>
      </c>
      <c r="AI346" t="n">
        <v>4</v>
      </c>
      <c r="AJ346" t="n">
        <v>17</v>
      </c>
      <c r="AK346" t="n">
        <v>17</v>
      </c>
      <c r="AL346" t="n">
        <v>2</v>
      </c>
      <c r="AM346" t="n">
        <v>2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HYPERLINK("http://catalog.hathitrust.org/Record/007122086","HathiTrust Record")</f>
        <v/>
      </c>
      <c r="AS346">
        <f>HYPERLINK("https://creighton-primo.hosted.exlibrisgroup.com/primo-explore/search?tab=default_tab&amp;search_scope=EVERYTHING&amp;vid=01CRU&amp;lang=en_US&amp;offset=0&amp;query=any,contains,991005354399702656","Catalog Record")</f>
        <v/>
      </c>
      <c r="AT346">
        <f>HYPERLINK("http://www.worldcat.org/oclc/312073","WorldCat Record")</f>
        <v/>
      </c>
      <c r="AU346" t="inlineStr">
        <is>
          <t>3855466477:grc</t>
        </is>
      </c>
      <c r="AV346" t="inlineStr">
        <is>
          <t>312073</t>
        </is>
      </c>
      <c r="AW346" t="inlineStr">
        <is>
          <t>991005354399702656</t>
        </is>
      </c>
      <c r="AX346" t="inlineStr">
        <is>
          <t>991005354399702656</t>
        </is>
      </c>
      <c r="AY346" t="inlineStr">
        <is>
          <t>2271092570002656</t>
        </is>
      </c>
      <c r="AZ346" t="inlineStr">
        <is>
          <t>BOOK</t>
        </is>
      </c>
      <c r="BC346" t="inlineStr">
        <is>
          <t>32285000911353</t>
        </is>
      </c>
      <c r="BD346" t="inlineStr">
        <is>
          <t>893254860</t>
        </is>
      </c>
      <c r="BE346" t="inlineStr">
        <is>
          <t>Fajardo Acosta</t>
        </is>
      </c>
    </row>
    <row r="347">
      <c r="A347" t="inlineStr">
        <is>
          <t>No</t>
        </is>
      </c>
      <c r="B347" t="inlineStr">
        <is>
          <t>PA3612 .D37</t>
        </is>
      </c>
      <c r="C347" t="inlineStr">
        <is>
          <t>0                      PA 3612000D  37</t>
        </is>
      </c>
      <c r="D347" t="inlineStr">
        <is>
          <t>Demosthenes against Meidias, Androtion, Aristocrates, Timocrates, Aristogeiton / with an English translation by J.H. Vince.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K347" t="inlineStr">
        <is>
          <t>Demosthenes.</t>
        </is>
      </c>
      <c r="L347" t="inlineStr">
        <is>
          <t>Cambridge, Mass. : Harvard University Press ; London : W. Heinemann ltd., 1935.</t>
        </is>
      </c>
      <c r="M347" t="inlineStr">
        <is>
          <t>1935</t>
        </is>
      </c>
      <c r="O347" t="inlineStr">
        <is>
          <t>eng</t>
        </is>
      </c>
      <c r="P347" t="inlineStr">
        <is>
          <t xml:space="preserve">xx </t>
        </is>
      </c>
      <c r="Q347" t="inlineStr">
        <is>
          <t>Half-title: The Loeb classical library. [Greek authors. no. 299]</t>
        </is>
      </c>
      <c r="R347" t="inlineStr">
        <is>
          <t xml:space="preserve">PA </t>
        </is>
      </c>
      <c r="S347" t="n">
        <v>6</v>
      </c>
      <c r="T347" t="n">
        <v>6</v>
      </c>
      <c r="U347" t="inlineStr">
        <is>
          <t>2004-11-03</t>
        </is>
      </c>
      <c r="V347" t="inlineStr">
        <is>
          <t>2004-11-03</t>
        </is>
      </c>
      <c r="W347" t="inlineStr">
        <is>
          <t>1992-03-24</t>
        </is>
      </c>
      <c r="X347" t="inlineStr">
        <is>
          <t>1992-03-24</t>
        </is>
      </c>
      <c r="Y347" t="n">
        <v>371</v>
      </c>
      <c r="Z347" t="n">
        <v>334</v>
      </c>
      <c r="AA347" t="n">
        <v>354</v>
      </c>
      <c r="AB347" t="n">
        <v>2</v>
      </c>
      <c r="AC347" t="n">
        <v>2</v>
      </c>
      <c r="AD347" t="n">
        <v>23</v>
      </c>
      <c r="AE347" t="n">
        <v>24</v>
      </c>
      <c r="AF347" t="n">
        <v>9</v>
      </c>
      <c r="AG347" t="n">
        <v>9</v>
      </c>
      <c r="AH347" t="n">
        <v>4</v>
      </c>
      <c r="AI347" t="n">
        <v>5</v>
      </c>
      <c r="AJ347" t="n">
        <v>16</v>
      </c>
      <c r="AK347" t="n">
        <v>17</v>
      </c>
      <c r="AL347" t="n">
        <v>1</v>
      </c>
      <c r="AM347" t="n">
        <v>1</v>
      </c>
      <c r="AN347" t="n">
        <v>0</v>
      </c>
      <c r="AO347" t="n">
        <v>0</v>
      </c>
      <c r="AP347" t="inlineStr">
        <is>
          <t>No</t>
        </is>
      </c>
      <c r="AQ347" t="inlineStr">
        <is>
          <t>No</t>
        </is>
      </c>
      <c r="AR347">
        <f>HYPERLINK("http://catalog.hathitrust.org/Record/001181667","HathiTrust Record")</f>
        <v/>
      </c>
      <c r="AS347">
        <f>HYPERLINK("https://creighton-primo.hosted.exlibrisgroup.com/primo-explore/search?tab=default_tab&amp;search_scope=EVERYTHING&amp;vid=01CRU&amp;lang=en_US&amp;offset=0&amp;query=any,contains,991003658669702656","Catalog Record")</f>
        <v/>
      </c>
      <c r="AT347">
        <f>HYPERLINK("http://www.worldcat.org/oclc/1265100","WorldCat Record")</f>
        <v/>
      </c>
      <c r="AU347" t="inlineStr">
        <is>
          <t>5453631040:eng</t>
        </is>
      </c>
      <c r="AV347" t="inlineStr">
        <is>
          <t>1265100</t>
        </is>
      </c>
      <c r="AW347" t="inlineStr">
        <is>
          <t>991003658669702656</t>
        </is>
      </c>
      <c r="AX347" t="inlineStr">
        <is>
          <t>991003658669702656</t>
        </is>
      </c>
      <c r="AY347" t="inlineStr">
        <is>
          <t>2264149640002656</t>
        </is>
      </c>
      <c r="AZ347" t="inlineStr">
        <is>
          <t>BOOK</t>
        </is>
      </c>
      <c r="BC347" t="inlineStr">
        <is>
          <t>32285001027563</t>
        </is>
      </c>
      <c r="BD347" t="inlineStr">
        <is>
          <t>893699244</t>
        </is>
      </c>
      <c r="BE347" t="inlineStr">
        <is>
          <t>Fajardo Acosta</t>
        </is>
      </c>
    </row>
    <row r="348">
      <c r="A348" t="inlineStr">
        <is>
          <t>No</t>
        </is>
      </c>
      <c r="B348" t="inlineStr">
        <is>
          <t>PA3612 .D53</t>
        </is>
      </c>
      <c r="C348" t="inlineStr">
        <is>
          <t>0                      PA 3612000D  53</t>
        </is>
      </c>
      <c r="D348" t="inlineStr">
        <is>
          <t>The Roman antiquities of Dionysius of Halicarnassus, with an English translation by Earnest Cary, on the basis of the version of Edward Spelman.</t>
        </is>
      </c>
      <c r="E348" t="inlineStr">
        <is>
          <t>V.4</t>
        </is>
      </c>
      <c r="F348" t="inlineStr">
        <is>
          <t>Yes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K348" t="inlineStr">
        <is>
          <t>Dionysius, of Halicarnassus.</t>
        </is>
      </c>
      <c r="L348" t="inlineStr">
        <is>
          <t>Cambridge, Mass., Harvard University Press; London, W. Heinemann, 1937-1950.</t>
        </is>
      </c>
      <c r="M348" t="inlineStr">
        <is>
          <t>1937</t>
        </is>
      </c>
      <c r="O348" t="inlineStr">
        <is>
          <t>eng</t>
        </is>
      </c>
      <c r="P348" t="inlineStr">
        <is>
          <t>mau</t>
        </is>
      </c>
      <c r="Q348" t="inlineStr">
        <is>
          <t>The Loeb classical library</t>
        </is>
      </c>
      <c r="R348" t="inlineStr">
        <is>
          <t xml:space="preserve">PA </t>
        </is>
      </c>
      <c r="S348" t="n">
        <v>8</v>
      </c>
      <c r="T348" t="n">
        <v>56</v>
      </c>
      <c r="U348" t="inlineStr">
        <is>
          <t>2005-07-15</t>
        </is>
      </c>
      <c r="V348" t="inlineStr">
        <is>
          <t>2005-11-30</t>
        </is>
      </c>
      <c r="W348" t="inlineStr">
        <is>
          <t>1992-07-17</t>
        </is>
      </c>
      <c r="X348" t="inlineStr">
        <is>
          <t>1992-07-17</t>
        </is>
      </c>
      <c r="Y348" t="n">
        <v>759</v>
      </c>
      <c r="Z348" t="n">
        <v>658</v>
      </c>
      <c r="AA348" t="n">
        <v>658</v>
      </c>
      <c r="AB348" t="n">
        <v>3</v>
      </c>
      <c r="AC348" t="n">
        <v>3</v>
      </c>
      <c r="AD348" t="n">
        <v>37</v>
      </c>
      <c r="AE348" t="n">
        <v>37</v>
      </c>
      <c r="AF348" t="n">
        <v>17</v>
      </c>
      <c r="AG348" t="n">
        <v>17</v>
      </c>
      <c r="AH348" t="n">
        <v>8</v>
      </c>
      <c r="AI348" t="n">
        <v>8</v>
      </c>
      <c r="AJ348" t="n">
        <v>22</v>
      </c>
      <c r="AK348" t="n">
        <v>22</v>
      </c>
      <c r="AL348" t="n">
        <v>2</v>
      </c>
      <c r="AM348" t="n">
        <v>2</v>
      </c>
      <c r="AN348" t="n">
        <v>0</v>
      </c>
      <c r="AO348" t="n">
        <v>0</v>
      </c>
      <c r="AP348" t="inlineStr">
        <is>
          <t>Yes</t>
        </is>
      </c>
      <c r="AQ348" t="inlineStr">
        <is>
          <t>Yes</t>
        </is>
      </c>
      <c r="AR348">
        <f>HYPERLINK("http://catalog.hathitrust.org/Record/001181669","HathiTrust Record")</f>
        <v/>
      </c>
      <c r="AS348">
        <f>HYPERLINK("https://creighton-primo.hosted.exlibrisgroup.com/primo-explore/search?tab=default_tab&amp;search_scope=EVERYTHING&amp;vid=01CRU&amp;lang=en_US&amp;offset=0&amp;query=any,contains,991005354379702656","Catalog Record")</f>
        <v/>
      </c>
      <c r="AT348">
        <f>HYPERLINK("http://www.worldcat.org/oclc/311063","WorldCat Record")</f>
        <v/>
      </c>
      <c r="AU348" t="inlineStr">
        <is>
          <t>9381009687:grc</t>
        </is>
      </c>
      <c r="AV348" t="inlineStr">
        <is>
          <t>311063</t>
        </is>
      </c>
      <c r="AW348" t="inlineStr">
        <is>
          <t>991005354379702656</t>
        </is>
      </c>
      <c r="AX348" t="inlineStr">
        <is>
          <t>991005354379702656</t>
        </is>
      </c>
      <c r="AY348" t="inlineStr">
        <is>
          <t>2272470050002656</t>
        </is>
      </c>
      <c r="AZ348" t="inlineStr">
        <is>
          <t>BOOK</t>
        </is>
      </c>
      <c r="BC348" t="inlineStr">
        <is>
          <t>32285001211274</t>
        </is>
      </c>
      <c r="BD348" t="inlineStr">
        <is>
          <t>893320482</t>
        </is>
      </c>
      <c r="BE348" t="inlineStr">
        <is>
          <t>Fajardo Acosta</t>
        </is>
      </c>
    </row>
    <row r="349">
      <c r="A349" t="inlineStr">
        <is>
          <t>No</t>
        </is>
      </c>
      <c r="B349" t="inlineStr">
        <is>
          <t>PA3612 .D53</t>
        </is>
      </c>
      <c r="C349" t="inlineStr">
        <is>
          <t>0                      PA 3612000D  53</t>
        </is>
      </c>
      <c r="D349" t="inlineStr">
        <is>
          <t>The Roman antiquities of Dionysius of Halicarnassus, with an English translation by Earnest Cary, on the basis of the version of Edward Spelman.</t>
        </is>
      </c>
      <c r="E349" t="inlineStr">
        <is>
          <t>V.6</t>
        </is>
      </c>
      <c r="F349" t="inlineStr">
        <is>
          <t>Yes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K349" t="inlineStr">
        <is>
          <t>Dionysius, of Halicarnassus.</t>
        </is>
      </c>
      <c r="L349" t="inlineStr">
        <is>
          <t>Cambridge, Mass., Harvard University Press; London, W. Heinemann, 1937-1950.</t>
        </is>
      </c>
      <c r="M349" t="inlineStr">
        <is>
          <t>1937</t>
        </is>
      </c>
      <c r="O349" t="inlineStr">
        <is>
          <t>eng</t>
        </is>
      </c>
      <c r="P349" t="inlineStr">
        <is>
          <t>mau</t>
        </is>
      </c>
      <c r="Q349" t="inlineStr">
        <is>
          <t>The Loeb classical library</t>
        </is>
      </c>
      <c r="R349" t="inlineStr">
        <is>
          <t xml:space="preserve">PA </t>
        </is>
      </c>
      <c r="S349" t="n">
        <v>6</v>
      </c>
      <c r="T349" t="n">
        <v>56</v>
      </c>
      <c r="U349" t="inlineStr">
        <is>
          <t>2002-02-22</t>
        </is>
      </c>
      <c r="V349" t="inlineStr">
        <is>
          <t>2005-11-30</t>
        </is>
      </c>
      <c r="W349" t="inlineStr">
        <is>
          <t>1992-07-17</t>
        </is>
      </c>
      <c r="X349" t="inlineStr">
        <is>
          <t>1992-07-17</t>
        </is>
      </c>
      <c r="Y349" t="n">
        <v>759</v>
      </c>
      <c r="Z349" t="n">
        <v>658</v>
      </c>
      <c r="AA349" t="n">
        <v>658</v>
      </c>
      <c r="AB349" t="n">
        <v>3</v>
      </c>
      <c r="AC349" t="n">
        <v>3</v>
      </c>
      <c r="AD349" t="n">
        <v>37</v>
      </c>
      <c r="AE349" t="n">
        <v>37</v>
      </c>
      <c r="AF349" t="n">
        <v>17</v>
      </c>
      <c r="AG349" t="n">
        <v>17</v>
      </c>
      <c r="AH349" t="n">
        <v>8</v>
      </c>
      <c r="AI349" t="n">
        <v>8</v>
      </c>
      <c r="AJ349" t="n">
        <v>22</v>
      </c>
      <c r="AK349" t="n">
        <v>22</v>
      </c>
      <c r="AL349" t="n">
        <v>2</v>
      </c>
      <c r="AM349" t="n">
        <v>2</v>
      </c>
      <c r="AN349" t="n">
        <v>0</v>
      </c>
      <c r="AO349" t="n">
        <v>0</v>
      </c>
      <c r="AP349" t="inlineStr">
        <is>
          <t>Yes</t>
        </is>
      </c>
      <c r="AQ349" t="inlineStr">
        <is>
          <t>Yes</t>
        </is>
      </c>
      <c r="AR349">
        <f>HYPERLINK("http://catalog.hathitrust.org/Record/001181669","HathiTrust Record")</f>
        <v/>
      </c>
      <c r="AS349">
        <f>HYPERLINK("https://creighton-primo.hosted.exlibrisgroup.com/primo-explore/search?tab=default_tab&amp;search_scope=EVERYTHING&amp;vid=01CRU&amp;lang=en_US&amp;offset=0&amp;query=any,contains,991005354379702656","Catalog Record")</f>
        <v/>
      </c>
      <c r="AT349">
        <f>HYPERLINK("http://www.worldcat.org/oclc/311063","WorldCat Record")</f>
        <v/>
      </c>
      <c r="AU349" t="inlineStr">
        <is>
          <t>9381009687:grc</t>
        </is>
      </c>
      <c r="AV349" t="inlineStr">
        <is>
          <t>311063</t>
        </is>
      </c>
      <c r="AW349" t="inlineStr">
        <is>
          <t>991005354379702656</t>
        </is>
      </c>
      <c r="AX349" t="inlineStr">
        <is>
          <t>991005354379702656</t>
        </is>
      </c>
      <c r="AY349" t="inlineStr">
        <is>
          <t>2272470050002656</t>
        </is>
      </c>
      <c r="AZ349" t="inlineStr">
        <is>
          <t>BOOK</t>
        </is>
      </c>
      <c r="BC349" t="inlineStr">
        <is>
          <t>32285001211290</t>
        </is>
      </c>
      <c r="BD349" t="inlineStr">
        <is>
          <t>893351135</t>
        </is>
      </c>
      <c r="BE349" t="inlineStr">
        <is>
          <t>Fajardo Acosta</t>
        </is>
      </c>
    </row>
    <row r="350">
      <c r="A350" t="inlineStr">
        <is>
          <t>No</t>
        </is>
      </c>
      <c r="B350" t="inlineStr">
        <is>
          <t>PA3612 .D53</t>
        </is>
      </c>
      <c r="C350" t="inlineStr">
        <is>
          <t>0                      PA 3612000D  53</t>
        </is>
      </c>
      <c r="D350" t="inlineStr">
        <is>
          <t>The Roman antiquities of Dionysius of Halicarnassus, with an English translation by Earnest Cary, on the basis of the version of Edward Spelman.</t>
        </is>
      </c>
      <c r="E350" t="inlineStr">
        <is>
          <t>V.7</t>
        </is>
      </c>
      <c r="F350" t="inlineStr">
        <is>
          <t>Yes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Dionysius, of Halicarnassus.</t>
        </is>
      </c>
      <c r="L350" t="inlineStr">
        <is>
          <t>Cambridge, Mass., Harvard University Press; London, W. Heinemann, 1937-1950.</t>
        </is>
      </c>
      <c r="M350" t="inlineStr">
        <is>
          <t>1937</t>
        </is>
      </c>
      <c r="O350" t="inlineStr">
        <is>
          <t>eng</t>
        </is>
      </c>
      <c r="P350" t="inlineStr">
        <is>
          <t>mau</t>
        </is>
      </c>
      <c r="Q350" t="inlineStr">
        <is>
          <t>The Loeb classical library</t>
        </is>
      </c>
      <c r="R350" t="inlineStr">
        <is>
          <t xml:space="preserve">PA </t>
        </is>
      </c>
      <c r="S350" t="n">
        <v>7</v>
      </c>
      <c r="T350" t="n">
        <v>56</v>
      </c>
      <c r="U350" t="inlineStr">
        <is>
          <t>2002-02-22</t>
        </is>
      </c>
      <c r="V350" t="inlineStr">
        <is>
          <t>2005-11-30</t>
        </is>
      </c>
      <c r="W350" t="inlineStr">
        <is>
          <t>1992-07-17</t>
        </is>
      </c>
      <c r="X350" t="inlineStr">
        <is>
          <t>1992-07-17</t>
        </is>
      </c>
      <c r="Y350" t="n">
        <v>759</v>
      </c>
      <c r="Z350" t="n">
        <v>658</v>
      </c>
      <c r="AA350" t="n">
        <v>658</v>
      </c>
      <c r="AB350" t="n">
        <v>3</v>
      </c>
      <c r="AC350" t="n">
        <v>3</v>
      </c>
      <c r="AD350" t="n">
        <v>37</v>
      </c>
      <c r="AE350" t="n">
        <v>37</v>
      </c>
      <c r="AF350" t="n">
        <v>17</v>
      </c>
      <c r="AG350" t="n">
        <v>17</v>
      </c>
      <c r="AH350" t="n">
        <v>8</v>
      </c>
      <c r="AI350" t="n">
        <v>8</v>
      </c>
      <c r="AJ350" t="n">
        <v>22</v>
      </c>
      <c r="AK350" t="n">
        <v>22</v>
      </c>
      <c r="AL350" t="n">
        <v>2</v>
      </c>
      <c r="AM350" t="n">
        <v>2</v>
      </c>
      <c r="AN350" t="n">
        <v>0</v>
      </c>
      <c r="AO350" t="n">
        <v>0</v>
      </c>
      <c r="AP350" t="inlineStr">
        <is>
          <t>Yes</t>
        </is>
      </c>
      <c r="AQ350" t="inlineStr">
        <is>
          <t>Yes</t>
        </is>
      </c>
      <c r="AR350">
        <f>HYPERLINK("http://catalog.hathitrust.org/Record/001181669","HathiTrust Record")</f>
        <v/>
      </c>
      <c r="AS350">
        <f>HYPERLINK("https://creighton-primo.hosted.exlibrisgroup.com/primo-explore/search?tab=default_tab&amp;search_scope=EVERYTHING&amp;vid=01CRU&amp;lang=en_US&amp;offset=0&amp;query=any,contains,991005354379702656","Catalog Record")</f>
        <v/>
      </c>
      <c r="AT350">
        <f>HYPERLINK("http://www.worldcat.org/oclc/311063","WorldCat Record")</f>
        <v/>
      </c>
      <c r="AU350" t="inlineStr">
        <is>
          <t>9381009687:grc</t>
        </is>
      </c>
      <c r="AV350" t="inlineStr">
        <is>
          <t>311063</t>
        </is>
      </c>
      <c r="AW350" t="inlineStr">
        <is>
          <t>991005354379702656</t>
        </is>
      </c>
      <c r="AX350" t="inlineStr">
        <is>
          <t>991005354379702656</t>
        </is>
      </c>
      <c r="AY350" t="inlineStr">
        <is>
          <t>2272470050002656</t>
        </is>
      </c>
      <c r="AZ350" t="inlineStr">
        <is>
          <t>BOOK</t>
        </is>
      </c>
      <c r="BC350" t="inlineStr">
        <is>
          <t>32285001211308</t>
        </is>
      </c>
      <c r="BD350" t="inlineStr">
        <is>
          <t>893351134</t>
        </is>
      </c>
      <c r="BE350" t="inlineStr">
        <is>
          <t>Fajardo Acosta</t>
        </is>
      </c>
    </row>
    <row r="351">
      <c r="A351" t="inlineStr">
        <is>
          <t>No</t>
        </is>
      </c>
      <c r="B351" t="inlineStr">
        <is>
          <t>PA3612 .D53</t>
        </is>
      </c>
      <c r="C351" t="inlineStr">
        <is>
          <t>0                      PA 3612000D  53</t>
        </is>
      </c>
      <c r="D351" t="inlineStr">
        <is>
          <t>The Roman antiquities of Dionysius of Halicarnassus, with an English translation by Earnest Cary, on the basis of the version of Edward Spelman.</t>
        </is>
      </c>
      <c r="E351" t="inlineStr">
        <is>
          <t>V.2</t>
        </is>
      </c>
      <c r="F351" t="inlineStr">
        <is>
          <t>Yes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Dionysius, of Halicarnassus.</t>
        </is>
      </c>
      <c r="L351" t="inlineStr">
        <is>
          <t>Cambridge, Mass., Harvard University Press; London, W. Heinemann, 1937-1950.</t>
        </is>
      </c>
      <c r="M351" t="inlineStr">
        <is>
          <t>1937</t>
        </is>
      </c>
      <c r="O351" t="inlineStr">
        <is>
          <t>eng</t>
        </is>
      </c>
      <c r="P351" t="inlineStr">
        <is>
          <t>mau</t>
        </is>
      </c>
      <c r="Q351" t="inlineStr">
        <is>
          <t>The Loeb classical library</t>
        </is>
      </c>
      <c r="R351" t="inlineStr">
        <is>
          <t xml:space="preserve">PA </t>
        </is>
      </c>
      <c r="S351" t="n">
        <v>8</v>
      </c>
      <c r="T351" t="n">
        <v>56</v>
      </c>
      <c r="U351" t="inlineStr">
        <is>
          <t>2005-07-15</t>
        </is>
      </c>
      <c r="V351" t="inlineStr">
        <is>
          <t>2005-11-30</t>
        </is>
      </c>
      <c r="W351" t="inlineStr">
        <is>
          <t>1992-07-17</t>
        </is>
      </c>
      <c r="X351" t="inlineStr">
        <is>
          <t>1992-07-17</t>
        </is>
      </c>
      <c r="Y351" t="n">
        <v>759</v>
      </c>
      <c r="Z351" t="n">
        <v>658</v>
      </c>
      <c r="AA351" t="n">
        <v>658</v>
      </c>
      <c r="AB351" t="n">
        <v>3</v>
      </c>
      <c r="AC351" t="n">
        <v>3</v>
      </c>
      <c r="AD351" t="n">
        <v>37</v>
      </c>
      <c r="AE351" t="n">
        <v>37</v>
      </c>
      <c r="AF351" t="n">
        <v>17</v>
      </c>
      <c r="AG351" t="n">
        <v>17</v>
      </c>
      <c r="AH351" t="n">
        <v>8</v>
      </c>
      <c r="AI351" t="n">
        <v>8</v>
      </c>
      <c r="AJ351" t="n">
        <v>22</v>
      </c>
      <c r="AK351" t="n">
        <v>22</v>
      </c>
      <c r="AL351" t="n">
        <v>2</v>
      </c>
      <c r="AM351" t="n">
        <v>2</v>
      </c>
      <c r="AN351" t="n">
        <v>0</v>
      </c>
      <c r="AO351" t="n">
        <v>0</v>
      </c>
      <c r="AP351" t="inlineStr">
        <is>
          <t>Yes</t>
        </is>
      </c>
      <c r="AQ351" t="inlineStr">
        <is>
          <t>Yes</t>
        </is>
      </c>
      <c r="AR351">
        <f>HYPERLINK("http://catalog.hathitrust.org/Record/001181669","HathiTrust Record")</f>
        <v/>
      </c>
      <c r="AS351">
        <f>HYPERLINK("https://creighton-primo.hosted.exlibrisgroup.com/primo-explore/search?tab=default_tab&amp;search_scope=EVERYTHING&amp;vid=01CRU&amp;lang=en_US&amp;offset=0&amp;query=any,contains,991005354379702656","Catalog Record")</f>
        <v/>
      </c>
      <c r="AT351">
        <f>HYPERLINK("http://www.worldcat.org/oclc/311063","WorldCat Record")</f>
        <v/>
      </c>
      <c r="AU351" t="inlineStr">
        <is>
          <t>9381009687:grc</t>
        </is>
      </c>
      <c r="AV351" t="inlineStr">
        <is>
          <t>311063</t>
        </is>
      </c>
      <c r="AW351" t="inlineStr">
        <is>
          <t>991005354379702656</t>
        </is>
      </c>
      <c r="AX351" t="inlineStr">
        <is>
          <t>991005354379702656</t>
        </is>
      </c>
      <c r="AY351" t="inlineStr">
        <is>
          <t>2272470050002656</t>
        </is>
      </c>
      <c r="AZ351" t="inlineStr">
        <is>
          <t>BOOK</t>
        </is>
      </c>
      <c r="BC351" t="inlineStr">
        <is>
          <t>32285001211258</t>
        </is>
      </c>
      <c r="BD351" t="inlineStr">
        <is>
          <t>893353866</t>
        </is>
      </c>
      <c r="BE351" t="inlineStr">
        <is>
          <t>Fajardo Acosta</t>
        </is>
      </c>
    </row>
    <row r="352">
      <c r="A352" t="inlineStr">
        <is>
          <t>No</t>
        </is>
      </c>
      <c r="B352" t="inlineStr">
        <is>
          <t>PA3612 .D53</t>
        </is>
      </c>
      <c r="C352" t="inlineStr">
        <is>
          <t>0                      PA 3612000D  53</t>
        </is>
      </c>
      <c r="D352" t="inlineStr">
        <is>
          <t>The Roman antiquities of Dionysius of Halicarnassus, with an English translation by Earnest Cary, on the basis of the version of Edward Spelman.</t>
        </is>
      </c>
      <c r="E352" t="inlineStr">
        <is>
          <t>V.3</t>
        </is>
      </c>
      <c r="F352" t="inlineStr">
        <is>
          <t>Yes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Dionysius, of Halicarnassus.</t>
        </is>
      </c>
      <c r="L352" t="inlineStr">
        <is>
          <t>Cambridge, Mass., Harvard University Press; London, W. Heinemann, 1937-1950.</t>
        </is>
      </c>
      <c r="M352" t="inlineStr">
        <is>
          <t>1937</t>
        </is>
      </c>
      <c r="O352" t="inlineStr">
        <is>
          <t>eng</t>
        </is>
      </c>
      <c r="P352" t="inlineStr">
        <is>
          <t>mau</t>
        </is>
      </c>
      <c r="Q352" t="inlineStr">
        <is>
          <t>The Loeb classical library</t>
        </is>
      </c>
      <c r="R352" t="inlineStr">
        <is>
          <t xml:space="preserve">PA </t>
        </is>
      </c>
      <c r="S352" t="n">
        <v>8</v>
      </c>
      <c r="T352" t="n">
        <v>56</v>
      </c>
      <c r="U352" t="inlineStr">
        <is>
          <t>2005-11-30</t>
        </is>
      </c>
      <c r="V352" t="inlineStr">
        <is>
          <t>2005-11-30</t>
        </is>
      </c>
      <c r="W352" t="inlineStr">
        <is>
          <t>1992-07-17</t>
        </is>
      </c>
      <c r="X352" t="inlineStr">
        <is>
          <t>1992-07-17</t>
        </is>
      </c>
      <c r="Y352" t="n">
        <v>759</v>
      </c>
      <c r="Z352" t="n">
        <v>658</v>
      </c>
      <c r="AA352" t="n">
        <v>658</v>
      </c>
      <c r="AB352" t="n">
        <v>3</v>
      </c>
      <c r="AC352" t="n">
        <v>3</v>
      </c>
      <c r="AD352" t="n">
        <v>37</v>
      </c>
      <c r="AE352" t="n">
        <v>37</v>
      </c>
      <c r="AF352" t="n">
        <v>17</v>
      </c>
      <c r="AG352" t="n">
        <v>17</v>
      </c>
      <c r="AH352" t="n">
        <v>8</v>
      </c>
      <c r="AI352" t="n">
        <v>8</v>
      </c>
      <c r="AJ352" t="n">
        <v>22</v>
      </c>
      <c r="AK352" t="n">
        <v>22</v>
      </c>
      <c r="AL352" t="n">
        <v>2</v>
      </c>
      <c r="AM352" t="n">
        <v>2</v>
      </c>
      <c r="AN352" t="n">
        <v>0</v>
      </c>
      <c r="AO352" t="n">
        <v>0</v>
      </c>
      <c r="AP352" t="inlineStr">
        <is>
          <t>Yes</t>
        </is>
      </c>
      <c r="AQ352" t="inlineStr">
        <is>
          <t>Yes</t>
        </is>
      </c>
      <c r="AR352">
        <f>HYPERLINK("http://catalog.hathitrust.org/Record/001181669","HathiTrust Record")</f>
        <v/>
      </c>
      <c r="AS352">
        <f>HYPERLINK("https://creighton-primo.hosted.exlibrisgroup.com/primo-explore/search?tab=default_tab&amp;search_scope=EVERYTHING&amp;vid=01CRU&amp;lang=en_US&amp;offset=0&amp;query=any,contains,991005354379702656","Catalog Record")</f>
        <v/>
      </c>
      <c r="AT352">
        <f>HYPERLINK("http://www.worldcat.org/oclc/311063","WorldCat Record")</f>
        <v/>
      </c>
      <c r="AU352" t="inlineStr">
        <is>
          <t>9381009687:grc</t>
        </is>
      </c>
      <c r="AV352" t="inlineStr">
        <is>
          <t>311063</t>
        </is>
      </c>
      <c r="AW352" t="inlineStr">
        <is>
          <t>991005354379702656</t>
        </is>
      </c>
      <c r="AX352" t="inlineStr">
        <is>
          <t>991005354379702656</t>
        </is>
      </c>
      <c r="AY352" t="inlineStr">
        <is>
          <t>2272470050002656</t>
        </is>
      </c>
      <c r="AZ352" t="inlineStr">
        <is>
          <t>BOOK</t>
        </is>
      </c>
      <c r="BC352" t="inlineStr">
        <is>
          <t>32285001211266</t>
        </is>
      </c>
      <c r="BD352" t="inlineStr">
        <is>
          <t>893332822</t>
        </is>
      </c>
      <c r="BE352" t="inlineStr">
        <is>
          <t>Fajardo Acosta</t>
        </is>
      </c>
    </row>
    <row r="353">
      <c r="A353" t="inlineStr">
        <is>
          <t>No</t>
        </is>
      </c>
      <c r="B353" t="inlineStr">
        <is>
          <t>PA3612 .D53</t>
        </is>
      </c>
      <c r="C353" t="inlineStr">
        <is>
          <t>0                      PA 3612000D  53</t>
        </is>
      </c>
      <c r="D353" t="inlineStr">
        <is>
          <t>The Roman antiquities of Dionysius of Halicarnassus, with an English translation by Earnest Cary, on the basis of the version of Edward Spelman.</t>
        </is>
      </c>
      <c r="E353" t="inlineStr">
        <is>
          <t>V.1</t>
        </is>
      </c>
      <c r="F353" t="inlineStr">
        <is>
          <t>Yes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Dionysius, of Halicarnassus.</t>
        </is>
      </c>
      <c r="L353" t="inlineStr">
        <is>
          <t>Cambridge, Mass., Harvard University Press; London, W. Heinemann, 1937-1950.</t>
        </is>
      </c>
      <c r="M353" t="inlineStr">
        <is>
          <t>1937</t>
        </is>
      </c>
      <c r="O353" t="inlineStr">
        <is>
          <t>eng</t>
        </is>
      </c>
      <c r="P353" t="inlineStr">
        <is>
          <t>mau</t>
        </is>
      </c>
      <c r="Q353" t="inlineStr">
        <is>
          <t>The Loeb classical library</t>
        </is>
      </c>
      <c r="R353" t="inlineStr">
        <is>
          <t xml:space="preserve">PA </t>
        </is>
      </c>
      <c r="S353" t="n">
        <v>13</v>
      </c>
      <c r="T353" t="n">
        <v>56</v>
      </c>
      <c r="U353" t="inlineStr">
        <is>
          <t>2005-11-11</t>
        </is>
      </c>
      <c r="V353" t="inlineStr">
        <is>
          <t>2005-11-30</t>
        </is>
      </c>
      <c r="W353" t="inlineStr">
        <is>
          <t>1992-07-17</t>
        </is>
      </c>
      <c r="X353" t="inlineStr">
        <is>
          <t>1992-07-17</t>
        </is>
      </c>
      <c r="Y353" t="n">
        <v>759</v>
      </c>
      <c r="Z353" t="n">
        <v>658</v>
      </c>
      <c r="AA353" t="n">
        <v>658</v>
      </c>
      <c r="AB353" t="n">
        <v>3</v>
      </c>
      <c r="AC353" t="n">
        <v>3</v>
      </c>
      <c r="AD353" t="n">
        <v>37</v>
      </c>
      <c r="AE353" t="n">
        <v>37</v>
      </c>
      <c r="AF353" t="n">
        <v>17</v>
      </c>
      <c r="AG353" t="n">
        <v>17</v>
      </c>
      <c r="AH353" t="n">
        <v>8</v>
      </c>
      <c r="AI353" t="n">
        <v>8</v>
      </c>
      <c r="AJ353" t="n">
        <v>22</v>
      </c>
      <c r="AK353" t="n">
        <v>22</v>
      </c>
      <c r="AL353" t="n">
        <v>2</v>
      </c>
      <c r="AM353" t="n">
        <v>2</v>
      </c>
      <c r="AN353" t="n">
        <v>0</v>
      </c>
      <c r="AO353" t="n">
        <v>0</v>
      </c>
      <c r="AP353" t="inlineStr">
        <is>
          <t>Yes</t>
        </is>
      </c>
      <c r="AQ353" t="inlineStr">
        <is>
          <t>Yes</t>
        </is>
      </c>
      <c r="AR353">
        <f>HYPERLINK("http://catalog.hathitrust.org/Record/001181669","HathiTrust Record")</f>
        <v/>
      </c>
      <c r="AS353">
        <f>HYPERLINK("https://creighton-primo.hosted.exlibrisgroup.com/primo-explore/search?tab=default_tab&amp;search_scope=EVERYTHING&amp;vid=01CRU&amp;lang=en_US&amp;offset=0&amp;query=any,contains,991005354379702656","Catalog Record")</f>
        <v/>
      </c>
      <c r="AT353">
        <f>HYPERLINK("http://www.worldcat.org/oclc/311063","WorldCat Record")</f>
        <v/>
      </c>
      <c r="AU353" t="inlineStr">
        <is>
          <t>9381009687:grc</t>
        </is>
      </c>
      <c r="AV353" t="inlineStr">
        <is>
          <t>311063</t>
        </is>
      </c>
      <c r="AW353" t="inlineStr">
        <is>
          <t>991005354379702656</t>
        </is>
      </c>
      <c r="AX353" t="inlineStr">
        <is>
          <t>991005354379702656</t>
        </is>
      </c>
      <c r="AY353" t="inlineStr">
        <is>
          <t>2272470050002656</t>
        </is>
      </c>
      <c r="AZ353" t="inlineStr">
        <is>
          <t>BOOK</t>
        </is>
      </c>
      <c r="BC353" t="inlineStr">
        <is>
          <t>32285001211241</t>
        </is>
      </c>
      <c r="BD353" t="inlineStr">
        <is>
          <t>893332823</t>
        </is>
      </c>
      <c r="BE353" t="inlineStr">
        <is>
          <t>Fajardo Acosta</t>
        </is>
      </c>
    </row>
    <row r="354">
      <c r="A354" t="inlineStr">
        <is>
          <t>No</t>
        </is>
      </c>
      <c r="B354" t="inlineStr">
        <is>
          <t>PA3612 .D53</t>
        </is>
      </c>
      <c r="C354" t="inlineStr">
        <is>
          <t>0                      PA 3612000D  53</t>
        </is>
      </c>
      <c r="D354" t="inlineStr">
        <is>
          <t>The Roman antiquities of Dionysius of Halicarnassus, with an English translation by Earnest Cary, on the basis of the version of Edward Spelman.</t>
        </is>
      </c>
      <c r="E354" t="inlineStr">
        <is>
          <t>V.5</t>
        </is>
      </c>
      <c r="F354" t="inlineStr">
        <is>
          <t>Yes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Dionysius, of Halicarnassus.</t>
        </is>
      </c>
      <c r="L354" t="inlineStr">
        <is>
          <t>Cambridge, Mass., Harvard University Press; London, W. Heinemann, 1937-1950.</t>
        </is>
      </c>
      <c r="M354" t="inlineStr">
        <is>
          <t>1937</t>
        </is>
      </c>
      <c r="O354" t="inlineStr">
        <is>
          <t>eng</t>
        </is>
      </c>
      <c r="P354" t="inlineStr">
        <is>
          <t>mau</t>
        </is>
      </c>
      <c r="Q354" t="inlineStr">
        <is>
          <t>The Loeb classical library</t>
        </is>
      </c>
      <c r="R354" t="inlineStr">
        <is>
          <t xml:space="preserve">PA </t>
        </is>
      </c>
      <c r="S354" t="n">
        <v>6</v>
      </c>
      <c r="T354" t="n">
        <v>56</v>
      </c>
      <c r="U354" t="inlineStr">
        <is>
          <t>2002-02-22</t>
        </is>
      </c>
      <c r="V354" t="inlineStr">
        <is>
          <t>2005-11-30</t>
        </is>
      </c>
      <c r="W354" t="inlineStr">
        <is>
          <t>1992-07-17</t>
        </is>
      </c>
      <c r="X354" t="inlineStr">
        <is>
          <t>1992-07-17</t>
        </is>
      </c>
      <c r="Y354" t="n">
        <v>759</v>
      </c>
      <c r="Z354" t="n">
        <v>658</v>
      </c>
      <c r="AA354" t="n">
        <v>658</v>
      </c>
      <c r="AB354" t="n">
        <v>3</v>
      </c>
      <c r="AC354" t="n">
        <v>3</v>
      </c>
      <c r="AD354" t="n">
        <v>37</v>
      </c>
      <c r="AE354" t="n">
        <v>37</v>
      </c>
      <c r="AF354" t="n">
        <v>17</v>
      </c>
      <c r="AG354" t="n">
        <v>17</v>
      </c>
      <c r="AH354" t="n">
        <v>8</v>
      </c>
      <c r="AI354" t="n">
        <v>8</v>
      </c>
      <c r="AJ354" t="n">
        <v>22</v>
      </c>
      <c r="AK354" t="n">
        <v>22</v>
      </c>
      <c r="AL354" t="n">
        <v>2</v>
      </c>
      <c r="AM354" t="n">
        <v>2</v>
      </c>
      <c r="AN354" t="n">
        <v>0</v>
      </c>
      <c r="AO354" t="n">
        <v>0</v>
      </c>
      <c r="AP354" t="inlineStr">
        <is>
          <t>Yes</t>
        </is>
      </c>
      <c r="AQ354" t="inlineStr">
        <is>
          <t>Yes</t>
        </is>
      </c>
      <c r="AR354">
        <f>HYPERLINK("http://catalog.hathitrust.org/Record/001181669","HathiTrust Record")</f>
        <v/>
      </c>
      <c r="AS354">
        <f>HYPERLINK("https://creighton-primo.hosted.exlibrisgroup.com/primo-explore/search?tab=default_tab&amp;search_scope=EVERYTHING&amp;vid=01CRU&amp;lang=en_US&amp;offset=0&amp;query=any,contains,991005354379702656","Catalog Record")</f>
        <v/>
      </c>
      <c r="AT354">
        <f>HYPERLINK("http://www.worldcat.org/oclc/311063","WorldCat Record")</f>
        <v/>
      </c>
      <c r="AU354" t="inlineStr">
        <is>
          <t>9381009687:grc</t>
        </is>
      </c>
      <c r="AV354" t="inlineStr">
        <is>
          <t>311063</t>
        </is>
      </c>
      <c r="AW354" t="inlineStr">
        <is>
          <t>991005354379702656</t>
        </is>
      </c>
      <c r="AX354" t="inlineStr">
        <is>
          <t>991005354379702656</t>
        </is>
      </c>
      <c r="AY354" t="inlineStr">
        <is>
          <t>2272470050002656</t>
        </is>
      </c>
      <c r="AZ354" t="inlineStr">
        <is>
          <t>BOOK</t>
        </is>
      </c>
      <c r="BC354" t="inlineStr">
        <is>
          <t>32285001211282</t>
        </is>
      </c>
      <c r="BD354" t="inlineStr">
        <is>
          <t>893345060</t>
        </is>
      </c>
      <c r="BE354" t="inlineStr">
        <is>
          <t>Fajardo Acosta</t>
        </is>
      </c>
    </row>
    <row r="355">
      <c r="A355" t="inlineStr">
        <is>
          <t>No</t>
        </is>
      </c>
      <c r="B355" t="inlineStr">
        <is>
          <t>PA3612 .E8 1912</t>
        </is>
      </c>
      <c r="C355" t="inlineStr">
        <is>
          <t>0                      PA 3612000E  8           1912</t>
        </is>
      </c>
      <c r="D355" t="inlineStr">
        <is>
          <t>Euripides / with an English translation, by Arthur S. Way.</t>
        </is>
      </c>
      <c r="E355" t="inlineStr">
        <is>
          <t>V.4</t>
        </is>
      </c>
      <c r="F355" t="inlineStr">
        <is>
          <t>Yes</t>
        </is>
      </c>
      <c r="G355" t="inlineStr">
        <is>
          <t>1</t>
        </is>
      </c>
      <c r="H355" t="inlineStr">
        <is>
          <t>No</t>
        </is>
      </c>
      <c r="I355" t="inlineStr">
        <is>
          <t>Yes</t>
        </is>
      </c>
      <c r="J355" t="inlineStr">
        <is>
          <t>0</t>
        </is>
      </c>
      <c r="K355" t="inlineStr">
        <is>
          <t>Euripides.</t>
        </is>
      </c>
      <c r="L355" t="inlineStr">
        <is>
          <t>London : W. Heinemann ; New York : The Macmillan Co., 1912.</t>
        </is>
      </c>
      <c r="M355" t="inlineStr">
        <is>
          <t>1912</t>
        </is>
      </c>
      <c r="O355" t="inlineStr">
        <is>
          <t>eng</t>
        </is>
      </c>
      <c r="P355" t="inlineStr">
        <is>
          <t>enk</t>
        </is>
      </c>
      <c r="Q355" t="inlineStr">
        <is>
          <t>The Loeb classical library. [Greek authors]</t>
        </is>
      </c>
      <c r="R355" t="inlineStr">
        <is>
          <t xml:space="preserve">PA </t>
        </is>
      </c>
      <c r="S355" t="n">
        <v>11</v>
      </c>
      <c r="T355" t="n">
        <v>43</v>
      </c>
      <c r="U355" t="inlineStr">
        <is>
          <t>2002-09-26</t>
        </is>
      </c>
      <c r="V355" t="inlineStr">
        <is>
          <t>2002-09-26</t>
        </is>
      </c>
      <c r="W355" t="inlineStr">
        <is>
          <t>1992-01-08</t>
        </is>
      </c>
      <c r="X355" t="inlineStr">
        <is>
          <t>1992-07-17</t>
        </is>
      </c>
      <c r="Y355" t="n">
        <v>350</v>
      </c>
      <c r="Z355" t="n">
        <v>272</v>
      </c>
      <c r="AA355" t="n">
        <v>2074</v>
      </c>
      <c r="AB355" t="n">
        <v>1</v>
      </c>
      <c r="AC355" t="n">
        <v>13</v>
      </c>
      <c r="AD355" t="n">
        <v>14</v>
      </c>
      <c r="AE355" t="n">
        <v>62</v>
      </c>
      <c r="AF355" t="n">
        <v>7</v>
      </c>
      <c r="AG355" t="n">
        <v>28</v>
      </c>
      <c r="AH355" t="n">
        <v>4</v>
      </c>
      <c r="AI355" t="n">
        <v>11</v>
      </c>
      <c r="AJ355" t="n">
        <v>7</v>
      </c>
      <c r="AK355" t="n">
        <v>28</v>
      </c>
      <c r="AL355" t="n">
        <v>0</v>
      </c>
      <c r="AM355" t="n">
        <v>8</v>
      </c>
      <c r="AN355" t="n">
        <v>0</v>
      </c>
      <c r="AO355" t="n">
        <v>1</v>
      </c>
      <c r="AP355" t="inlineStr">
        <is>
          <t>Yes</t>
        </is>
      </c>
      <c r="AQ355" t="inlineStr">
        <is>
          <t>No</t>
        </is>
      </c>
      <c r="AR355">
        <f>HYPERLINK("http://catalog.hathitrust.org/Record/007027323","HathiTrust Record")</f>
        <v/>
      </c>
      <c r="AS355">
        <f>HYPERLINK("https://creighton-primo.hosted.exlibrisgroup.com/primo-explore/search?tab=default_tab&amp;search_scope=EVERYTHING&amp;vid=01CRU&amp;lang=en_US&amp;offset=0&amp;query=any,contains,991005387199702656","Catalog Record")</f>
        <v/>
      </c>
      <c r="AT355">
        <f>HYPERLINK("http://www.worldcat.org/oclc/7036697","WorldCat Record")</f>
        <v/>
      </c>
      <c r="AU355" t="inlineStr">
        <is>
          <t>10628515422:eng</t>
        </is>
      </c>
      <c r="AV355" t="inlineStr">
        <is>
          <t>7036697</t>
        </is>
      </c>
      <c r="AW355" t="inlineStr">
        <is>
          <t>991005387199702656</t>
        </is>
      </c>
      <c r="AX355" t="inlineStr">
        <is>
          <t>991005387199702656</t>
        </is>
      </c>
      <c r="AY355" t="inlineStr">
        <is>
          <t>2256212750002656</t>
        </is>
      </c>
      <c r="AZ355" t="inlineStr">
        <is>
          <t>BOOK</t>
        </is>
      </c>
      <c r="BC355" t="inlineStr">
        <is>
          <t>32285000884535</t>
        </is>
      </c>
      <c r="BD355" t="inlineStr">
        <is>
          <t>893890149</t>
        </is>
      </c>
      <c r="BE355" t="inlineStr">
        <is>
          <t>Fajardo Acosta</t>
        </is>
      </c>
    </row>
    <row r="356">
      <c r="A356" t="inlineStr">
        <is>
          <t>No</t>
        </is>
      </c>
      <c r="B356" t="inlineStr">
        <is>
          <t>PA3612 .E8 1912</t>
        </is>
      </c>
      <c r="C356" t="inlineStr">
        <is>
          <t>0                      PA 3612000E  8           1912</t>
        </is>
      </c>
      <c r="D356" t="inlineStr">
        <is>
          <t>Euripides / with an English translation, by Arthur S. Way.</t>
        </is>
      </c>
      <c r="E356" t="inlineStr">
        <is>
          <t>V.2</t>
        </is>
      </c>
      <c r="F356" t="inlineStr">
        <is>
          <t>Yes</t>
        </is>
      </c>
      <c r="G356" t="inlineStr">
        <is>
          <t>1</t>
        </is>
      </c>
      <c r="H356" t="inlineStr">
        <is>
          <t>No</t>
        </is>
      </c>
      <c r="I356" t="inlineStr">
        <is>
          <t>Yes</t>
        </is>
      </c>
      <c r="J356" t="inlineStr">
        <is>
          <t>0</t>
        </is>
      </c>
      <c r="K356" t="inlineStr">
        <is>
          <t>Euripides.</t>
        </is>
      </c>
      <c r="L356" t="inlineStr">
        <is>
          <t>London : W. Heinemann ; New York : The Macmillan Co., 1912.</t>
        </is>
      </c>
      <c r="M356" t="inlineStr">
        <is>
          <t>1912</t>
        </is>
      </c>
      <c r="O356" t="inlineStr">
        <is>
          <t>eng</t>
        </is>
      </c>
      <c r="P356" t="inlineStr">
        <is>
          <t>enk</t>
        </is>
      </c>
      <c r="Q356" t="inlineStr">
        <is>
          <t>The Loeb classical library. [Greek authors]</t>
        </is>
      </c>
      <c r="R356" t="inlineStr">
        <is>
          <t xml:space="preserve">PA </t>
        </is>
      </c>
      <c r="S356" t="n">
        <v>4</v>
      </c>
      <c r="T356" t="n">
        <v>43</v>
      </c>
      <c r="U356" t="inlineStr">
        <is>
          <t>1997-03-25</t>
        </is>
      </c>
      <c r="V356" t="inlineStr">
        <is>
          <t>2002-09-26</t>
        </is>
      </c>
      <c r="W356" t="inlineStr">
        <is>
          <t>1992-01-08</t>
        </is>
      </c>
      <c r="X356" t="inlineStr">
        <is>
          <t>1992-07-17</t>
        </is>
      </c>
      <c r="Y356" t="n">
        <v>350</v>
      </c>
      <c r="Z356" t="n">
        <v>272</v>
      </c>
      <c r="AA356" t="n">
        <v>2074</v>
      </c>
      <c r="AB356" t="n">
        <v>1</v>
      </c>
      <c r="AC356" t="n">
        <v>13</v>
      </c>
      <c r="AD356" t="n">
        <v>14</v>
      </c>
      <c r="AE356" t="n">
        <v>62</v>
      </c>
      <c r="AF356" t="n">
        <v>7</v>
      </c>
      <c r="AG356" t="n">
        <v>28</v>
      </c>
      <c r="AH356" t="n">
        <v>4</v>
      </c>
      <c r="AI356" t="n">
        <v>11</v>
      </c>
      <c r="AJ356" t="n">
        <v>7</v>
      </c>
      <c r="AK356" t="n">
        <v>28</v>
      </c>
      <c r="AL356" t="n">
        <v>0</v>
      </c>
      <c r="AM356" t="n">
        <v>8</v>
      </c>
      <c r="AN356" t="n">
        <v>0</v>
      </c>
      <c r="AO356" t="n">
        <v>1</v>
      </c>
      <c r="AP356" t="inlineStr">
        <is>
          <t>Yes</t>
        </is>
      </c>
      <c r="AQ356" t="inlineStr">
        <is>
          <t>No</t>
        </is>
      </c>
      <c r="AR356">
        <f>HYPERLINK("http://catalog.hathitrust.org/Record/007027323","HathiTrust Record")</f>
        <v/>
      </c>
      <c r="AS356">
        <f>HYPERLINK("https://creighton-primo.hosted.exlibrisgroup.com/primo-explore/search?tab=default_tab&amp;search_scope=EVERYTHING&amp;vid=01CRU&amp;lang=en_US&amp;offset=0&amp;query=any,contains,991005387199702656","Catalog Record")</f>
        <v/>
      </c>
      <c r="AT356">
        <f>HYPERLINK("http://www.worldcat.org/oclc/7036697","WorldCat Record")</f>
        <v/>
      </c>
      <c r="AU356" t="inlineStr">
        <is>
          <t>10628515422:eng</t>
        </is>
      </c>
      <c r="AV356" t="inlineStr">
        <is>
          <t>7036697</t>
        </is>
      </c>
      <c r="AW356" t="inlineStr">
        <is>
          <t>991005387199702656</t>
        </is>
      </c>
      <c r="AX356" t="inlineStr">
        <is>
          <t>991005387199702656</t>
        </is>
      </c>
      <c r="AY356" t="inlineStr">
        <is>
          <t>2256212750002656</t>
        </is>
      </c>
      <c r="AZ356" t="inlineStr">
        <is>
          <t>BOOK</t>
        </is>
      </c>
      <c r="BC356" t="inlineStr">
        <is>
          <t>32285000884527</t>
        </is>
      </c>
      <c r="BD356" t="inlineStr">
        <is>
          <t>893896363</t>
        </is>
      </c>
      <c r="BE356" t="inlineStr">
        <is>
          <t>Fajardo Acosta</t>
        </is>
      </c>
    </row>
    <row r="357">
      <c r="A357" t="inlineStr">
        <is>
          <t>No</t>
        </is>
      </c>
      <c r="B357" t="inlineStr">
        <is>
          <t>PA3612 .E8 1912</t>
        </is>
      </c>
      <c r="C357" t="inlineStr">
        <is>
          <t>0                      PA 3612000E  8           1912</t>
        </is>
      </c>
      <c r="D357" t="inlineStr">
        <is>
          <t>Euripides / with an English translation, by Arthur S. Way.</t>
        </is>
      </c>
      <c r="E357" t="inlineStr">
        <is>
          <t>V.1</t>
        </is>
      </c>
      <c r="F357" t="inlineStr">
        <is>
          <t>Yes</t>
        </is>
      </c>
      <c r="G357" t="inlineStr">
        <is>
          <t>1</t>
        </is>
      </c>
      <c r="H357" t="inlineStr">
        <is>
          <t>No</t>
        </is>
      </c>
      <c r="I357" t="inlineStr">
        <is>
          <t>Yes</t>
        </is>
      </c>
      <c r="J357" t="inlineStr">
        <is>
          <t>0</t>
        </is>
      </c>
      <c r="K357" t="inlineStr">
        <is>
          <t>Euripides.</t>
        </is>
      </c>
      <c r="L357" t="inlineStr">
        <is>
          <t>London : W. Heinemann ; New York : The Macmillan Co., 1912.</t>
        </is>
      </c>
      <c r="M357" t="inlineStr">
        <is>
          <t>1912</t>
        </is>
      </c>
      <c r="O357" t="inlineStr">
        <is>
          <t>eng</t>
        </is>
      </c>
      <c r="P357" t="inlineStr">
        <is>
          <t>enk</t>
        </is>
      </c>
      <c r="Q357" t="inlineStr">
        <is>
          <t>The Loeb classical library. [Greek authors]</t>
        </is>
      </c>
      <c r="R357" t="inlineStr">
        <is>
          <t xml:space="preserve">PA </t>
        </is>
      </c>
      <c r="S357" t="n">
        <v>15</v>
      </c>
      <c r="T357" t="n">
        <v>43</v>
      </c>
      <c r="U357" t="inlineStr">
        <is>
          <t>2002-09-24</t>
        </is>
      </c>
      <c r="V357" t="inlineStr">
        <is>
          <t>2002-09-26</t>
        </is>
      </c>
      <c r="W357" t="inlineStr">
        <is>
          <t>1992-07-17</t>
        </is>
      </c>
      <c r="X357" t="inlineStr">
        <is>
          <t>1992-07-17</t>
        </is>
      </c>
      <c r="Y357" t="n">
        <v>350</v>
      </c>
      <c r="Z357" t="n">
        <v>272</v>
      </c>
      <c r="AA357" t="n">
        <v>2074</v>
      </c>
      <c r="AB357" t="n">
        <v>1</v>
      </c>
      <c r="AC357" t="n">
        <v>13</v>
      </c>
      <c r="AD357" t="n">
        <v>14</v>
      </c>
      <c r="AE357" t="n">
        <v>62</v>
      </c>
      <c r="AF357" t="n">
        <v>7</v>
      </c>
      <c r="AG357" t="n">
        <v>28</v>
      </c>
      <c r="AH357" t="n">
        <v>4</v>
      </c>
      <c r="AI357" t="n">
        <v>11</v>
      </c>
      <c r="AJ357" t="n">
        <v>7</v>
      </c>
      <c r="AK357" t="n">
        <v>28</v>
      </c>
      <c r="AL357" t="n">
        <v>0</v>
      </c>
      <c r="AM357" t="n">
        <v>8</v>
      </c>
      <c r="AN357" t="n">
        <v>0</v>
      </c>
      <c r="AO357" t="n">
        <v>1</v>
      </c>
      <c r="AP357" t="inlineStr">
        <is>
          <t>Yes</t>
        </is>
      </c>
      <c r="AQ357" t="inlineStr">
        <is>
          <t>No</t>
        </is>
      </c>
      <c r="AR357">
        <f>HYPERLINK("http://catalog.hathitrust.org/Record/007027323","HathiTrust Record")</f>
        <v/>
      </c>
      <c r="AS357">
        <f>HYPERLINK("https://creighton-primo.hosted.exlibrisgroup.com/primo-explore/search?tab=default_tab&amp;search_scope=EVERYTHING&amp;vid=01CRU&amp;lang=en_US&amp;offset=0&amp;query=any,contains,991005387199702656","Catalog Record")</f>
        <v/>
      </c>
      <c r="AT357">
        <f>HYPERLINK("http://www.worldcat.org/oclc/7036697","WorldCat Record")</f>
        <v/>
      </c>
      <c r="AU357" t="inlineStr">
        <is>
          <t>10628515422:eng</t>
        </is>
      </c>
      <c r="AV357" t="inlineStr">
        <is>
          <t>7036697</t>
        </is>
      </c>
      <c r="AW357" t="inlineStr">
        <is>
          <t>991005387199702656</t>
        </is>
      </c>
      <c r="AX357" t="inlineStr">
        <is>
          <t>991005387199702656</t>
        </is>
      </c>
      <c r="AY357" t="inlineStr">
        <is>
          <t>2256212750002656</t>
        </is>
      </c>
      <c r="AZ357" t="inlineStr">
        <is>
          <t>BOOK</t>
        </is>
      </c>
      <c r="BC357" t="inlineStr">
        <is>
          <t>32285001211423</t>
        </is>
      </c>
      <c r="BD357" t="inlineStr">
        <is>
          <t>893877456</t>
        </is>
      </c>
      <c r="BE357" t="inlineStr">
        <is>
          <t>Fajardo Acosta</t>
        </is>
      </c>
    </row>
    <row r="358">
      <c r="A358" t="inlineStr">
        <is>
          <t>No</t>
        </is>
      </c>
      <c r="B358" t="inlineStr">
        <is>
          <t>PA3612 .E8 1912</t>
        </is>
      </c>
      <c r="C358" t="inlineStr">
        <is>
          <t>0                      PA 3612000E  8           1912</t>
        </is>
      </c>
      <c r="D358" t="inlineStr">
        <is>
          <t>Euripides / with an English translation, by Arthur S. Way.</t>
        </is>
      </c>
      <c r="E358" t="inlineStr">
        <is>
          <t>V.3</t>
        </is>
      </c>
      <c r="F358" t="inlineStr">
        <is>
          <t>Yes</t>
        </is>
      </c>
      <c r="G358" t="inlineStr">
        <is>
          <t>1</t>
        </is>
      </c>
      <c r="H358" t="inlineStr">
        <is>
          <t>No</t>
        </is>
      </c>
      <c r="I358" t="inlineStr">
        <is>
          <t>Yes</t>
        </is>
      </c>
      <c r="J358" t="inlineStr">
        <is>
          <t>0</t>
        </is>
      </c>
      <c r="K358" t="inlineStr">
        <is>
          <t>Euripides.</t>
        </is>
      </c>
      <c r="L358" t="inlineStr">
        <is>
          <t>London : W. Heinemann ; New York : The Macmillan Co., 1912.</t>
        </is>
      </c>
      <c r="M358" t="inlineStr">
        <is>
          <t>1912</t>
        </is>
      </c>
      <c r="O358" t="inlineStr">
        <is>
          <t>eng</t>
        </is>
      </c>
      <c r="P358" t="inlineStr">
        <is>
          <t>enk</t>
        </is>
      </c>
      <c r="Q358" t="inlineStr">
        <is>
          <t>The Loeb classical library. [Greek authors]</t>
        </is>
      </c>
      <c r="R358" t="inlineStr">
        <is>
          <t xml:space="preserve">PA </t>
        </is>
      </c>
      <c r="S358" t="n">
        <v>13</v>
      </c>
      <c r="T358" t="n">
        <v>43</v>
      </c>
      <c r="U358" t="inlineStr">
        <is>
          <t>1999-04-12</t>
        </is>
      </c>
      <c r="V358" t="inlineStr">
        <is>
          <t>2002-09-26</t>
        </is>
      </c>
      <c r="W358" t="inlineStr">
        <is>
          <t>1992-07-17</t>
        </is>
      </c>
      <c r="X358" t="inlineStr">
        <is>
          <t>1992-07-17</t>
        </is>
      </c>
      <c r="Y358" t="n">
        <v>350</v>
      </c>
      <c r="Z358" t="n">
        <v>272</v>
      </c>
      <c r="AA358" t="n">
        <v>2074</v>
      </c>
      <c r="AB358" t="n">
        <v>1</v>
      </c>
      <c r="AC358" t="n">
        <v>13</v>
      </c>
      <c r="AD358" t="n">
        <v>14</v>
      </c>
      <c r="AE358" t="n">
        <v>62</v>
      </c>
      <c r="AF358" t="n">
        <v>7</v>
      </c>
      <c r="AG358" t="n">
        <v>28</v>
      </c>
      <c r="AH358" t="n">
        <v>4</v>
      </c>
      <c r="AI358" t="n">
        <v>11</v>
      </c>
      <c r="AJ358" t="n">
        <v>7</v>
      </c>
      <c r="AK358" t="n">
        <v>28</v>
      </c>
      <c r="AL358" t="n">
        <v>0</v>
      </c>
      <c r="AM358" t="n">
        <v>8</v>
      </c>
      <c r="AN358" t="n">
        <v>0</v>
      </c>
      <c r="AO358" t="n">
        <v>1</v>
      </c>
      <c r="AP358" t="inlineStr">
        <is>
          <t>Yes</t>
        </is>
      </c>
      <c r="AQ358" t="inlineStr">
        <is>
          <t>No</t>
        </is>
      </c>
      <c r="AR358">
        <f>HYPERLINK("http://catalog.hathitrust.org/Record/007027323","HathiTrust Record")</f>
        <v/>
      </c>
      <c r="AS358">
        <f>HYPERLINK("https://creighton-primo.hosted.exlibrisgroup.com/primo-explore/search?tab=default_tab&amp;search_scope=EVERYTHING&amp;vid=01CRU&amp;lang=en_US&amp;offset=0&amp;query=any,contains,991005387199702656","Catalog Record")</f>
        <v/>
      </c>
      <c r="AT358">
        <f>HYPERLINK("http://www.worldcat.org/oclc/7036697","WorldCat Record")</f>
        <v/>
      </c>
      <c r="AU358" t="inlineStr">
        <is>
          <t>10628515422:eng</t>
        </is>
      </c>
      <c r="AV358" t="inlineStr">
        <is>
          <t>7036697</t>
        </is>
      </c>
      <c r="AW358" t="inlineStr">
        <is>
          <t>991005387199702656</t>
        </is>
      </c>
      <c r="AX358" t="inlineStr">
        <is>
          <t>991005387199702656</t>
        </is>
      </c>
      <c r="AY358" t="inlineStr">
        <is>
          <t>2256212750002656</t>
        </is>
      </c>
      <c r="AZ358" t="inlineStr">
        <is>
          <t>BOOK</t>
        </is>
      </c>
      <c r="BC358" t="inlineStr">
        <is>
          <t>32285001211431</t>
        </is>
      </c>
      <c r="BD358" t="inlineStr">
        <is>
          <t>893883799</t>
        </is>
      </c>
      <c r="BE358" t="inlineStr">
        <is>
          <t>Fajardo Acosta</t>
        </is>
      </c>
    </row>
    <row r="359">
      <c r="A359" t="inlineStr">
        <is>
          <t>No</t>
        </is>
      </c>
      <c r="B359" t="inlineStr">
        <is>
          <t>PA3612 .H8</t>
        </is>
      </c>
      <c r="C359" t="inlineStr">
        <is>
          <t>0                      PA 3612000H  8</t>
        </is>
      </c>
      <c r="D359" t="inlineStr">
        <is>
          <t>The odyssey / Homer ; with an English translation by A. T. Murray.</t>
        </is>
      </c>
      <c r="E359" t="inlineStr">
        <is>
          <t>V.2</t>
        </is>
      </c>
      <c r="F359" t="inlineStr">
        <is>
          <t>Yes</t>
        </is>
      </c>
      <c r="G359" t="inlineStr">
        <is>
          <t>1</t>
        </is>
      </c>
      <c r="H359" t="inlineStr">
        <is>
          <t>No</t>
        </is>
      </c>
      <c r="I359" t="inlineStr">
        <is>
          <t>Yes</t>
        </is>
      </c>
      <c r="J359" t="inlineStr">
        <is>
          <t>0</t>
        </is>
      </c>
      <c r="K359" t="inlineStr">
        <is>
          <t>Homer.</t>
        </is>
      </c>
      <c r="L359" t="inlineStr">
        <is>
          <t>Cambridge, Mass. : Harvard University Press ; London : William Heinemann, 1976.</t>
        </is>
      </c>
      <c r="M359" t="inlineStr">
        <is>
          <t>1974</t>
        </is>
      </c>
      <c r="O359" t="inlineStr">
        <is>
          <t>eng</t>
        </is>
      </c>
      <c r="P359" t="inlineStr">
        <is>
          <t>mau</t>
        </is>
      </c>
      <c r="Q359" t="inlineStr">
        <is>
          <t>Loeb classical library. Greek authors</t>
        </is>
      </c>
      <c r="R359" t="inlineStr">
        <is>
          <t xml:space="preserve">PA </t>
        </is>
      </c>
      <c r="S359" t="n">
        <v>7</v>
      </c>
      <c r="T359" t="n">
        <v>36</v>
      </c>
      <c r="U359" t="inlineStr">
        <is>
          <t>2005-03-07</t>
        </is>
      </c>
      <c r="V359" t="inlineStr">
        <is>
          <t>2005-03-07</t>
        </is>
      </c>
      <c r="W359" t="inlineStr">
        <is>
          <t>1991-09-05</t>
        </is>
      </c>
      <c r="X359" t="inlineStr">
        <is>
          <t>1991-09-05</t>
        </is>
      </c>
      <c r="Y359" t="n">
        <v>142</v>
      </c>
      <c r="Z359" t="n">
        <v>131</v>
      </c>
      <c r="AA359" t="n">
        <v>1129</v>
      </c>
      <c r="AB359" t="n">
        <v>2</v>
      </c>
      <c r="AC359" t="n">
        <v>7</v>
      </c>
      <c r="AD359" t="n">
        <v>5</v>
      </c>
      <c r="AE359" t="n">
        <v>52</v>
      </c>
      <c r="AF359" t="n">
        <v>2</v>
      </c>
      <c r="AG359" t="n">
        <v>24</v>
      </c>
      <c r="AH359" t="n">
        <v>2</v>
      </c>
      <c r="AI359" t="n">
        <v>11</v>
      </c>
      <c r="AJ359" t="n">
        <v>1</v>
      </c>
      <c r="AK359" t="n">
        <v>25</v>
      </c>
      <c r="AL359" t="n">
        <v>1</v>
      </c>
      <c r="AM359" t="n">
        <v>6</v>
      </c>
      <c r="AN359" t="n">
        <v>0</v>
      </c>
      <c r="AO359" t="n">
        <v>0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HYPERLINK("https://creighton-primo.hosted.exlibrisgroup.com/primo-explore/search?tab=default_tab&amp;search_scope=EVERYTHING&amp;vid=01CRU&amp;lang=en_US&amp;offset=0&amp;query=any,contains,991004417169702656","Catalog Record")</f>
        <v/>
      </c>
      <c r="AT359">
        <f>HYPERLINK("http://www.worldcat.org/oclc/7013518","WorldCat Record")</f>
        <v/>
      </c>
      <c r="AU359" t="inlineStr">
        <is>
          <t>9593868201:eng</t>
        </is>
      </c>
      <c r="AV359" t="inlineStr">
        <is>
          <t>7013518</t>
        </is>
      </c>
      <c r="AW359" t="inlineStr">
        <is>
          <t>991004417169702656</t>
        </is>
      </c>
      <c r="AX359" t="inlineStr">
        <is>
          <t>991004417169702656</t>
        </is>
      </c>
      <c r="AY359" t="inlineStr">
        <is>
          <t>2261733840002656</t>
        </is>
      </c>
      <c r="AZ359" t="inlineStr">
        <is>
          <t>BOOK</t>
        </is>
      </c>
      <c r="BB359" t="inlineStr">
        <is>
          <t>9780674991163</t>
        </is>
      </c>
      <c r="BC359" t="inlineStr">
        <is>
          <t>32285000737477</t>
        </is>
      </c>
      <c r="BD359" t="inlineStr">
        <is>
          <t>893349975</t>
        </is>
      </c>
      <c r="BE359" t="inlineStr">
        <is>
          <t>Fajardo Acosta</t>
        </is>
      </c>
    </row>
    <row r="360">
      <c r="A360" t="inlineStr">
        <is>
          <t>No</t>
        </is>
      </c>
      <c r="B360" t="inlineStr">
        <is>
          <t>PA3612 .H8</t>
        </is>
      </c>
      <c r="C360" t="inlineStr">
        <is>
          <t>0                      PA 3612000H  8</t>
        </is>
      </c>
      <c r="D360" t="inlineStr">
        <is>
          <t>The odyssey / Homer ; with an English translation by A. T. Murray.</t>
        </is>
      </c>
      <c r="E360" t="inlineStr">
        <is>
          <t>V.1</t>
        </is>
      </c>
      <c r="F360" t="inlineStr">
        <is>
          <t>Yes</t>
        </is>
      </c>
      <c r="G360" t="inlineStr">
        <is>
          <t>1</t>
        </is>
      </c>
      <c r="H360" t="inlineStr">
        <is>
          <t>No</t>
        </is>
      </c>
      <c r="I360" t="inlineStr">
        <is>
          <t>Yes</t>
        </is>
      </c>
      <c r="J360" t="inlineStr">
        <is>
          <t>0</t>
        </is>
      </c>
      <c r="K360" t="inlineStr">
        <is>
          <t>Homer.</t>
        </is>
      </c>
      <c r="L360" t="inlineStr">
        <is>
          <t>Cambridge, Mass. : Harvard University Press ; London : William Heinemann, 1976.</t>
        </is>
      </c>
      <c r="M360" t="inlineStr">
        <is>
          <t>1974</t>
        </is>
      </c>
      <c r="O360" t="inlineStr">
        <is>
          <t>eng</t>
        </is>
      </c>
      <c r="P360" t="inlineStr">
        <is>
          <t>mau</t>
        </is>
      </c>
      <c r="Q360" t="inlineStr">
        <is>
          <t>Loeb classical library. Greek authors</t>
        </is>
      </c>
      <c r="R360" t="inlineStr">
        <is>
          <t xml:space="preserve">PA </t>
        </is>
      </c>
      <c r="S360" t="n">
        <v>29</v>
      </c>
      <c r="T360" t="n">
        <v>36</v>
      </c>
      <c r="U360" t="inlineStr">
        <is>
          <t>2005-03-07</t>
        </is>
      </c>
      <c r="V360" t="inlineStr">
        <is>
          <t>2005-03-07</t>
        </is>
      </c>
      <c r="W360" t="inlineStr">
        <is>
          <t>1991-09-05</t>
        </is>
      </c>
      <c r="X360" t="inlineStr">
        <is>
          <t>1991-09-05</t>
        </is>
      </c>
      <c r="Y360" t="n">
        <v>142</v>
      </c>
      <c r="Z360" t="n">
        <v>131</v>
      </c>
      <c r="AA360" t="n">
        <v>1129</v>
      </c>
      <c r="AB360" t="n">
        <v>2</v>
      </c>
      <c r="AC360" t="n">
        <v>7</v>
      </c>
      <c r="AD360" t="n">
        <v>5</v>
      </c>
      <c r="AE360" t="n">
        <v>52</v>
      </c>
      <c r="AF360" t="n">
        <v>2</v>
      </c>
      <c r="AG360" t="n">
        <v>24</v>
      </c>
      <c r="AH360" t="n">
        <v>2</v>
      </c>
      <c r="AI360" t="n">
        <v>11</v>
      </c>
      <c r="AJ360" t="n">
        <v>1</v>
      </c>
      <c r="AK360" t="n">
        <v>25</v>
      </c>
      <c r="AL360" t="n">
        <v>1</v>
      </c>
      <c r="AM360" t="n">
        <v>6</v>
      </c>
      <c r="AN360" t="n">
        <v>0</v>
      </c>
      <c r="AO360" t="n">
        <v>0</v>
      </c>
      <c r="AP360" t="inlineStr">
        <is>
          <t>No</t>
        </is>
      </c>
      <c r="AQ360" t="inlineStr">
        <is>
          <t>No</t>
        </is>
      </c>
      <c r="AS360">
        <f>HYPERLINK("https://creighton-primo.hosted.exlibrisgroup.com/primo-explore/search?tab=default_tab&amp;search_scope=EVERYTHING&amp;vid=01CRU&amp;lang=en_US&amp;offset=0&amp;query=any,contains,991004417169702656","Catalog Record")</f>
        <v/>
      </c>
      <c r="AT360">
        <f>HYPERLINK("http://www.worldcat.org/oclc/7013518","WorldCat Record")</f>
        <v/>
      </c>
      <c r="AU360" t="inlineStr">
        <is>
          <t>9593868201:eng</t>
        </is>
      </c>
      <c r="AV360" t="inlineStr">
        <is>
          <t>7013518</t>
        </is>
      </c>
      <c r="AW360" t="inlineStr">
        <is>
          <t>991004417169702656</t>
        </is>
      </c>
      <c r="AX360" t="inlineStr">
        <is>
          <t>991004417169702656</t>
        </is>
      </c>
      <c r="AY360" t="inlineStr">
        <is>
          <t>2261733840002656</t>
        </is>
      </c>
      <c r="AZ360" t="inlineStr">
        <is>
          <t>BOOK</t>
        </is>
      </c>
      <c r="BB360" t="inlineStr">
        <is>
          <t>9780674991163</t>
        </is>
      </c>
      <c r="BC360" t="inlineStr">
        <is>
          <t>32285000737469</t>
        </is>
      </c>
      <c r="BD360" t="inlineStr">
        <is>
          <t>893349976</t>
        </is>
      </c>
      <c r="BE360" t="inlineStr">
        <is>
          <t>Fajardo Acosta</t>
        </is>
      </c>
    </row>
    <row r="361">
      <c r="A361" t="inlineStr">
        <is>
          <t>No</t>
        </is>
      </c>
      <c r="B361" t="inlineStr">
        <is>
          <t>PA3612 .S7</t>
        </is>
      </c>
      <c r="C361" t="inlineStr">
        <is>
          <t>0                      PA 3612000S  7</t>
        </is>
      </c>
      <c r="D361" t="inlineStr">
        <is>
          <t>Sophocles : with an English translation / by F. Storr.</t>
        </is>
      </c>
      <c r="E361" t="inlineStr">
        <is>
          <t>V.2</t>
        </is>
      </c>
      <c r="F361" t="inlineStr">
        <is>
          <t>Yes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Sophocles.</t>
        </is>
      </c>
      <c r="L361" t="inlineStr">
        <is>
          <t>London : W. Heinemann ; New York : The Macmillan Co., 1912-13.</t>
        </is>
      </c>
      <c r="M361" t="inlineStr">
        <is>
          <t>1912</t>
        </is>
      </c>
      <c r="O361" t="inlineStr">
        <is>
          <t>eng</t>
        </is>
      </c>
      <c r="P361" t="inlineStr">
        <is>
          <t>enk</t>
        </is>
      </c>
      <c r="Q361" t="inlineStr">
        <is>
          <t>The Loeb classical library. [Greek authors]</t>
        </is>
      </c>
      <c r="R361" t="inlineStr">
        <is>
          <t xml:space="preserve">PA </t>
        </is>
      </c>
      <c r="S361" t="n">
        <v>6</v>
      </c>
      <c r="T361" t="n">
        <v>9</v>
      </c>
      <c r="U361" t="inlineStr">
        <is>
          <t>1997-04-14</t>
        </is>
      </c>
      <c r="V361" t="inlineStr">
        <is>
          <t>1997-04-14</t>
        </is>
      </c>
      <c r="W361" t="inlineStr">
        <is>
          <t>1992-01-08</t>
        </is>
      </c>
      <c r="X361" t="inlineStr">
        <is>
          <t>1992-02-19</t>
        </is>
      </c>
      <c r="Y361" t="n">
        <v>388</v>
      </c>
      <c r="Z361" t="n">
        <v>311</v>
      </c>
      <c r="AA361" t="n">
        <v>482</v>
      </c>
      <c r="AB361" t="n">
        <v>2</v>
      </c>
      <c r="AC361" t="n">
        <v>3</v>
      </c>
      <c r="AD361" t="n">
        <v>20</v>
      </c>
      <c r="AE361" t="n">
        <v>26</v>
      </c>
      <c r="AF361" t="n">
        <v>5</v>
      </c>
      <c r="AG361" t="n">
        <v>8</v>
      </c>
      <c r="AH361" t="n">
        <v>4</v>
      </c>
      <c r="AI361" t="n">
        <v>5</v>
      </c>
      <c r="AJ361" t="n">
        <v>16</v>
      </c>
      <c r="AK361" t="n">
        <v>19</v>
      </c>
      <c r="AL361" t="n">
        <v>1</v>
      </c>
      <c r="AM361" t="n">
        <v>2</v>
      </c>
      <c r="AN361" t="n">
        <v>0</v>
      </c>
      <c r="AO361" t="n">
        <v>0</v>
      </c>
      <c r="AP361" t="inlineStr">
        <is>
          <t>Yes</t>
        </is>
      </c>
      <c r="AQ361" t="inlineStr">
        <is>
          <t>No</t>
        </is>
      </c>
      <c r="AR361">
        <f>HYPERLINK("http://catalog.hathitrust.org/Record/001223399","HathiTrust Record")</f>
        <v/>
      </c>
      <c r="AS361">
        <f>HYPERLINK("https://creighton-primo.hosted.exlibrisgroup.com/primo-explore/search?tab=default_tab&amp;search_scope=EVERYTHING&amp;vid=01CRU&amp;lang=en_US&amp;offset=0&amp;query=any,contains,991003854269702656","Catalog Record")</f>
        <v/>
      </c>
      <c r="AT361">
        <f>HYPERLINK("http://www.worldcat.org/oclc/1650983","WorldCat Record")</f>
        <v/>
      </c>
      <c r="AU361" t="inlineStr">
        <is>
          <t>5090410633:eng</t>
        </is>
      </c>
      <c r="AV361" t="inlineStr">
        <is>
          <t>1650983</t>
        </is>
      </c>
      <c r="AW361" t="inlineStr">
        <is>
          <t>991003854269702656</t>
        </is>
      </c>
      <c r="AX361" t="inlineStr">
        <is>
          <t>991003854269702656</t>
        </is>
      </c>
      <c r="AY361" t="inlineStr">
        <is>
          <t>2271997190002656</t>
        </is>
      </c>
      <c r="AZ361" t="inlineStr">
        <is>
          <t>BOOK</t>
        </is>
      </c>
      <c r="BC361" t="inlineStr">
        <is>
          <t>32285000884568</t>
        </is>
      </c>
      <c r="BD361" t="inlineStr">
        <is>
          <t>893794153</t>
        </is>
      </c>
      <c r="BE361" t="inlineStr">
        <is>
          <t>Fajardo Acosta</t>
        </is>
      </c>
    </row>
    <row r="362">
      <c r="A362" t="inlineStr">
        <is>
          <t>No</t>
        </is>
      </c>
      <c r="B362" t="inlineStr">
        <is>
          <t>PA3612 .S7</t>
        </is>
      </c>
      <c r="C362" t="inlineStr">
        <is>
          <t>0                      PA 3612000S  7</t>
        </is>
      </c>
      <c r="D362" t="inlineStr">
        <is>
          <t>Sophocles : with an English translation / by F. Storr.</t>
        </is>
      </c>
      <c r="E362" t="inlineStr">
        <is>
          <t>V.1</t>
        </is>
      </c>
      <c r="F362" t="inlineStr">
        <is>
          <t>Yes</t>
        </is>
      </c>
      <c r="G362" t="inlineStr">
        <is>
          <t>2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K362" t="inlineStr">
        <is>
          <t>Sophocles.</t>
        </is>
      </c>
      <c r="L362" t="inlineStr">
        <is>
          <t>London : W. Heinemann ; New York : The Macmillan Co., 1912-13.</t>
        </is>
      </c>
      <c r="M362" t="inlineStr">
        <is>
          <t>1912</t>
        </is>
      </c>
      <c r="O362" t="inlineStr">
        <is>
          <t>eng</t>
        </is>
      </c>
      <c r="P362" t="inlineStr">
        <is>
          <t>enk</t>
        </is>
      </c>
      <c r="Q362" t="inlineStr">
        <is>
          <t>The Loeb classical library. [Greek authors]</t>
        </is>
      </c>
      <c r="R362" t="inlineStr">
        <is>
          <t xml:space="preserve">PA </t>
        </is>
      </c>
      <c r="S362" t="n">
        <v>3</v>
      </c>
      <c r="T362" t="n">
        <v>9</v>
      </c>
      <c r="U362" t="inlineStr">
        <is>
          <t>1994-05-15</t>
        </is>
      </c>
      <c r="V362" t="inlineStr">
        <is>
          <t>1997-04-14</t>
        </is>
      </c>
      <c r="W362" t="inlineStr">
        <is>
          <t>1992-02-19</t>
        </is>
      </c>
      <c r="X362" t="inlineStr">
        <is>
          <t>1992-02-19</t>
        </is>
      </c>
      <c r="Y362" t="n">
        <v>388</v>
      </c>
      <c r="Z362" t="n">
        <v>311</v>
      </c>
      <c r="AA362" t="n">
        <v>482</v>
      </c>
      <c r="AB362" t="n">
        <v>2</v>
      </c>
      <c r="AC362" t="n">
        <v>3</v>
      </c>
      <c r="AD362" t="n">
        <v>20</v>
      </c>
      <c r="AE362" t="n">
        <v>26</v>
      </c>
      <c r="AF362" t="n">
        <v>5</v>
      </c>
      <c r="AG362" t="n">
        <v>8</v>
      </c>
      <c r="AH362" t="n">
        <v>4</v>
      </c>
      <c r="AI362" t="n">
        <v>5</v>
      </c>
      <c r="AJ362" t="n">
        <v>16</v>
      </c>
      <c r="AK362" t="n">
        <v>19</v>
      </c>
      <c r="AL362" t="n">
        <v>1</v>
      </c>
      <c r="AM362" t="n">
        <v>2</v>
      </c>
      <c r="AN362" t="n">
        <v>0</v>
      </c>
      <c r="AO362" t="n">
        <v>0</v>
      </c>
      <c r="AP362" t="inlineStr">
        <is>
          <t>Yes</t>
        </is>
      </c>
      <c r="AQ362" t="inlineStr">
        <is>
          <t>No</t>
        </is>
      </c>
      <c r="AR362">
        <f>HYPERLINK("http://catalog.hathitrust.org/Record/001223399","HathiTrust Record")</f>
        <v/>
      </c>
      <c r="AS362">
        <f>HYPERLINK("https://creighton-primo.hosted.exlibrisgroup.com/primo-explore/search?tab=default_tab&amp;search_scope=EVERYTHING&amp;vid=01CRU&amp;lang=en_US&amp;offset=0&amp;query=any,contains,991003854269702656","Catalog Record")</f>
        <v/>
      </c>
      <c r="AT362">
        <f>HYPERLINK("http://www.worldcat.org/oclc/1650983","WorldCat Record")</f>
        <v/>
      </c>
      <c r="AU362" t="inlineStr">
        <is>
          <t>5090410633:eng</t>
        </is>
      </c>
      <c r="AV362" t="inlineStr">
        <is>
          <t>1650983</t>
        </is>
      </c>
      <c r="AW362" t="inlineStr">
        <is>
          <t>991003854269702656</t>
        </is>
      </c>
      <c r="AX362" t="inlineStr">
        <is>
          <t>991003854269702656</t>
        </is>
      </c>
      <c r="AY362" t="inlineStr">
        <is>
          <t>2271997190002656</t>
        </is>
      </c>
      <c r="AZ362" t="inlineStr">
        <is>
          <t>BOOK</t>
        </is>
      </c>
      <c r="BC362" t="inlineStr">
        <is>
          <t>32285000947993</t>
        </is>
      </c>
      <c r="BD362" t="inlineStr">
        <is>
          <t>893787896</t>
        </is>
      </c>
      <c r="BE362" t="inlineStr">
        <is>
          <t>Fajardo Acosta</t>
        </is>
      </c>
    </row>
    <row r="363">
      <c r="A363" t="inlineStr">
        <is>
          <t>No</t>
        </is>
      </c>
      <c r="B363" t="inlineStr">
        <is>
          <t>PA3612.A82 M4</t>
        </is>
      </c>
      <c r="C363" t="inlineStr">
        <is>
          <t>0                      PA 3612000A  82                 M  4</t>
        </is>
      </c>
      <c r="D363" t="inlineStr">
        <is>
          <t>The Metaphysics / with an English translation by Hugh Tredennick.</t>
        </is>
      </c>
      <c r="E363" t="inlineStr">
        <is>
          <t>V.1</t>
        </is>
      </c>
      <c r="F363" t="inlineStr">
        <is>
          <t>Yes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Aristotle.</t>
        </is>
      </c>
      <c r="L363" t="inlineStr">
        <is>
          <t>London : W. Heinemann, ltd. ; New York : G.P. Putnam's sons, 1933-35.</t>
        </is>
      </c>
      <c r="M363" t="inlineStr">
        <is>
          <t>1933</t>
        </is>
      </c>
      <c r="O363" t="inlineStr">
        <is>
          <t>eng</t>
        </is>
      </c>
      <c r="P363" t="inlineStr">
        <is>
          <t>enk</t>
        </is>
      </c>
      <c r="Q363" t="inlineStr">
        <is>
          <t>The Loeb classical library [Greek authors]</t>
        </is>
      </c>
      <c r="R363" t="inlineStr">
        <is>
          <t xml:space="preserve">PA </t>
        </is>
      </c>
      <c r="S363" t="n">
        <v>5</v>
      </c>
      <c r="T363" t="n">
        <v>7</v>
      </c>
      <c r="U363" t="inlineStr">
        <is>
          <t>1999-09-07</t>
        </is>
      </c>
      <c r="V363" t="inlineStr">
        <is>
          <t>2006-10-11</t>
        </is>
      </c>
      <c r="W363" t="inlineStr">
        <is>
          <t>1992-05-12</t>
        </is>
      </c>
      <c r="X363" t="inlineStr">
        <is>
          <t>1992-05-12</t>
        </is>
      </c>
      <c r="Y363" t="n">
        <v>573</v>
      </c>
      <c r="Z363" t="n">
        <v>484</v>
      </c>
      <c r="AA363" t="n">
        <v>523</v>
      </c>
      <c r="AB363" t="n">
        <v>4</v>
      </c>
      <c r="AC363" t="n">
        <v>4</v>
      </c>
      <c r="AD363" t="n">
        <v>33</v>
      </c>
      <c r="AE363" t="n">
        <v>33</v>
      </c>
      <c r="AF363" t="n">
        <v>12</v>
      </c>
      <c r="AG363" t="n">
        <v>12</v>
      </c>
      <c r="AH363" t="n">
        <v>6</v>
      </c>
      <c r="AI363" t="n">
        <v>6</v>
      </c>
      <c r="AJ363" t="n">
        <v>20</v>
      </c>
      <c r="AK363" t="n">
        <v>20</v>
      </c>
      <c r="AL363" t="n">
        <v>3</v>
      </c>
      <c r="AM363" t="n">
        <v>3</v>
      </c>
      <c r="AN363" t="n">
        <v>0</v>
      </c>
      <c r="AO363" t="n">
        <v>0</v>
      </c>
      <c r="AP363" t="inlineStr">
        <is>
          <t>No</t>
        </is>
      </c>
      <c r="AQ363" t="inlineStr">
        <is>
          <t>Yes</t>
        </is>
      </c>
      <c r="AR363">
        <f>HYPERLINK("http://catalog.hathitrust.org/Record/001227557","HathiTrust Record")</f>
        <v/>
      </c>
      <c r="AS363">
        <f>HYPERLINK("https://creighton-primo.hosted.exlibrisgroup.com/primo-explore/search?tab=default_tab&amp;search_scope=EVERYTHING&amp;vid=01CRU&amp;lang=en_US&amp;offset=0&amp;query=any,contains,991005370359702656","Catalog Record")</f>
        <v/>
      </c>
      <c r="AT363">
        <f>HYPERLINK("http://www.worldcat.org/oclc/2891234","WorldCat Record")</f>
        <v/>
      </c>
      <c r="AU363" t="inlineStr">
        <is>
          <t>10792745902:eng</t>
        </is>
      </c>
      <c r="AV363" t="inlineStr">
        <is>
          <t>2891234</t>
        </is>
      </c>
      <c r="AW363" t="inlineStr">
        <is>
          <t>991005370359702656</t>
        </is>
      </c>
      <c r="AX363" t="inlineStr">
        <is>
          <t>991005370359702656</t>
        </is>
      </c>
      <c r="AY363" t="inlineStr">
        <is>
          <t>2272488710002656</t>
        </is>
      </c>
      <c r="AZ363" t="inlineStr">
        <is>
          <t>BOOK</t>
        </is>
      </c>
      <c r="BC363" t="inlineStr">
        <is>
          <t>32285001097624</t>
        </is>
      </c>
      <c r="BD363" t="inlineStr">
        <is>
          <t>893254914</t>
        </is>
      </c>
      <c r="BE363" t="inlineStr">
        <is>
          <t>Fajardo Acosta</t>
        </is>
      </c>
    </row>
    <row r="364">
      <c r="A364" t="inlineStr">
        <is>
          <t>No</t>
        </is>
      </c>
      <c r="B364" t="inlineStr">
        <is>
          <t>PA3612.A82 M47</t>
        </is>
      </c>
      <c r="C364" t="inlineStr">
        <is>
          <t>0                      PA 3612000A  82                 M  47</t>
        </is>
      </c>
      <c r="D364" t="inlineStr">
        <is>
          <t>Meteorologica. With an English translation by H.D.P. Lee.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Aristotle.</t>
        </is>
      </c>
      <c r="L364" t="inlineStr">
        <is>
          <t>Cambridge, Harvard University Press, 1952.</t>
        </is>
      </c>
      <c r="M364" t="inlineStr">
        <is>
          <t>1952</t>
        </is>
      </c>
      <c r="O364" t="inlineStr">
        <is>
          <t>grc</t>
        </is>
      </c>
      <c r="P364" t="inlineStr">
        <is>
          <t>mau</t>
        </is>
      </c>
      <c r="Q364" t="inlineStr">
        <is>
          <t>The Loeb classical library</t>
        </is>
      </c>
      <c r="R364" t="inlineStr">
        <is>
          <t xml:space="preserve">PA </t>
        </is>
      </c>
      <c r="S364" t="n">
        <v>3</v>
      </c>
      <c r="T364" t="n">
        <v>3</v>
      </c>
      <c r="U364" t="inlineStr">
        <is>
          <t>1994-05-15</t>
        </is>
      </c>
      <c r="V364" t="inlineStr">
        <is>
          <t>1994-05-15</t>
        </is>
      </c>
      <c r="W364" t="inlineStr">
        <is>
          <t>1992-05-12</t>
        </is>
      </c>
      <c r="X364" t="inlineStr">
        <is>
          <t>1992-05-12</t>
        </is>
      </c>
      <c r="Y364" t="n">
        <v>673</v>
      </c>
      <c r="Z364" t="n">
        <v>600</v>
      </c>
      <c r="AA364" t="n">
        <v>659</v>
      </c>
      <c r="AB364" t="n">
        <v>4</v>
      </c>
      <c r="AC364" t="n">
        <v>4</v>
      </c>
      <c r="AD364" t="n">
        <v>35</v>
      </c>
      <c r="AE364" t="n">
        <v>38</v>
      </c>
      <c r="AF364" t="n">
        <v>13</v>
      </c>
      <c r="AG364" t="n">
        <v>14</v>
      </c>
      <c r="AH364" t="n">
        <v>8</v>
      </c>
      <c r="AI364" t="n">
        <v>9</v>
      </c>
      <c r="AJ364" t="n">
        <v>21</v>
      </c>
      <c r="AK364" t="n">
        <v>23</v>
      </c>
      <c r="AL364" t="n">
        <v>3</v>
      </c>
      <c r="AM364" t="n">
        <v>3</v>
      </c>
      <c r="AN364" t="n">
        <v>0</v>
      </c>
      <c r="AO364" t="n">
        <v>0</v>
      </c>
      <c r="AP364" t="inlineStr">
        <is>
          <t>Yes</t>
        </is>
      </c>
      <c r="AQ364" t="inlineStr">
        <is>
          <t>No</t>
        </is>
      </c>
      <c r="AR364">
        <f>HYPERLINK("http://catalog.hathitrust.org/Record/001181647","HathiTrust Record")</f>
        <v/>
      </c>
      <c r="AS364">
        <f>HYPERLINK("https://creighton-primo.hosted.exlibrisgroup.com/primo-explore/search?tab=default_tab&amp;search_scope=EVERYTHING&amp;vid=01CRU&amp;lang=en_US&amp;offset=0&amp;query=any,contains,991003144099702656","Catalog Record")</f>
        <v/>
      </c>
      <c r="AT364">
        <f>HYPERLINK("http://www.worldcat.org/oclc/685131","WorldCat Record")</f>
        <v/>
      </c>
      <c r="AU364" t="inlineStr">
        <is>
          <t>10252291535:eng</t>
        </is>
      </c>
      <c r="AV364" t="inlineStr">
        <is>
          <t>685131</t>
        </is>
      </c>
      <c r="AW364" t="inlineStr">
        <is>
          <t>991003144099702656</t>
        </is>
      </c>
      <c r="AX364" t="inlineStr">
        <is>
          <t>991003144099702656</t>
        </is>
      </c>
      <c r="AY364" t="inlineStr">
        <is>
          <t>2264323150002656</t>
        </is>
      </c>
      <c r="AZ364" t="inlineStr">
        <is>
          <t>BOOK</t>
        </is>
      </c>
      <c r="BC364" t="inlineStr">
        <is>
          <t>32285001097632</t>
        </is>
      </c>
      <c r="BD364" t="inlineStr">
        <is>
          <t>893409961</t>
        </is>
      </c>
      <c r="BE364" t="inlineStr">
        <is>
          <t>Fajardo Acosta</t>
        </is>
      </c>
    </row>
    <row r="365">
      <c r="A365" t="inlineStr">
        <is>
          <t>No</t>
        </is>
      </c>
      <c r="B365" t="inlineStr">
        <is>
          <t>PA3612.A82 M5</t>
        </is>
      </c>
      <c r="C365" t="inlineStr">
        <is>
          <t>0                      PA 3612000A  82                 M  5</t>
        </is>
      </c>
      <c r="D365" t="inlineStr">
        <is>
          <t>Minor works ... with an English translation by W.S. Hett ...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Aristotle.</t>
        </is>
      </c>
      <c r="L365" t="inlineStr">
        <is>
          <t>London, W. Heinemann, ltd.; Cambridge, Mass., Harvard University Press, 1936-</t>
        </is>
      </c>
      <c r="M365" t="inlineStr">
        <is>
          <t>1936</t>
        </is>
      </c>
      <c r="O365" t="inlineStr">
        <is>
          <t>eng</t>
        </is>
      </c>
      <c r="P365" t="inlineStr">
        <is>
          <t>enk</t>
        </is>
      </c>
      <c r="Q365" t="inlineStr">
        <is>
          <t>The Loeb classical library. [Greek authors]</t>
        </is>
      </c>
      <c r="R365" t="inlineStr">
        <is>
          <t xml:space="preserve">PA </t>
        </is>
      </c>
      <c r="S365" t="n">
        <v>3</v>
      </c>
      <c r="T365" t="n">
        <v>3</v>
      </c>
      <c r="U365" t="inlineStr">
        <is>
          <t>1994-05-15</t>
        </is>
      </c>
      <c r="V365" t="inlineStr">
        <is>
          <t>1994-05-15</t>
        </is>
      </c>
      <c r="W365" t="inlineStr">
        <is>
          <t>1992-05-12</t>
        </is>
      </c>
      <c r="X365" t="inlineStr">
        <is>
          <t>1992-05-12</t>
        </is>
      </c>
      <c r="Y365" t="n">
        <v>360</v>
      </c>
      <c r="Z365" t="n">
        <v>292</v>
      </c>
      <c r="AA365" t="n">
        <v>445</v>
      </c>
      <c r="AB365" t="n">
        <v>2</v>
      </c>
      <c r="AC365" t="n">
        <v>4</v>
      </c>
      <c r="AD365" t="n">
        <v>17</v>
      </c>
      <c r="AE365" t="n">
        <v>26</v>
      </c>
      <c r="AF365" t="n">
        <v>10</v>
      </c>
      <c r="AG365" t="n">
        <v>13</v>
      </c>
      <c r="AH365" t="n">
        <v>4</v>
      </c>
      <c r="AI365" t="n">
        <v>6</v>
      </c>
      <c r="AJ365" t="n">
        <v>8</v>
      </c>
      <c r="AK365" t="n">
        <v>13</v>
      </c>
      <c r="AL365" t="n">
        <v>1</v>
      </c>
      <c r="AM365" t="n">
        <v>3</v>
      </c>
      <c r="AN365" t="n">
        <v>0</v>
      </c>
      <c r="AO365" t="n">
        <v>0</v>
      </c>
      <c r="AP365" t="inlineStr">
        <is>
          <t>No</t>
        </is>
      </c>
      <c r="AQ365" t="inlineStr">
        <is>
          <t>No</t>
        </is>
      </c>
      <c r="AS365">
        <f>HYPERLINK("https://creighton-primo.hosted.exlibrisgroup.com/primo-explore/search?tab=default_tab&amp;search_scope=EVERYTHING&amp;vid=01CRU&amp;lang=en_US&amp;offset=0&amp;query=any,contains,991003151219702656","Catalog Record")</f>
        <v/>
      </c>
      <c r="AT365">
        <f>HYPERLINK("http://www.worldcat.org/oclc/690668","WorldCat Record")</f>
        <v/>
      </c>
      <c r="AU365" t="inlineStr">
        <is>
          <t>5576123910:eng</t>
        </is>
      </c>
      <c r="AV365" t="inlineStr">
        <is>
          <t>690668</t>
        </is>
      </c>
      <c r="AW365" t="inlineStr">
        <is>
          <t>991003151219702656</t>
        </is>
      </c>
      <c r="AX365" t="inlineStr">
        <is>
          <t>991003151219702656</t>
        </is>
      </c>
      <c r="AY365" t="inlineStr">
        <is>
          <t>2260815390002656</t>
        </is>
      </c>
      <c r="AZ365" t="inlineStr">
        <is>
          <t>BOOK</t>
        </is>
      </c>
      <c r="BC365" t="inlineStr">
        <is>
          <t>32285001097640</t>
        </is>
      </c>
      <c r="BD365" t="inlineStr">
        <is>
          <t>893893431</t>
        </is>
      </c>
      <c r="BE365" t="inlineStr">
        <is>
          <t>Fajardo Acosta</t>
        </is>
      </c>
    </row>
    <row r="366">
      <c r="A366" t="inlineStr">
        <is>
          <t>No</t>
        </is>
      </c>
      <c r="B366" t="inlineStr">
        <is>
          <t>PA3612.A82 O5</t>
        </is>
      </c>
      <c r="C366" t="inlineStr">
        <is>
          <t>0                      PA 3612000A  82                 O  5</t>
        </is>
      </c>
      <c r="D366" t="inlineStr">
        <is>
          <t>On the heavens, with an English translation by W.K.C. Guthrie ...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K366" t="inlineStr">
        <is>
          <t>Aristotle.</t>
        </is>
      </c>
      <c r="L366" t="inlineStr">
        <is>
          <t>Cambridge, Mass., Harvard University Press; London, W. Heinemann ltd., 1939.</t>
        </is>
      </c>
      <c r="M366" t="inlineStr">
        <is>
          <t>1939</t>
        </is>
      </c>
      <c r="O366" t="inlineStr">
        <is>
          <t>eng</t>
        </is>
      </c>
      <c r="P366" t="inlineStr">
        <is>
          <t>mau</t>
        </is>
      </c>
      <c r="Q366" t="inlineStr">
        <is>
          <t>The Loeb classical library ... [Greek authors]</t>
        </is>
      </c>
      <c r="R366" t="inlineStr">
        <is>
          <t xml:space="preserve">PA </t>
        </is>
      </c>
      <c r="S366" t="n">
        <v>3</v>
      </c>
      <c r="T366" t="n">
        <v>3</v>
      </c>
      <c r="U366" t="inlineStr">
        <is>
          <t>1994-05-15</t>
        </is>
      </c>
      <c r="V366" t="inlineStr">
        <is>
          <t>1994-05-15</t>
        </is>
      </c>
      <c r="W366" t="inlineStr">
        <is>
          <t>1992-05-12</t>
        </is>
      </c>
      <c r="X366" t="inlineStr">
        <is>
          <t>1992-05-12</t>
        </is>
      </c>
      <c r="Y366" t="n">
        <v>620</v>
      </c>
      <c r="Z366" t="n">
        <v>536</v>
      </c>
      <c r="AA366" t="n">
        <v>2034</v>
      </c>
      <c r="AB366" t="n">
        <v>4</v>
      </c>
      <c r="AC366" t="n">
        <v>24</v>
      </c>
      <c r="AD366" t="n">
        <v>32</v>
      </c>
      <c r="AE366" t="n">
        <v>68</v>
      </c>
      <c r="AF366" t="n">
        <v>12</v>
      </c>
      <c r="AG366" t="n">
        <v>25</v>
      </c>
      <c r="AH366" t="n">
        <v>7</v>
      </c>
      <c r="AI366" t="n">
        <v>11</v>
      </c>
      <c r="AJ366" t="n">
        <v>19</v>
      </c>
      <c r="AK366" t="n">
        <v>28</v>
      </c>
      <c r="AL366" t="n">
        <v>3</v>
      </c>
      <c r="AM366" t="n">
        <v>17</v>
      </c>
      <c r="AN366" t="n">
        <v>0</v>
      </c>
      <c r="AO366" t="n">
        <v>1</v>
      </c>
      <c r="AP366" t="inlineStr">
        <is>
          <t>Yes</t>
        </is>
      </c>
      <c r="AQ366" t="inlineStr">
        <is>
          <t>Yes</t>
        </is>
      </c>
      <c r="AR366">
        <f>HYPERLINK("http://catalog.hathitrust.org/Record/001181646","HathiTrust Record")</f>
        <v/>
      </c>
      <c r="AS366">
        <f>HYPERLINK("https://creighton-primo.hosted.exlibrisgroup.com/primo-explore/search?tab=default_tab&amp;search_scope=EVERYTHING&amp;vid=01CRU&amp;lang=en_US&amp;offset=0&amp;query=any,contains,991003144189702656","Catalog Record")</f>
        <v/>
      </c>
      <c r="AT366">
        <f>HYPERLINK("http://www.worldcat.org/oclc/685157","WorldCat Record")</f>
        <v/>
      </c>
      <c r="AU366" t="inlineStr">
        <is>
          <t>9738275111:eng</t>
        </is>
      </c>
      <c r="AV366" t="inlineStr">
        <is>
          <t>685157</t>
        </is>
      </c>
      <c r="AW366" t="inlineStr">
        <is>
          <t>991003144189702656</t>
        </is>
      </c>
      <c r="AX366" t="inlineStr">
        <is>
          <t>991003144189702656</t>
        </is>
      </c>
      <c r="AY366" t="inlineStr">
        <is>
          <t>2264325850002656</t>
        </is>
      </c>
      <c r="AZ366" t="inlineStr">
        <is>
          <t>BOOK</t>
        </is>
      </c>
      <c r="BC366" t="inlineStr">
        <is>
          <t>32285001097657</t>
        </is>
      </c>
      <c r="BD366" t="inlineStr">
        <is>
          <t>893717359</t>
        </is>
      </c>
      <c r="BE366" t="inlineStr">
        <is>
          <t>Fajardo Acosta</t>
        </is>
      </c>
    </row>
    <row r="367">
      <c r="A367" t="inlineStr">
        <is>
          <t>No</t>
        </is>
      </c>
      <c r="B367" t="inlineStr">
        <is>
          <t>PA3612.A82 O7</t>
        </is>
      </c>
      <c r="C367" t="inlineStr">
        <is>
          <t>0                      PA 3612000A  82                 O  7</t>
        </is>
      </c>
      <c r="D367" t="inlineStr">
        <is>
          <t>The Organon.</t>
        </is>
      </c>
      <c r="E367" t="inlineStr">
        <is>
          <t>V.1</t>
        </is>
      </c>
      <c r="F367" t="inlineStr">
        <is>
          <t>Yes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Aristotle.</t>
        </is>
      </c>
      <c r="L367" t="inlineStr">
        <is>
          <t>Cambridge, Mass., Harvard university press; London, W. Heinemann ltd., 1938-1960.</t>
        </is>
      </c>
      <c r="M367" t="inlineStr">
        <is>
          <t>1938</t>
        </is>
      </c>
      <c r="O367" t="inlineStr">
        <is>
          <t>eng</t>
        </is>
      </c>
      <c r="P367" t="inlineStr">
        <is>
          <t>mau</t>
        </is>
      </c>
      <c r="Q367" t="inlineStr">
        <is>
          <t>The Loeb classical library. [Greek authors]</t>
        </is>
      </c>
      <c r="R367" t="inlineStr">
        <is>
          <t xml:space="preserve">PA </t>
        </is>
      </c>
      <c r="S367" t="n">
        <v>5</v>
      </c>
      <c r="T367" t="n">
        <v>12</v>
      </c>
      <c r="U367" t="inlineStr">
        <is>
          <t>1994-05-15</t>
        </is>
      </c>
      <c r="V367" t="inlineStr">
        <is>
          <t>2010-03-03</t>
        </is>
      </c>
      <c r="W367" t="inlineStr">
        <is>
          <t>1992-05-12</t>
        </is>
      </c>
      <c r="X367" t="inlineStr">
        <is>
          <t>1992-05-12</t>
        </is>
      </c>
      <c r="Y367" t="n">
        <v>397</v>
      </c>
      <c r="Z367" t="n">
        <v>370</v>
      </c>
      <c r="AA367" t="n">
        <v>470</v>
      </c>
      <c r="AB367" t="n">
        <v>2</v>
      </c>
      <c r="AC367" t="n">
        <v>4</v>
      </c>
      <c r="AD367" t="n">
        <v>23</v>
      </c>
      <c r="AE367" t="n">
        <v>25</v>
      </c>
      <c r="AF367" t="n">
        <v>7</v>
      </c>
      <c r="AG367" t="n">
        <v>7</v>
      </c>
      <c r="AH367" t="n">
        <v>4</v>
      </c>
      <c r="AI367" t="n">
        <v>4</v>
      </c>
      <c r="AJ367" t="n">
        <v>17</v>
      </c>
      <c r="AK367" t="n">
        <v>17</v>
      </c>
      <c r="AL367" t="n">
        <v>1</v>
      </c>
      <c r="AM367" t="n">
        <v>3</v>
      </c>
      <c r="AN367" t="n">
        <v>0</v>
      </c>
      <c r="AO367" t="n">
        <v>0</v>
      </c>
      <c r="AP367" t="inlineStr">
        <is>
          <t>Yes</t>
        </is>
      </c>
      <c r="AQ367" t="inlineStr">
        <is>
          <t>No</t>
        </is>
      </c>
      <c r="AR367">
        <f>HYPERLINK("http://catalog.hathitrust.org/Record/000881903","HathiTrust Record")</f>
        <v/>
      </c>
      <c r="AS367">
        <f>HYPERLINK("https://creighton-primo.hosted.exlibrisgroup.com/primo-explore/search?tab=default_tab&amp;search_scope=EVERYTHING&amp;vid=01CRU&amp;lang=en_US&amp;offset=0&amp;query=any,contains,991003144159702656","Catalog Record")</f>
        <v/>
      </c>
      <c r="AT367">
        <f>HYPERLINK("http://www.worldcat.org/oclc/685142","WorldCat Record")</f>
        <v/>
      </c>
      <c r="AU367" t="inlineStr">
        <is>
          <t>10187843626:eng</t>
        </is>
      </c>
      <c r="AV367" t="inlineStr">
        <is>
          <t>685142</t>
        </is>
      </c>
      <c r="AW367" t="inlineStr">
        <is>
          <t>991003144159702656</t>
        </is>
      </c>
      <c r="AX367" t="inlineStr">
        <is>
          <t>991003144159702656</t>
        </is>
      </c>
      <c r="AY367" t="inlineStr">
        <is>
          <t>2264325060002656</t>
        </is>
      </c>
      <c r="AZ367" t="inlineStr">
        <is>
          <t>BOOK</t>
        </is>
      </c>
      <c r="BC367" t="inlineStr">
        <is>
          <t>32285001097673</t>
        </is>
      </c>
      <c r="BD367" t="inlineStr">
        <is>
          <t>893416084</t>
        </is>
      </c>
      <c r="BE367" t="inlineStr">
        <is>
          <t>Fajardo Acosta</t>
        </is>
      </c>
    </row>
    <row r="368">
      <c r="A368" t="inlineStr">
        <is>
          <t>No</t>
        </is>
      </c>
      <c r="B368" t="inlineStr">
        <is>
          <t>PA3612.A82 P3</t>
        </is>
      </c>
      <c r="C368" t="inlineStr">
        <is>
          <t>0                      PA 3612000A  82                 P  3</t>
        </is>
      </c>
      <c r="D368" t="inlineStr">
        <is>
          <t>Parts of animals, with an English translation by A. L. Peck, and a foreword by F. H. A. Marshall. Movement of animals, Progression of animals, with an English translation by E. S. Forster.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Aristotle.</t>
        </is>
      </c>
      <c r="L368" t="inlineStr">
        <is>
          <t>Cambridge, Mass., Harvard university press; London, W. Heinemann, ltd. 1937.</t>
        </is>
      </c>
      <c r="M368" t="inlineStr">
        <is>
          <t>1937</t>
        </is>
      </c>
      <c r="O368" t="inlineStr">
        <is>
          <t>eng</t>
        </is>
      </c>
      <c r="P368" t="inlineStr">
        <is>
          <t>mau</t>
        </is>
      </c>
      <c r="Q368" t="inlineStr">
        <is>
          <t>The Loeb classical library. [Greek authors]</t>
        </is>
      </c>
      <c r="R368" t="inlineStr">
        <is>
          <t xml:space="preserve">PA </t>
        </is>
      </c>
      <c r="S368" t="n">
        <v>6</v>
      </c>
      <c r="T368" t="n">
        <v>6</v>
      </c>
      <c r="U368" t="inlineStr">
        <is>
          <t>2000-04-18</t>
        </is>
      </c>
      <c r="V368" t="inlineStr">
        <is>
          <t>2000-04-18</t>
        </is>
      </c>
      <c r="W368" t="inlineStr">
        <is>
          <t>1992-05-12</t>
        </is>
      </c>
      <c r="X368" t="inlineStr">
        <is>
          <t>1992-05-12</t>
        </is>
      </c>
      <c r="Y368" t="n">
        <v>396</v>
      </c>
      <c r="Z368" t="n">
        <v>358</v>
      </c>
      <c r="AA368" t="n">
        <v>363</v>
      </c>
      <c r="AB368" t="n">
        <v>3</v>
      </c>
      <c r="AC368" t="n">
        <v>3</v>
      </c>
      <c r="AD368" t="n">
        <v>17</v>
      </c>
      <c r="AE368" t="n">
        <v>17</v>
      </c>
      <c r="AF368" t="n">
        <v>2</v>
      </c>
      <c r="AG368" t="n">
        <v>2</v>
      </c>
      <c r="AH368" t="n">
        <v>6</v>
      </c>
      <c r="AI368" t="n">
        <v>6</v>
      </c>
      <c r="AJ368" t="n">
        <v>11</v>
      </c>
      <c r="AK368" t="n">
        <v>11</v>
      </c>
      <c r="AL368" t="n">
        <v>2</v>
      </c>
      <c r="AM368" t="n">
        <v>2</v>
      </c>
      <c r="AN368" t="n">
        <v>0</v>
      </c>
      <c r="AO368" t="n">
        <v>0</v>
      </c>
      <c r="AP368" t="inlineStr">
        <is>
          <t>Yes</t>
        </is>
      </c>
      <c r="AQ368" t="inlineStr">
        <is>
          <t>Yes</t>
        </is>
      </c>
      <c r="AR368">
        <f>HYPERLINK("http://catalog.hathitrust.org/Record/001193241","HathiTrust Record")</f>
        <v/>
      </c>
      <c r="AS368">
        <f>HYPERLINK("https://creighton-primo.hosted.exlibrisgroup.com/primo-explore/search?tab=default_tab&amp;search_scope=EVERYTHING&amp;vid=01CRU&amp;lang=en_US&amp;offset=0&amp;query=any,contains,991004237149702656","Catalog Record")</f>
        <v/>
      </c>
      <c r="AT368">
        <f>HYPERLINK("http://www.worldcat.org/oclc/2772960","WorldCat Record")</f>
        <v/>
      </c>
      <c r="AU368" t="inlineStr">
        <is>
          <t>5611374143:eng</t>
        </is>
      </c>
      <c r="AV368" t="inlineStr">
        <is>
          <t>2772960</t>
        </is>
      </c>
      <c r="AW368" t="inlineStr">
        <is>
          <t>991004237149702656</t>
        </is>
      </c>
      <c r="AX368" t="inlineStr">
        <is>
          <t>991004237149702656</t>
        </is>
      </c>
      <c r="AY368" t="inlineStr">
        <is>
          <t>2267467820002656</t>
        </is>
      </c>
      <c r="AZ368" t="inlineStr">
        <is>
          <t>BOOK</t>
        </is>
      </c>
      <c r="BC368" t="inlineStr">
        <is>
          <t>32285001097699</t>
        </is>
      </c>
      <c r="BD368" t="inlineStr">
        <is>
          <t>893788454</t>
        </is>
      </c>
      <c r="BE368" t="inlineStr">
        <is>
          <t>Fajardo Acosta</t>
        </is>
      </c>
    </row>
    <row r="369">
      <c r="A369" t="inlineStr">
        <is>
          <t>No</t>
        </is>
      </c>
      <c r="B369" t="inlineStr">
        <is>
          <t>PA3612.A82 P7</t>
        </is>
      </c>
      <c r="C369" t="inlineStr">
        <is>
          <t>0                      PA 3612000A  82                 P  7</t>
        </is>
      </c>
      <c r="D369" t="inlineStr">
        <is>
          <t>Problems ... with an English translation by W. S. Hett.</t>
        </is>
      </c>
      <c r="E369" t="inlineStr">
        <is>
          <t>V.1</t>
        </is>
      </c>
      <c r="F369" t="inlineStr">
        <is>
          <t>Yes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Aristotle.</t>
        </is>
      </c>
      <c r="L369" t="inlineStr">
        <is>
          <t>Cambridge, Mass., Harvard university press; London, W. Heinemann, ltd., 1936-37.</t>
        </is>
      </c>
      <c r="M369" t="inlineStr">
        <is>
          <t>1936</t>
        </is>
      </c>
      <c r="O369" t="inlineStr">
        <is>
          <t>gre</t>
        </is>
      </c>
      <c r="P369" t="inlineStr">
        <is>
          <t>mau</t>
        </is>
      </c>
      <c r="Q369" t="inlineStr">
        <is>
          <t>Loeb classical library. [Greek authors]</t>
        </is>
      </c>
      <c r="R369" t="inlineStr">
        <is>
          <t xml:space="preserve">PA </t>
        </is>
      </c>
      <c r="S369" t="n">
        <v>3</v>
      </c>
      <c r="T369" t="n">
        <v>10</v>
      </c>
      <c r="U369" t="inlineStr">
        <is>
          <t>1994-05-15</t>
        </is>
      </c>
      <c r="V369" t="inlineStr">
        <is>
          <t>1995-06-16</t>
        </is>
      </c>
      <c r="W369" t="inlineStr">
        <is>
          <t>1992-05-12</t>
        </is>
      </c>
      <c r="X369" t="inlineStr">
        <is>
          <t>1992-05-12</t>
        </is>
      </c>
      <c r="Y369" t="n">
        <v>256</v>
      </c>
      <c r="Z369" t="n">
        <v>233</v>
      </c>
      <c r="AA369" t="n">
        <v>240</v>
      </c>
      <c r="AB369" t="n">
        <v>1</v>
      </c>
      <c r="AC369" t="n">
        <v>1</v>
      </c>
      <c r="AD369" t="n">
        <v>13</v>
      </c>
      <c r="AE369" t="n">
        <v>13</v>
      </c>
      <c r="AF369" t="n">
        <v>4</v>
      </c>
      <c r="AG369" t="n">
        <v>4</v>
      </c>
      <c r="AH369" t="n">
        <v>3</v>
      </c>
      <c r="AI369" t="n">
        <v>3</v>
      </c>
      <c r="AJ369" t="n">
        <v>10</v>
      </c>
      <c r="AK369" t="n">
        <v>10</v>
      </c>
      <c r="AL369" t="n">
        <v>0</v>
      </c>
      <c r="AM369" t="n">
        <v>0</v>
      </c>
      <c r="AN369" t="n">
        <v>0</v>
      </c>
      <c r="AO369" t="n">
        <v>0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HYPERLINK("http://catalog.hathitrust.org/Record/001181650","HathiTrust Record")</f>
        <v/>
      </c>
      <c r="AS369">
        <f>HYPERLINK("https://creighton-primo.hosted.exlibrisgroup.com/primo-explore/search?tab=default_tab&amp;search_scope=EVERYTHING&amp;vid=01CRU&amp;lang=en_US&amp;offset=0&amp;query=any,contains,991003149199702656","Catalog Record")</f>
        <v/>
      </c>
      <c r="AT369">
        <f>HYPERLINK("http://www.worldcat.org/oclc/688872","WorldCat Record")</f>
        <v/>
      </c>
      <c r="AU369" t="inlineStr">
        <is>
          <t>4927915160:eng</t>
        </is>
      </c>
      <c r="AV369" t="inlineStr">
        <is>
          <t>688872</t>
        </is>
      </c>
      <c r="AW369" t="inlineStr">
        <is>
          <t>991003149199702656</t>
        </is>
      </c>
      <c r="AX369" t="inlineStr">
        <is>
          <t>991003149199702656</t>
        </is>
      </c>
      <c r="AY369" t="inlineStr">
        <is>
          <t>2272020230002656</t>
        </is>
      </c>
      <c r="AZ369" t="inlineStr">
        <is>
          <t>BOOK</t>
        </is>
      </c>
      <c r="BC369" t="inlineStr">
        <is>
          <t>32285001097301</t>
        </is>
      </c>
      <c r="BD369" t="inlineStr">
        <is>
          <t>893342272</t>
        </is>
      </c>
      <c r="BE369" t="inlineStr">
        <is>
          <t>Fajardo Acosta</t>
        </is>
      </c>
    </row>
    <row r="370">
      <c r="A370" t="inlineStr">
        <is>
          <t>No</t>
        </is>
      </c>
      <c r="B370" t="inlineStr">
        <is>
          <t>PA3612.A82 P7</t>
        </is>
      </c>
      <c r="C370" t="inlineStr">
        <is>
          <t>0                      PA 3612000A  82                 P  7</t>
        </is>
      </c>
      <c r="D370" t="inlineStr">
        <is>
          <t>Problems ... with an English translation by W. S. Hett.</t>
        </is>
      </c>
      <c r="E370" t="inlineStr">
        <is>
          <t>V.2</t>
        </is>
      </c>
      <c r="F370" t="inlineStr">
        <is>
          <t>Yes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Aristotle.</t>
        </is>
      </c>
      <c r="L370" t="inlineStr">
        <is>
          <t>Cambridge, Mass., Harvard university press; London, W. Heinemann, ltd., 1936-37.</t>
        </is>
      </c>
      <c r="M370" t="inlineStr">
        <is>
          <t>1936</t>
        </is>
      </c>
      <c r="O370" t="inlineStr">
        <is>
          <t>gre</t>
        </is>
      </c>
      <c r="P370" t="inlineStr">
        <is>
          <t>mau</t>
        </is>
      </c>
      <c r="Q370" t="inlineStr">
        <is>
          <t>Loeb classical library. [Greek authors]</t>
        </is>
      </c>
      <c r="R370" t="inlineStr">
        <is>
          <t xml:space="preserve">PA </t>
        </is>
      </c>
      <c r="S370" t="n">
        <v>7</v>
      </c>
      <c r="T370" t="n">
        <v>10</v>
      </c>
      <c r="U370" t="inlineStr">
        <is>
          <t>1995-06-16</t>
        </is>
      </c>
      <c r="V370" t="inlineStr">
        <is>
          <t>1995-06-16</t>
        </is>
      </c>
      <c r="W370" t="inlineStr">
        <is>
          <t>1992-05-12</t>
        </is>
      </c>
      <c r="X370" t="inlineStr">
        <is>
          <t>1992-05-12</t>
        </is>
      </c>
      <c r="Y370" t="n">
        <v>256</v>
      </c>
      <c r="Z370" t="n">
        <v>233</v>
      </c>
      <c r="AA370" t="n">
        <v>240</v>
      </c>
      <c r="AB370" t="n">
        <v>1</v>
      </c>
      <c r="AC370" t="n">
        <v>1</v>
      </c>
      <c r="AD370" t="n">
        <v>13</v>
      </c>
      <c r="AE370" t="n">
        <v>13</v>
      </c>
      <c r="AF370" t="n">
        <v>4</v>
      </c>
      <c r="AG370" t="n">
        <v>4</v>
      </c>
      <c r="AH370" t="n">
        <v>3</v>
      </c>
      <c r="AI370" t="n">
        <v>3</v>
      </c>
      <c r="AJ370" t="n">
        <v>10</v>
      </c>
      <c r="AK370" t="n">
        <v>10</v>
      </c>
      <c r="AL370" t="n">
        <v>0</v>
      </c>
      <c r="AM370" t="n">
        <v>0</v>
      </c>
      <c r="AN370" t="n">
        <v>0</v>
      </c>
      <c r="AO370" t="n">
        <v>0</v>
      </c>
      <c r="AP370" t="inlineStr">
        <is>
          <t>No</t>
        </is>
      </c>
      <c r="AQ370" t="inlineStr">
        <is>
          <t>Yes</t>
        </is>
      </c>
      <c r="AR370">
        <f>HYPERLINK("http://catalog.hathitrust.org/Record/001181650","HathiTrust Record")</f>
        <v/>
      </c>
      <c r="AS370">
        <f>HYPERLINK("https://creighton-primo.hosted.exlibrisgroup.com/primo-explore/search?tab=default_tab&amp;search_scope=EVERYTHING&amp;vid=01CRU&amp;lang=en_US&amp;offset=0&amp;query=any,contains,991003149199702656","Catalog Record")</f>
        <v/>
      </c>
      <c r="AT370">
        <f>HYPERLINK("http://www.worldcat.org/oclc/688872","WorldCat Record")</f>
        <v/>
      </c>
      <c r="AU370" t="inlineStr">
        <is>
          <t>4927915160:eng</t>
        </is>
      </c>
      <c r="AV370" t="inlineStr">
        <is>
          <t>688872</t>
        </is>
      </c>
      <c r="AW370" t="inlineStr">
        <is>
          <t>991003149199702656</t>
        </is>
      </c>
      <c r="AX370" t="inlineStr">
        <is>
          <t>991003149199702656</t>
        </is>
      </c>
      <c r="AY370" t="inlineStr">
        <is>
          <t>2272020230002656</t>
        </is>
      </c>
      <c r="AZ370" t="inlineStr">
        <is>
          <t>BOOK</t>
        </is>
      </c>
      <c r="BC370" t="inlineStr">
        <is>
          <t>32285001097319</t>
        </is>
      </c>
      <c r="BD370" t="inlineStr">
        <is>
          <t>893342271</t>
        </is>
      </c>
      <c r="BE370" t="inlineStr">
        <is>
          <t>Fajardo Acosta</t>
        </is>
      </c>
    </row>
    <row r="371">
      <c r="A371" t="inlineStr">
        <is>
          <t>No</t>
        </is>
      </c>
      <c r="B371" t="inlineStr">
        <is>
          <t>PA3612.A82 S6</t>
        </is>
      </c>
      <c r="C371" t="inlineStr">
        <is>
          <t>0                      PA 3612000A  82                 S  6</t>
        </is>
      </c>
      <c r="D371" t="inlineStr">
        <is>
          <t>On sophistical refutations ; On coming-to-be and passing away / Aristotle ; [translated] by E.S. Forster ; On the cosmos / [translated] by D.J. Furley.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Aristotle.</t>
        </is>
      </c>
      <c r="L371" t="inlineStr">
        <is>
          <t>London : W. Heinemann ; Cambridge, Mass. : Harvard University Press, 1955.</t>
        </is>
      </c>
      <c r="M371" t="inlineStr">
        <is>
          <t>1955</t>
        </is>
      </c>
      <c r="O371" t="inlineStr">
        <is>
          <t>eng</t>
        </is>
      </c>
      <c r="P371" t="inlineStr">
        <is>
          <t>enk</t>
        </is>
      </c>
      <c r="Q371" t="inlineStr">
        <is>
          <t>Loeb classical library ; no. 400</t>
        </is>
      </c>
      <c r="R371" t="inlineStr">
        <is>
          <t xml:space="preserve">PA </t>
        </is>
      </c>
      <c r="S371" t="n">
        <v>3</v>
      </c>
      <c r="T371" t="n">
        <v>3</v>
      </c>
      <c r="U371" t="inlineStr">
        <is>
          <t>1994-05-15</t>
        </is>
      </c>
      <c r="V371" t="inlineStr">
        <is>
          <t>1994-05-15</t>
        </is>
      </c>
      <c r="W371" t="inlineStr">
        <is>
          <t>1992-02-19</t>
        </is>
      </c>
      <c r="X371" t="inlineStr">
        <is>
          <t>1992-02-19</t>
        </is>
      </c>
      <c r="Y371" t="n">
        <v>200</v>
      </c>
      <c r="Z371" t="n">
        <v>136</v>
      </c>
      <c r="AA371" t="n">
        <v>364</v>
      </c>
      <c r="AB371" t="n">
        <v>1</v>
      </c>
      <c r="AC371" t="n">
        <v>3</v>
      </c>
      <c r="AD371" t="n">
        <v>5</v>
      </c>
      <c r="AE371" t="n">
        <v>23</v>
      </c>
      <c r="AF371" t="n">
        <v>2</v>
      </c>
      <c r="AG371" t="n">
        <v>13</v>
      </c>
      <c r="AH371" t="n">
        <v>0</v>
      </c>
      <c r="AI371" t="n">
        <v>5</v>
      </c>
      <c r="AJ371" t="n">
        <v>4</v>
      </c>
      <c r="AK371" t="n">
        <v>11</v>
      </c>
      <c r="AL371" t="n">
        <v>0</v>
      </c>
      <c r="AM371" t="n">
        <v>2</v>
      </c>
      <c r="AN371" t="n">
        <v>0</v>
      </c>
      <c r="AO371" t="n">
        <v>0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HYPERLINK("http://catalog.hathitrust.org/Record/001768705","HathiTrust Record")</f>
        <v/>
      </c>
      <c r="AS371">
        <f>HYPERLINK("https://creighton-primo.hosted.exlibrisgroup.com/primo-explore/search?tab=default_tab&amp;search_scope=EVERYTHING&amp;vid=01CRU&amp;lang=en_US&amp;offset=0&amp;query=any,contains,991003143999702656","Catalog Record")</f>
        <v/>
      </c>
      <c r="AT371">
        <f>HYPERLINK("http://www.worldcat.org/oclc/685103","WorldCat Record")</f>
        <v/>
      </c>
      <c r="AU371" t="inlineStr">
        <is>
          <t>2768427473:eng</t>
        </is>
      </c>
      <c r="AV371" t="inlineStr">
        <is>
          <t>685103</t>
        </is>
      </c>
      <c r="AW371" t="inlineStr">
        <is>
          <t>991003143999702656</t>
        </is>
      </c>
      <c r="AX371" t="inlineStr">
        <is>
          <t>991003143999702656</t>
        </is>
      </c>
      <c r="AY371" t="inlineStr">
        <is>
          <t>2264318650002656</t>
        </is>
      </c>
      <c r="AZ371" t="inlineStr">
        <is>
          <t>BOOK</t>
        </is>
      </c>
      <c r="BC371" t="inlineStr">
        <is>
          <t>32285000971191</t>
        </is>
      </c>
      <c r="BD371" t="inlineStr">
        <is>
          <t>893868138</t>
        </is>
      </c>
      <c r="BE371" t="inlineStr">
        <is>
          <t>Fajardo Acosta</t>
        </is>
      </c>
    </row>
    <row r="372">
      <c r="A372" t="inlineStr">
        <is>
          <t>No</t>
        </is>
      </c>
      <c r="B372" t="inlineStr">
        <is>
          <t>PA3825 .A8 1957</t>
        </is>
      </c>
      <c r="C372" t="inlineStr">
        <is>
          <t>0                      PA 3825000A  8           1957</t>
        </is>
      </c>
      <c r="D372" t="inlineStr">
        <is>
          <t>Agamemnon / edited by John Dewar Denniston and Denys Page.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Yes</t>
        </is>
      </c>
      <c r="J372" t="inlineStr">
        <is>
          <t>0</t>
        </is>
      </c>
      <c r="K372" t="inlineStr">
        <is>
          <t>Aeschylus.</t>
        </is>
      </c>
      <c r="L372" t="inlineStr">
        <is>
          <t>Oxford : Clarendon Press, [1957]</t>
        </is>
      </c>
      <c r="M372" t="inlineStr">
        <is>
          <t>1957</t>
        </is>
      </c>
      <c r="O372" t="inlineStr">
        <is>
          <t>eng</t>
        </is>
      </c>
      <c r="P372" t="inlineStr">
        <is>
          <t>enk</t>
        </is>
      </c>
      <c r="R372" t="inlineStr">
        <is>
          <t xml:space="preserve">PA </t>
        </is>
      </c>
      <c r="S372" t="n">
        <v>3</v>
      </c>
      <c r="T372" t="n">
        <v>3</v>
      </c>
      <c r="U372" t="inlineStr">
        <is>
          <t>2005-12-21</t>
        </is>
      </c>
      <c r="V372" t="inlineStr">
        <is>
          <t>2005-12-21</t>
        </is>
      </c>
      <c r="W372" t="inlineStr">
        <is>
          <t>1991-10-28</t>
        </is>
      </c>
      <c r="X372" t="inlineStr">
        <is>
          <t>1991-10-28</t>
        </is>
      </c>
      <c r="Y372" t="n">
        <v>429</v>
      </c>
      <c r="Z372" t="n">
        <v>310</v>
      </c>
      <c r="AA372" t="n">
        <v>2010</v>
      </c>
      <c r="AB372" t="n">
        <v>2</v>
      </c>
      <c r="AC372" t="n">
        <v>21</v>
      </c>
      <c r="AD372" t="n">
        <v>19</v>
      </c>
      <c r="AE372" t="n">
        <v>56</v>
      </c>
      <c r="AF372" t="n">
        <v>5</v>
      </c>
      <c r="AG372" t="n">
        <v>21</v>
      </c>
      <c r="AH372" t="n">
        <v>5</v>
      </c>
      <c r="AI372" t="n">
        <v>10</v>
      </c>
      <c r="AJ372" t="n">
        <v>13</v>
      </c>
      <c r="AK372" t="n">
        <v>23</v>
      </c>
      <c r="AL372" t="n">
        <v>1</v>
      </c>
      <c r="AM372" t="n">
        <v>13</v>
      </c>
      <c r="AN372" t="n">
        <v>0</v>
      </c>
      <c r="AO372" t="n">
        <v>0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HYPERLINK("http://catalog.hathitrust.org/Record/001812052","HathiTrust Record")</f>
        <v/>
      </c>
      <c r="AS372">
        <f>HYPERLINK("https://creighton-primo.hosted.exlibrisgroup.com/primo-explore/search?tab=default_tab&amp;search_scope=EVERYTHING&amp;vid=01CRU&amp;lang=en_US&amp;offset=0&amp;query=any,contains,991003488809702656","Catalog Record")</f>
        <v/>
      </c>
      <c r="AT372">
        <f>HYPERLINK("http://www.worldcat.org/oclc/1037291","WorldCat Record")</f>
        <v/>
      </c>
      <c r="AU372" t="inlineStr">
        <is>
          <t>196915787:eng</t>
        </is>
      </c>
      <c r="AV372" t="inlineStr">
        <is>
          <t>1037291</t>
        </is>
      </c>
      <c r="AW372" t="inlineStr">
        <is>
          <t>991003488809702656</t>
        </is>
      </c>
      <c r="AX372" t="inlineStr">
        <is>
          <t>991003488809702656</t>
        </is>
      </c>
      <c r="AY372" t="inlineStr">
        <is>
          <t>2265668120002656</t>
        </is>
      </c>
      <c r="AZ372" t="inlineStr">
        <is>
          <t>BOOK</t>
        </is>
      </c>
      <c r="BC372" t="inlineStr">
        <is>
          <t>32285000779750</t>
        </is>
      </c>
      <c r="BD372" t="inlineStr">
        <is>
          <t>893787374</t>
        </is>
      </c>
      <c r="BE372" t="inlineStr">
        <is>
          <t>Fajardo Acosta</t>
        </is>
      </c>
    </row>
    <row r="373">
      <c r="A373" t="inlineStr">
        <is>
          <t>No</t>
        </is>
      </c>
      <c r="B373" t="inlineStr">
        <is>
          <t>PA3875 .A8 1991</t>
        </is>
      </c>
      <c r="C373" t="inlineStr">
        <is>
          <t>0                      PA 3875000A  8           1991</t>
        </is>
      </c>
      <c r="D373" t="inlineStr">
        <is>
          <t>Aristophanes' Birds / [text with commentary by] Peter Burian.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Aristophanes.</t>
        </is>
      </c>
      <c r="L373" t="inlineStr">
        <is>
          <t>Bryn Mawr, Pa. : Thomas Library, Bryn Mawr College, c1991.</t>
        </is>
      </c>
      <c r="M373" t="inlineStr">
        <is>
          <t>1991</t>
        </is>
      </c>
      <c r="O373" t="inlineStr">
        <is>
          <t>grc</t>
        </is>
      </c>
      <c r="P373" t="inlineStr">
        <is>
          <t>pau</t>
        </is>
      </c>
      <c r="Q373" t="inlineStr">
        <is>
          <t>Bryn Mawr Greek commentaries</t>
        </is>
      </c>
      <c r="R373" t="inlineStr">
        <is>
          <t xml:space="preserve">PA </t>
        </is>
      </c>
      <c r="S373" t="n">
        <v>1</v>
      </c>
      <c r="T373" t="n">
        <v>1</v>
      </c>
      <c r="U373" t="inlineStr">
        <is>
          <t>2005-11-01</t>
        </is>
      </c>
      <c r="V373" t="inlineStr">
        <is>
          <t>2005-11-01</t>
        </is>
      </c>
      <c r="W373" t="inlineStr">
        <is>
          <t>2005-11-01</t>
        </is>
      </c>
      <c r="X373" t="inlineStr">
        <is>
          <t>2005-11-01</t>
        </is>
      </c>
      <c r="Y373" t="n">
        <v>63</v>
      </c>
      <c r="Z373" t="n">
        <v>56</v>
      </c>
      <c r="AA373" t="n">
        <v>202</v>
      </c>
      <c r="AB373" t="n">
        <v>1</v>
      </c>
      <c r="AC373" t="n">
        <v>2</v>
      </c>
      <c r="AD373" t="n">
        <v>3</v>
      </c>
      <c r="AE373" t="n">
        <v>11</v>
      </c>
      <c r="AF373" t="n">
        <v>1</v>
      </c>
      <c r="AG373" t="n">
        <v>1</v>
      </c>
      <c r="AH373" t="n">
        <v>0</v>
      </c>
      <c r="AI373" t="n">
        <v>4</v>
      </c>
      <c r="AJ373" t="n">
        <v>3</v>
      </c>
      <c r="AK373" t="n">
        <v>9</v>
      </c>
      <c r="AL373" t="n">
        <v>0</v>
      </c>
      <c r="AM373" t="n">
        <v>1</v>
      </c>
      <c r="AN373" t="n">
        <v>0</v>
      </c>
      <c r="AO373" t="n">
        <v>0</v>
      </c>
      <c r="AP373" t="inlineStr">
        <is>
          <t>No</t>
        </is>
      </c>
      <c r="AQ373" t="inlineStr">
        <is>
          <t>No</t>
        </is>
      </c>
      <c r="AS373">
        <f>HYPERLINK("https://creighton-primo.hosted.exlibrisgroup.com/primo-explore/search?tab=default_tab&amp;search_scope=EVERYTHING&amp;vid=01CRU&amp;lang=en_US&amp;offset=0&amp;query=any,contains,991004666949702656","Catalog Record")</f>
        <v/>
      </c>
      <c r="AT373">
        <f>HYPERLINK("http://www.worldcat.org/oclc/24184578","WorldCat Record")</f>
        <v/>
      </c>
      <c r="AU373" t="inlineStr">
        <is>
          <t>10397674247:grc</t>
        </is>
      </c>
      <c r="AV373" t="inlineStr">
        <is>
          <t>24184578</t>
        </is>
      </c>
      <c r="AW373" t="inlineStr">
        <is>
          <t>991004666949702656</t>
        </is>
      </c>
      <c r="AX373" t="inlineStr">
        <is>
          <t>991004666949702656</t>
        </is>
      </c>
      <c r="AY373" t="inlineStr">
        <is>
          <t>2272275840002656</t>
        </is>
      </c>
      <c r="AZ373" t="inlineStr">
        <is>
          <t>BOOK</t>
        </is>
      </c>
      <c r="BB373" t="inlineStr">
        <is>
          <t>9780929524641</t>
        </is>
      </c>
      <c r="BC373" t="inlineStr">
        <is>
          <t>32285005143994</t>
        </is>
      </c>
      <c r="BD373" t="inlineStr">
        <is>
          <t>893889027</t>
        </is>
      </c>
      <c r="BE373" t="inlineStr">
        <is>
          <t>Fajardo Acosta</t>
        </is>
      </c>
    </row>
    <row r="374">
      <c r="A374" t="inlineStr">
        <is>
          <t>No</t>
        </is>
      </c>
      <c r="B374" t="inlineStr">
        <is>
          <t>PA3875 .R3 1963</t>
        </is>
      </c>
      <c r="C374" t="inlineStr">
        <is>
          <t>0                      PA 3875000R  3           1963</t>
        </is>
      </c>
      <c r="D374" t="inlineStr">
        <is>
          <t>The frogs / edited, with introd., rev. text, commentary and index, by W. B. Sanford.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K374" t="inlineStr">
        <is>
          <t>Aristophanes.</t>
        </is>
      </c>
      <c r="L374" t="inlineStr">
        <is>
          <t>London : Macmillan ; New York : St Martin's Press, 1963 [c1958]</t>
        </is>
      </c>
      <c r="M374" t="inlineStr">
        <is>
          <t>1963</t>
        </is>
      </c>
      <c r="N374" t="inlineStr">
        <is>
          <t>2d ed.</t>
        </is>
      </c>
      <c r="O374" t="inlineStr">
        <is>
          <t>grc</t>
        </is>
      </c>
      <c r="P374" t="inlineStr">
        <is>
          <t>enk</t>
        </is>
      </c>
      <c r="R374" t="inlineStr">
        <is>
          <t xml:space="preserve">PA </t>
        </is>
      </c>
      <c r="S374" t="n">
        <v>3</v>
      </c>
      <c r="T374" t="n">
        <v>3</v>
      </c>
      <c r="U374" t="inlineStr">
        <is>
          <t>1994-04-10</t>
        </is>
      </c>
      <c r="V374" t="inlineStr">
        <is>
          <t>1994-04-10</t>
        </is>
      </c>
      <c r="W374" t="inlineStr">
        <is>
          <t>1991-01-15</t>
        </is>
      </c>
      <c r="X374" t="inlineStr">
        <is>
          <t>1991-01-15</t>
        </is>
      </c>
      <c r="Y374" t="n">
        <v>160</v>
      </c>
      <c r="Z374" t="n">
        <v>128</v>
      </c>
      <c r="AA374" t="n">
        <v>406</v>
      </c>
      <c r="AB374" t="n">
        <v>1</v>
      </c>
      <c r="AC374" t="n">
        <v>3</v>
      </c>
      <c r="AD374" t="n">
        <v>9</v>
      </c>
      <c r="AE374" t="n">
        <v>25</v>
      </c>
      <c r="AF374" t="n">
        <v>2</v>
      </c>
      <c r="AG374" t="n">
        <v>9</v>
      </c>
      <c r="AH374" t="n">
        <v>2</v>
      </c>
      <c r="AI374" t="n">
        <v>8</v>
      </c>
      <c r="AJ374" t="n">
        <v>6</v>
      </c>
      <c r="AK374" t="n">
        <v>18</v>
      </c>
      <c r="AL374" t="n">
        <v>0</v>
      </c>
      <c r="AM374" t="n">
        <v>1</v>
      </c>
      <c r="AN374" t="n">
        <v>0</v>
      </c>
      <c r="AO374" t="n">
        <v>0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HYPERLINK("http://catalog.hathitrust.org/Record/000859216","HathiTrust Record")</f>
        <v/>
      </c>
      <c r="AS374">
        <f>HYPERLINK("https://creighton-primo.hosted.exlibrisgroup.com/primo-explore/search?tab=default_tab&amp;search_scope=EVERYTHING&amp;vid=01CRU&amp;lang=en_US&amp;offset=0&amp;query=any,contains,991004231609702656","Catalog Record")</f>
        <v/>
      </c>
      <c r="AT374">
        <f>HYPERLINK("http://www.worldcat.org/oclc/2748448","WorldCat Record")</f>
        <v/>
      </c>
      <c r="AU374" t="inlineStr">
        <is>
          <t>3606414119:grc</t>
        </is>
      </c>
      <c r="AV374" t="inlineStr">
        <is>
          <t>2748448</t>
        </is>
      </c>
      <c r="AW374" t="inlineStr">
        <is>
          <t>991004231609702656</t>
        </is>
      </c>
      <c r="AX374" t="inlineStr">
        <is>
          <t>991004231609702656</t>
        </is>
      </c>
      <c r="AY374" t="inlineStr">
        <is>
          <t>2258015830002656</t>
        </is>
      </c>
      <c r="AZ374" t="inlineStr">
        <is>
          <t>BOOK</t>
        </is>
      </c>
      <c r="BC374" t="inlineStr">
        <is>
          <t>32285000428507</t>
        </is>
      </c>
      <c r="BD374" t="inlineStr">
        <is>
          <t>893442364</t>
        </is>
      </c>
      <c r="BE374" t="inlineStr">
        <is>
          <t>Fajardo Acosta</t>
        </is>
      </c>
    </row>
    <row r="375">
      <c r="A375" t="inlineStr">
        <is>
          <t>No</t>
        </is>
      </c>
      <c r="B375" t="inlineStr">
        <is>
          <t>PA3875.L8 T87 1982</t>
        </is>
      </c>
      <c r="C375" t="inlineStr">
        <is>
          <t>0                      PA 3875000L  8                  T  87          1982</t>
        </is>
      </c>
      <c r="D375" t="inlineStr">
        <is>
          <t>Aristophanes' Lysistrata / J. Hilton Turner.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Yes</t>
        </is>
      </c>
      <c r="J375" t="inlineStr">
        <is>
          <t>0</t>
        </is>
      </c>
      <c r="K375" t="inlineStr">
        <is>
          <t>Aristophanes.</t>
        </is>
      </c>
      <c r="L375" t="inlineStr">
        <is>
          <t>Bryn Mawr, Pa. : Dept. of Greek, Bryn Mawr College, 1982.</t>
        </is>
      </c>
      <c r="M375" t="inlineStr">
        <is>
          <t>1982</t>
        </is>
      </c>
      <c r="O375" t="inlineStr">
        <is>
          <t>eng</t>
        </is>
      </c>
      <c r="P375" t="inlineStr">
        <is>
          <t>pau</t>
        </is>
      </c>
      <c r="Q375" t="inlineStr">
        <is>
          <t>Bryn Mawr commentaries</t>
        </is>
      </c>
      <c r="R375" t="inlineStr">
        <is>
          <t xml:space="preserve">PA </t>
        </is>
      </c>
      <c r="S375" t="n">
        <v>1</v>
      </c>
      <c r="T375" t="n">
        <v>1</v>
      </c>
      <c r="U375" t="inlineStr">
        <is>
          <t>2005-11-01</t>
        </is>
      </c>
      <c r="V375" t="inlineStr">
        <is>
          <t>2005-11-01</t>
        </is>
      </c>
      <c r="W375" t="inlineStr">
        <is>
          <t>2005-11-01</t>
        </is>
      </c>
      <c r="X375" t="inlineStr">
        <is>
          <t>2005-11-01</t>
        </is>
      </c>
      <c r="Y375" t="n">
        <v>77</v>
      </c>
      <c r="Z375" t="n">
        <v>68</v>
      </c>
      <c r="AA375" t="n">
        <v>444</v>
      </c>
      <c r="AB375" t="n">
        <v>2</v>
      </c>
      <c r="AC375" t="n">
        <v>2</v>
      </c>
      <c r="AD375" t="n">
        <v>7</v>
      </c>
      <c r="AE375" t="n">
        <v>25</v>
      </c>
      <c r="AF375" t="n">
        <v>2</v>
      </c>
      <c r="AG375" t="n">
        <v>10</v>
      </c>
      <c r="AH375" t="n">
        <v>0</v>
      </c>
      <c r="AI375" t="n">
        <v>6</v>
      </c>
      <c r="AJ375" t="n">
        <v>6</v>
      </c>
      <c r="AK375" t="n">
        <v>17</v>
      </c>
      <c r="AL375" t="n">
        <v>1</v>
      </c>
      <c r="AM375" t="n">
        <v>1</v>
      </c>
      <c r="AN375" t="n">
        <v>0</v>
      </c>
      <c r="AO375" t="n">
        <v>0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HYPERLINK("http://catalog.hathitrust.org/Record/007105675","HathiTrust Record")</f>
        <v/>
      </c>
      <c r="AS375">
        <f>HYPERLINK("https://creighton-primo.hosted.exlibrisgroup.com/primo-explore/search?tab=default_tab&amp;search_scope=EVERYTHING&amp;vid=01CRU&amp;lang=en_US&amp;offset=0&amp;query=any,contains,991004667639702656","Catalog Record")</f>
        <v/>
      </c>
      <c r="AT375">
        <f>HYPERLINK("http://www.worldcat.org/oclc/8970619","WorldCat Record")</f>
        <v/>
      </c>
      <c r="AU375" t="inlineStr">
        <is>
          <t>9291385001:eng</t>
        </is>
      </c>
      <c r="AV375" t="inlineStr">
        <is>
          <t>8970619</t>
        </is>
      </c>
      <c r="AW375" t="inlineStr">
        <is>
          <t>991004667639702656</t>
        </is>
      </c>
      <c r="AX375" t="inlineStr">
        <is>
          <t>991004667639702656</t>
        </is>
      </c>
      <c r="AY375" t="inlineStr">
        <is>
          <t>2263988000002656</t>
        </is>
      </c>
      <c r="AZ375" t="inlineStr">
        <is>
          <t>BOOK</t>
        </is>
      </c>
      <c r="BC375" t="inlineStr">
        <is>
          <t>32285005143978</t>
        </is>
      </c>
      <c r="BD375" t="inlineStr">
        <is>
          <t>893411815</t>
        </is>
      </c>
      <c r="BE375" t="inlineStr">
        <is>
          <t>Fajardo Acosta</t>
        </is>
      </c>
    </row>
    <row r="376">
      <c r="A376" t="inlineStr">
        <is>
          <t>No</t>
        </is>
      </c>
      <c r="B376" t="inlineStr">
        <is>
          <t>PA3877 .A1 1936</t>
        </is>
      </c>
      <c r="C376" t="inlineStr">
        <is>
          <t>0                      PA 3877000A  1           1936</t>
        </is>
      </c>
      <c r="D376" t="inlineStr">
        <is>
          <t>The eleven comedies / literally &amp; completely translated from the Greek tongue into English with translator's foreword, an introd. to each comedy &amp; elucidatory notes.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Aristophanes.</t>
        </is>
      </c>
      <c r="L376" t="inlineStr">
        <is>
          <t>New York] : Tudor Pub. Co., [1936]</t>
        </is>
      </c>
      <c r="M376" t="inlineStr">
        <is>
          <t>1936</t>
        </is>
      </c>
      <c r="N376" t="inlineStr">
        <is>
          <t>[New ed.</t>
        </is>
      </c>
      <c r="O376" t="inlineStr">
        <is>
          <t>eng</t>
        </is>
      </c>
      <c r="P376" t="inlineStr">
        <is>
          <t>nyu</t>
        </is>
      </c>
      <c r="R376" t="inlineStr">
        <is>
          <t xml:space="preserve">PA </t>
        </is>
      </c>
      <c r="S376" t="n">
        <v>18</v>
      </c>
      <c r="T376" t="n">
        <v>18</v>
      </c>
      <c r="U376" t="inlineStr">
        <is>
          <t>1997-04-17</t>
        </is>
      </c>
      <c r="V376" t="inlineStr">
        <is>
          <t>1997-04-17</t>
        </is>
      </c>
      <c r="W376" t="inlineStr">
        <is>
          <t>1991-12-10</t>
        </is>
      </c>
      <c r="X376" t="inlineStr">
        <is>
          <t>1991-12-10</t>
        </is>
      </c>
      <c r="Y376" t="n">
        <v>130</v>
      </c>
      <c r="Z376" t="n">
        <v>116</v>
      </c>
      <c r="AA376" t="n">
        <v>723</v>
      </c>
      <c r="AB376" t="n">
        <v>3</v>
      </c>
      <c r="AC376" t="n">
        <v>5</v>
      </c>
      <c r="AD376" t="n">
        <v>7</v>
      </c>
      <c r="AE376" t="n">
        <v>23</v>
      </c>
      <c r="AF376" t="n">
        <v>2</v>
      </c>
      <c r="AG376" t="n">
        <v>8</v>
      </c>
      <c r="AH376" t="n">
        <v>1</v>
      </c>
      <c r="AI376" t="n">
        <v>6</v>
      </c>
      <c r="AJ376" t="n">
        <v>5</v>
      </c>
      <c r="AK376" t="n">
        <v>14</v>
      </c>
      <c r="AL376" t="n">
        <v>1</v>
      </c>
      <c r="AM376" t="n">
        <v>3</v>
      </c>
      <c r="AN376" t="n">
        <v>0</v>
      </c>
      <c r="AO376" t="n">
        <v>0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HYPERLINK("http://catalog.hathitrust.org/Record/000856094","HathiTrust Record")</f>
        <v/>
      </c>
      <c r="AS376">
        <f>HYPERLINK("https://creighton-primo.hosted.exlibrisgroup.com/primo-explore/search?tab=default_tab&amp;search_scope=EVERYTHING&amp;vid=01CRU&amp;lang=en_US&amp;offset=0&amp;query=any,contains,991004292449702656","Catalog Record")</f>
        <v/>
      </c>
      <c r="AT376">
        <f>HYPERLINK("http://www.worldcat.org/oclc/2952179","WorldCat Record")</f>
        <v/>
      </c>
      <c r="AU376" t="inlineStr">
        <is>
          <t>3943291099:eng</t>
        </is>
      </c>
      <c r="AV376" t="inlineStr">
        <is>
          <t>2952179</t>
        </is>
      </c>
      <c r="AW376" t="inlineStr">
        <is>
          <t>991004292449702656</t>
        </is>
      </c>
      <c r="AX376" t="inlineStr">
        <is>
          <t>991004292449702656</t>
        </is>
      </c>
      <c r="AY376" t="inlineStr">
        <is>
          <t>2269063950002656</t>
        </is>
      </c>
      <c r="AZ376" t="inlineStr">
        <is>
          <t>BOOK</t>
        </is>
      </c>
      <c r="BC376" t="inlineStr">
        <is>
          <t>32285000849074</t>
        </is>
      </c>
      <c r="BD376" t="inlineStr">
        <is>
          <t>893775860</t>
        </is>
      </c>
      <c r="BE376" t="inlineStr">
        <is>
          <t>Fajardo Acosta</t>
        </is>
      </c>
    </row>
    <row r="377">
      <c r="A377" t="inlineStr">
        <is>
          <t>No</t>
        </is>
      </c>
      <c r="B377" t="inlineStr">
        <is>
          <t>PA3877 .A2</t>
        </is>
      </c>
      <c r="C377" t="inlineStr">
        <is>
          <t>0                      PA 3877000A  2</t>
        </is>
      </c>
      <c r="D377" t="inlineStr">
        <is>
          <t>The Acharnians, and two other plays of Aristophanes; tr. by J. Hookham Frere.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Aristophanes.</t>
        </is>
      </c>
      <c r="L377" t="inlineStr">
        <is>
          <t>London, J. M. Dent &amp; co.; New York, E. P. Dutton &amp; co. [1909]</t>
        </is>
      </c>
      <c r="M377" t="inlineStr">
        <is>
          <t>1909</t>
        </is>
      </c>
      <c r="O377" t="inlineStr">
        <is>
          <t>eng</t>
        </is>
      </c>
      <c r="P377" t="inlineStr">
        <is>
          <t>enk</t>
        </is>
      </c>
      <c r="Q377" t="inlineStr">
        <is>
          <t>Everyman's library, ed. by Ernest Rhys. Classical [no. 344]</t>
        </is>
      </c>
      <c r="R377" t="inlineStr">
        <is>
          <t xml:space="preserve">PA </t>
        </is>
      </c>
      <c r="S377" t="n">
        <v>2</v>
      </c>
      <c r="T377" t="n">
        <v>2</v>
      </c>
      <c r="U377" t="inlineStr">
        <is>
          <t>1998-01-14</t>
        </is>
      </c>
      <c r="V377" t="inlineStr">
        <is>
          <t>1998-01-14</t>
        </is>
      </c>
      <c r="W377" t="inlineStr">
        <is>
          <t>1997-08-28</t>
        </is>
      </c>
      <c r="X377" t="inlineStr">
        <is>
          <t>1997-08-28</t>
        </is>
      </c>
      <c r="Y377" t="n">
        <v>97</v>
      </c>
      <c r="Z377" t="n">
        <v>78</v>
      </c>
      <c r="AA377" t="n">
        <v>93</v>
      </c>
      <c r="AB377" t="n">
        <v>1</v>
      </c>
      <c r="AC377" t="n">
        <v>1</v>
      </c>
      <c r="AD377" t="n">
        <v>2</v>
      </c>
      <c r="AE377" t="n">
        <v>2</v>
      </c>
      <c r="AF377" t="n">
        <v>0</v>
      </c>
      <c r="AG377" t="n">
        <v>0</v>
      </c>
      <c r="AH377" t="n">
        <v>2</v>
      </c>
      <c r="AI377" t="n">
        <v>2</v>
      </c>
      <c r="AJ377" t="n">
        <v>0</v>
      </c>
      <c r="AK377" t="n">
        <v>0</v>
      </c>
      <c r="AL377" t="n">
        <v>0</v>
      </c>
      <c r="AM377" t="n">
        <v>0</v>
      </c>
      <c r="AN377" t="n">
        <v>0</v>
      </c>
      <c r="AO377" t="n">
        <v>0</v>
      </c>
      <c r="AP377" t="inlineStr">
        <is>
          <t>Yes</t>
        </is>
      </c>
      <c r="AQ377" t="inlineStr">
        <is>
          <t>No</t>
        </is>
      </c>
      <c r="AR377">
        <f>HYPERLINK("http://catalog.hathitrust.org/Record/000857027","HathiTrust Record")</f>
        <v/>
      </c>
      <c r="AS377">
        <f>HYPERLINK("https://creighton-primo.hosted.exlibrisgroup.com/primo-explore/search?tab=default_tab&amp;search_scope=EVERYTHING&amp;vid=01CRU&amp;lang=en_US&amp;offset=0&amp;query=any,contains,991003939949702656","Catalog Record")</f>
        <v/>
      </c>
      <c r="AT377">
        <f>HYPERLINK("http://www.worldcat.org/oclc/1927680","WorldCat Record")</f>
        <v/>
      </c>
      <c r="AU377" t="inlineStr">
        <is>
          <t>2865446070:eng</t>
        </is>
      </c>
      <c r="AV377" t="inlineStr">
        <is>
          <t>1927680</t>
        </is>
      </c>
      <c r="AW377" t="inlineStr">
        <is>
          <t>991003939949702656</t>
        </is>
      </c>
      <c r="AX377" t="inlineStr">
        <is>
          <t>991003939949702656</t>
        </is>
      </c>
      <c r="AY377" t="inlineStr">
        <is>
          <t>2256774540002656</t>
        </is>
      </c>
      <c r="AZ377" t="inlineStr">
        <is>
          <t>BOOK</t>
        </is>
      </c>
      <c r="BC377" t="inlineStr">
        <is>
          <t>32285003189817</t>
        </is>
      </c>
      <c r="BD377" t="inlineStr">
        <is>
          <t>893259110</t>
        </is>
      </c>
      <c r="BE377" t="inlineStr">
        <is>
          <t>Fajardo Acosta</t>
        </is>
      </c>
    </row>
    <row r="378">
      <c r="A378" t="inlineStr">
        <is>
          <t>No</t>
        </is>
      </c>
      <c r="B378" t="inlineStr">
        <is>
          <t>PA3877 .A2 1969b</t>
        </is>
      </c>
      <c r="C378" t="inlineStr">
        <is>
          <t>0                      PA 3877000A  2           1969b</t>
        </is>
      </c>
      <c r="D378" t="inlineStr">
        <is>
          <t>Three comedies : The birds; The clouds, translated by William Arrowsmith. The wasps / translated by Douglass Parker.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K378" t="inlineStr">
        <is>
          <t>Aristophanes.</t>
        </is>
      </c>
      <c r="L378" t="inlineStr">
        <is>
          <t>[Ann Arbor] : University of Michigan Press, [1969]</t>
        </is>
      </c>
      <c r="M378" t="inlineStr">
        <is>
          <t>1969</t>
        </is>
      </c>
      <c r="O378" t="inlineStr">
        <is>
          <t>eng</t>
        </is>
      </c>
      <c r="P378" t="inlineStr">
        <is>
          <t>miu</t>
        </is>
      </c>
      <c r="Q378" t="inlineStr">
        <is>
          <t>Ann Arbor paperbacks ; AA153</t>
        </is>
      </c>
      <c r="R378" t="inlineStr">
        <is>
          <t xml:space="preserve">PA </t>
        </is>
      </c>
      <c r="S378" t="n">
        <v>3</v>
      </c>
      <c r="T378" t="n">
        <v>3</v>
      </c>
      <c r="U378" t="inlineStr">
        <is>
          <t>2003-10-24</t>
        </is>
      </c>
      <c r="V378" t="inlineStr">
        <is>
          <t>2003-10-24</t>
        </is>
      </c>
      <c r="W378" t="inlineStr">
        <is>
          <t>1991-06-28</t>
        </is>
      </c>
      <c r="X378" t="inlineStr">
        <is>
          <t>1991-06-28</t>
        </is>
      </c>
      <c r="Y378" t="n">
        <v>557</v>
      </c>
      <c r="Z378" t="n">
        <v>524</v>
      </c>
      <c r="AA378" t="n">
        <v>542</v>
      </c>
      <c r="AB378" t="n">
        <v>2</v>
      </c>
      <c r="AC378" t="n">
        <v>2</v>
      </c>
      <c r="AD378" t="n">
        <v>27</v>
      </c>
      <c r="AE378" t="n">
        <v>28</v>
      </c>
      <c r="AF378" t="n">
        <v>10</v>
      </c>
      <c r="AG378" t="n">
        <v>11</v>
      </c>
      <c r="AH378" t="n">
        <v>6</v>
      </c>
      <c r="AI378" t="n">
        <v>6</v>
      </c>
      <c r="AJ378" t="n">
        <v>17</v>
      </c>
      <c r="AK378" t="n">
        <v>17</v>
      </c>
      <c r="AL378" t="n">
        <v>1</v>
      </c>
      <c r="AM378" t="n">
        <v>1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HYPERLINK("http://catalog.hathitrust.org/Record/000856059","HathiTrust Record")</f>
        <v/>
      </c>
      <c r="AS378">
        <f>HYPERLINK("https://creighton-primo.hosted.exlibrisgroup.com/primo-explore/search?tab=default_tab&amp;search_scope=EVERYTHING&amp;vid=01CRU&amp;lang=en_US&amp;offset=0&amp;query=any,contains,991000005729702656","Catalog Record")</f>
        <v/>
      </c>
      <c r="AT378">
        <f>HYPERLINK("http://www.worldcat.org/oclc/13266","WorldCat Record")</f>
        <v/>
      </c>
      <c r="AU378" t="inlineStr">
        <is>
          <t>4495502:eng</t>
        </is>
      </c>
      <c r="AV378" t="inlineStr">
        <is>
          <t>13266</t>
        </is>
      </c>
      <c r="AW378" t="inlineStr">
        <is>
          <t>991000005729702656</t>
        </is>
      </c>
      <c r="AX378" t="inlineStr">
        <is>
          <t>991000005729702656</t>
        </is>
      </c>
      <c r="AY378" t="inlineStr">
        <is>
          <t>2266384800002656</t>
        </is>
      </c>
      <c r="AZ378" t="inlineStr">
        <is>
          <t>BOOK</t>
        </is>
      </c>
      <c r="BC378" t="inlineStr">
        <is>
          <t>32285000634021</t>
        </is>
      </c>
      <c r="BD378" t="inlineStr">
        <is>
          <t>893777587</t>
        </is>
      </c>
      <c r="BE378" t="inlineStr">
        <is>
          <t>Fajardo Acosta</t>
        </is>
      </c>
    </row>
    <row r="379">
      <c r="A379" t="inlineStr">
        <is>
          <t>No</t>
        </is>
      </c>
      <c r="B379" t="inlineStr">
        <is>
          <t>PA3877 .A2 1984</t>
        </is>
      </c>
      <c r="C379" t="inlineStr">
        <is>
          <t>0                      PA 3877000A  2           1984</t>
        </is>
      </c>
      <c r="D379" t="inlineStr">
        <is>
          <t>Four plays / by Aristophanes ; translations by William Arrowsmith, Richmond Lattimore, and Douglass Parker.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Yes</t>
        </is>
      </c>
      <c r="J379" t="inlineStr">
        <is>
          <t>0</t>
        </is>
      </c>
      <c r="K379" t="inlineStr">
        <is>
          <t>Aristophanes.</t>
        </is>
      </c>
      <c r="L379" t="inlineStr">
        <is>
          <t>New York : New American Library, 1984, (1994 printing).</t>
        </is>
      </c>
      <c r="M379" t="inlineStr">
        <is>
          <t>1984</t>
        </is>
      </c>
      <c r="O379" t="inlineStr">
        <is>
          <t>eng</t>
        </is>
      </c>
      <c r="P379" t="inlineStr">
        <is>
          <t>nyu</t>
        </is>
      </c>
      <c r="R379" t="inlineStr">
        <is>
          <t xml:space="preserve">PA </t>
        </is>
      </c>
      <c r="S379" t="n">
        <v>13</v>
      </c>
      <c r="T379" t="n">
        <v>13</v>
      </c>
      <c r="U379" t="inlineStr">
        <is>
          <t>2003-02-11</t>
        </is>
      </c>
      <c r="V379" t="inlineStr">
        <is>
          <t>2003-02-11</t>
        </is>
      </c>
      <c r="W379" t="inlineStr">
        <is>
          <t>1998-03-24</t>
        </is>
      </c>
      <c r="X379" t="inlineStr">
        <is>
          <t>1998-03-24</t>
        </is>
      </c>
      <c r="Y379" t="n">
        <v>267</v>
      </c>
      <c r="Z379" t="n">
        <v>236</v>
      </c>
      <c r="AA379" t="n">
        <v>550</v>
      </c>
      <c r="AB379" t="n">
        <v>4</v>
      </c>
      <c r="AC379" t="n">
        <v>6</v>
      </c>
      <c r="AD379" t="n">
        <v>6</v>
      </c>
      <c r="AE379" t="n">
        <v>20</v>
      </c>
      <c r="AF379" t="n">
        <v>2</v>
      </c>
      <c r="AG379" t="n">
        <v>8</v>
      </c>
      <c r="AH379" t="n">
        <v>0</v>
      </c>
      <c r="AI379" t="n">
        <v>3</v>
      </c>
      <c r="AJ379" t="n">
        <v>4</v>
      </c>
      <c r="AK379" t="n">
        <v>11</v>
      </c>
      <c r="AL379" t="n">
        <v>2</v>
      </c>
      <c r="AM379" t="n">
        <v>4</v>
      </c>
      <c r="AN379" t="n">
        <v>0</v>
      </c>
      <c r="AO379" t="n">
        <v>0</v>
      </c>
      <c r="AP379" t="inlineStr">
        <is>
          <t>No</t>
        </is>
      </c>
      <c r="AQ379" t="inlineStr">
        <is>
          <t>No</t>
        </is>
      </c>
      <c r="AS379">
        <f>HYPERLINK("https://creighton-primo.hosted.exlibrisgroup.com/primo-explore/search?tab=default_tab&amp;search_scope=EVERYTHING&amp;vid=01CRU&amp;lang=en_US&amp;offset=0&amp;query=any,contains,991000561349702656","Catalog Record")</f>
        <v/>
      </c>
      <c r="AT379">
        <f>HYPERLINK("http://www.worldcat.org/oclc/11590896","WorldCat Record")</f>
        <v/>
      </c>
      <c r="AU379" t="inlineStr">
        <is>
          <t>3901044587:eng</t>
        </is>
      </c>
      <c r="AV379" t="inlineStr">
        <is>
          <t>11590896</t>
        </is>
      </c>
      <c r="AW379" t="inlineStr">
        <is>
          <t>991000561349702656</t>
        </is>
      </c>
      <c r="AX379" t="inlineStr">
        <is>
          <t>991000561349702656</t>
        </is>
      </c>
      <c r="AY379" t="inlineStr">
        <is>
          <t>2256921270002656</t>
        </is>
      </c>
      <c r="AZ379" t="inlineStr">
        <is>
          <t>BOOK</t>
        </is>
      </c>
      <c r="BB379" t="inlineStr">
        <is>
          <t>9780452007178</t>
        </is>
      </c>
      <c r="BC379" t="inlineStr">
        <is>
          <t>32285003380135</t>
        </is>
      </c>
      <c r="BD379" t="inlineStr">
        <is>
          <t>893720730</t>
        </is>
      </c>
      <c r="BE379" t="inlineStr">
        <is>
          <t>Fajardo Acosta</t>
        </is>
      </c>
    </row>
    <row r="380">
      <c r="A380" t="inlineStr">
        <is>
          <t>No</t>
        </is>
      </c>
      <c r="B380" t="inlineStr">
        <is>
          <t>PA3877 .L8 1930</t>
        </is>
      </c>
      <c r="C380" t="inlineStr">
        <is>
          <t>0                      PA 3877000L  8           1930</t>
        </is>
      </c>
      <c r="D380" t="inlineStr">
        <is>
          <t>Aristophanes' Lysistrata : a new version / by Gilbert Seldes.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Aristophanes.</t>
        </is>
      </c>
      <c r="L380" t="inlineStr">
        <is>
          <t>New York : Farrar &amp; Rinehart, incorporated, [c1930]</t>
        </is>
      </c>
      <c r="M380" t="inlineStr">
        <is>
          <t>1930</t>
        </is>
      </c>
      <c r="O380" t="inlineStr">
        <is>
          <t>eng</t>
        </is>
      </c>
      <c r="P380" t="inlineStr">
        <is>
          <t>nyu</t>
        </is>
      </c>
      <c r="R380" t="inlineStr">
        <is>
          <t xml:space="preserve">PA </t>
        </is>
      </c>
      <c r="S380" t="n">
        <v>9</v>
      </c>
      <c r="T380" t="n">
        <v>9</v>
      </c>
      <c r="U380" t="inlineStr">
        <is>
          <t>1998-02-10</t>
        </is>
      </c>
      <c r="V380" t="inlineStr">
        <is>
          <t>1998-02-10</t>
        </is>
      </c>
      <c r="W380" t="inlineStr">
        <is>
          <t>1994-11-21</t>
        </is>
      </c>
      <c r="X380" t="inlineStr">
        <is>
          <t>1994-11-21</t>
        </is>
      </c>
      <c r="Y380" t="n">
        <v>193</v>
      </c>
      <c r="Z380" t="n">
        <v>184</v>
      </c>
      <c r="AA380" t="n">
        <v>190</v>
      </c>
      <c r="AB380" t="n">
        <v>1</v>
      </c>
      <c r="AC380" t="n">
        <v>1</v>
      </c>
      <c r="AD380" t="n">
        <v>9</v>
      </c>
      <c r="AE380" t="n">
        <v>9</v>
      </c>
      <c r="AF380" t="n">
        <v>4</v>
      </c>
      <c r="AG380" t="n">
        <v>4</v>
      </c>
      <c r="AH380" t="n">
        <v>3</v>
      </c>
      <c r="AI380" t="n">
        <v>3</v>
      </c>
      <c r="AJ380" t="n">
        <v>6</v>
      </c>
      <c r="AK380" t="n">
        <v>6</v>
      </c>
      <c r="AL380" t="n">
        <v>0</v>
      </c>
      <c r="AM380" t="n">
        <v>0</v>
      </c>
      <c r="AN380" t="n">
        <v>0</v>
      </c>
      <c r="AO380" t="n">
        <v>0</v>
      </c>
      <c r="AP380" t="inlineStr">
        <is>
          <t>No</t>
        </is>
      </c>
      <c r="AQ380" t="inlineStr">
        <is>
          <t>Yes</t>
        </is>
      </c>
      <c r="AR380">
        <f>HYPERLINK("http://catalog.hathitrust.org/Record/000881340","HathiTrust Record")</f>
        <v/>
      </c>
      <c r="AS380">
        <f>HYPERLINK("https://creighton-primo.hosted.exlibrisgroup.com/primo-explore/search?tab=default_tab&amp;search_scope=EVERYTHING&amp;vid=01CRU&amp;lang=en_US&amp;offset=0&amp;query=any,contains,991003706229702656","Catalog Record")</f>
        <v/>
      </c>
      <c r="AT380">
        <f>HYPERLINK("http://www.worldcat.org/oclc/1343954","WorldCat Record")</f>
        <v/>
      </c>
      <c r="AU380" t="inlineStr">
        <is>
          <t>5377504200:eng</t>
        </is>
      </c>
      <c r="AV380" t="inlineStr">
        <is>
          <t>1343954</t>
        </is>
      </c>
      <c r="AW380" t="inlineStr">
        <is>
          <t>991003706229702656</t>
        </is>
      </c>
      <c r="AX380" t="inlineStr">
        <is>
          <t>991003706229702656</t>
        </is>
      </c>
      <c r="AY380" t="inlineStr">
        <is>
          <t>2263678290002656</t>
        </is>
      </c>
      <c r="AZ380" t="inlineStr">
        <is>
          <t>BOOK</t>
        </is>
      </c>
      <c r="BC380" t="inlineStr">
        <is>
          <t>32285001967412</t>
        </is>
      </c>
      <c r="BD380" t="inlineStr">
        <is>
          <t>893349037</t>
        </is>
      </c>
      <c r="BE380" t="inlineStr">
        <is>
          <t>Fajardo Acosta</t>
        </is>
      </c>
    </row>
    <row r="381">
      <c r="A381" t="inlineStr">
        <is>
          <t>No</t>
        </is>
      </c>
      <c r="B381" t="inlineStr">
        <is>
          <t>PA3877 .L8 1964</t>
        </is>
      </c>
      <c r="C381" t="inlineStr">
        <is>
          <t>0                      PA 3877000L  8           1964</t>
        </is>
      </c>
      <c r="D381" t="inlineStr">
        <is>
          <t>Lysistrata / translated by Douglass Parker, with sketches by Ellen Raskin.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Yes</t>
        </is>
      </c>
      <c r="J381" t="inlineStr">
        <is>
          <t>0</t>
        </is>
      </c>
      <c r="K381" t="inlineStr">
        <is>
          <t>Aristophanes.</t>
        </is>
      </c>
      <c r="L381" t="inlineStr">
        <is>
          <t>Ann Arbor : University of Michigan Press, [1964]</t>
        </is>
      </c>
      <c r="M381" t="inlineStr">
        <is>
          <t>1964</t>
        </is>
      </c>
      <c r="O381" t="inlineStr">
        <is>
          <t>eng</t>
        </is>
      </c>
      <c r="P381" t="inlineStr">
        <is>
          <t>miu</t>
        </is>
      </c>
      <c r="Q381" t="inlineStr">
        <is>
          <t>The Complete Greek comedy</t>
        </is>
      </c>
      <c r="R381" t="inlineStr">
        <is>
          <t xml:space="preserve">PA </t>
        </is>
      </c>
      <c r="S381" t="n">
        <v>8</v>
      </c>
      <c r="T381" t="n">
        <v>8</v>
      </c>
      <c r="U381" t="inlineStr">
        <is>
          <t>1998-04-26</t>
        </is>
      </c>
      <c r="V381" t="inlineStr">
        <is>
          <t>1998-04-26</t>
        </is>
      </c>
      <c r="W381" t="inlineStr">
        <is>
          <t>1992-01-14</t>
        </is>
      </c>
      <c r="X381" t="inlineStr">
        <is>
          <t>1992-01-14</t>
        </is>
      </c>
      <c r="Y381" t="n">
        <v>671</v>
      </c>
      <c r="Z381" t="n">
        <v>617</v>
      </c>
      <c r="AA381" t="n">
        <v>2293</v>
      </c>
      <c r="AB381" t="n">
        <v>6</v>
      </c>
      <c r="AC381" t="n">
        <v>31</v>
      </c>
      <c r="AD381" t="n">
        <v>19</v>
      </c>
      <c r="AE381" t="n">
        <v>65</v>
      </c>
      <c r="AF381" t="n">
        <v>8</v>
      </c>
      <c r="AG381" t="n">
        <v>25</v>
      </c>
      <c r="AH381" t="n">
        <v>4</v>
      </c>
      <c r="AI381" t="n">
        <v>10</v>
      </c>
      <c r="AJ381" t="n">
        <v>8</v>
      </c>
      <c r="AK381" t="n">
        <v>23</v>
      </c>
      <c r="AL381" t="n">
        <v>3</v>
      </c>
      <c r="AM381" t="n">
        <v>16</v>
      </c>
      <c r="AN381" t="n">
        <v>0</v>
      </c>
      <c r="AO381" t="n">
        <v>2</v>
      </c>
      <c r="AP381" t="inlineStr">
        <is>
          <t>No</t>
        </is>
      </c>
      <c r="AQ381" t="inlineStr">
        <is>
          <t>Yes</t>
        </is>
      </c>
      <c r="AR381">
        <f>HYPERLINK("http://catalog.hathitrust.org/Record/000859190","HathiTrust Record")</f>
        <v/>
      </c>
      <c r="AS381">
        <f>HYPERLINK("https://creighton-primo.hosted.exlibrisgroup.com/primo-explore/search?tab=default_tab&amp;search_scope=EVERYTHING&amp;vid=01CRU&amp;lang=en_US&amp;offset=0&amp;query=any,contains,991003057549702656","Catalog Record")</f>
        <v/>
      </c>
      <c r="AT381">
        <f>HYPERLINK("http://www.worldcat.org/oclc/615572","WorldCat Record")</f>
        <v/>
      </c>
      <c r="AU381" t="inlineStr">
        <is>
          <t>13179301:eng</t>
        </is>
      </c>
      <c r="AV381" t="inlineStr">
        <is>
          <t>615572</t>
        </is>
      </c>
      <c r="AW381" t="inlineStr">
        <is>
          <t>991003057549702656</t>
        </is>
      </c>
      <c r="AX381" t="inlineStr">
        <is>
          <t>991003057549702656</t>
        </is>
      </c>
      <c r="AY381" t="inlineStr">
        <is>
          <t>2267456030002656</t>
        </is>
      </c>
      <c r="AZ381" t="inlineStr">
        <is>
          <t>BOOK</t>
        </is>
      </c>
      <c r="BC381" t="inlineStr">
        <is>
          <t>32285000911320</t>
        </is>
      </c>
      <c r="BD381" t="inlineStr">
        <is>
          <t>893880781</t>
        </is>
      </c>
      <c r="BE381" t="inlineStr">
        <is>
          <t>Fajardo Acosta</t>
        </is>
      </c>
    </row>
    <row r="382">
      <c r="A382" t="inlineStr">
        <is>
          <t>No</t>
        </is>
      </c>
      <c r="B382" t="inlineStr">
        <is>
          <t>PA3877 .N8 1968</t>
        </is>
      </c>
      <c r="C382" t="inlineStr">
        <is>
          <t>0                      PA 3877000N  8           1968</t>
        </is>
      </c>
      <c r="D382" t="inlineStr">
        <is>
          <t>Clouds; edited with introduction and commentary by K.J. Dover.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Yes</t>
        </is>
      </c>
      <c r="J382" t="inlineStr">
        <is>
          <t>0</t>
        </is>
      </c>
      <c r="K382" t="inlineStr">
        <is>
          <t>Aristophanes.</t>
        </is>
      </c>
      <c r="L382" t="inlineStr">
        <is>
          <t>Oxford, Clarendon P., 1968.</t>
        </is>
      </c>
      <c r="M382" t="inlineStr">
        <is>
          <t>1968</t>
        </is>
      </c>
      <c r="O382" t="inlineStr">
        <is>
          <t>grc</t>
        </is>
      </c>
      <c r="P382" t="inlineStr">
        <is>
          <t>enk</t>
        </is>
      </c>
      <c r="R382" t="inlineStr">
        <is>
          <t xml:space="preserve">PA </t>
        </is>
      </c>
      <c r="S382" t="n">
        <v>12</v>
      </c>
      <c r="T382" t="n">
        <v>12</v>
      </c>
      <c r="U382" t="inlineStr">
        <is>
          <t>2004-03-31</t>
        </is>
      </c>
      <c r="V382" t="inlineStr">
        <is>
          <t>2004-03-31</t>
        </is>
      </c>
      <c r="W382" t="inlineStr">
        <is>
          <t>1997-08-28</t>
        </is>
      </c>
      <c r="X382" t="inlineStr">
        <is>
          <t>1997-08-28</t>
        </is>
      </c>
      <c r="Y382" t="n">
        <v>338</v>
      </c>
      <c r="Z382" t="n">
        <v>288</v>
      </c>
      <c r="AA382" t="n">
        <v>467</v>
      </c>
      <c r="AB382" t="n">
        <v>2</v>
      </c>
      <c r="AC382" t="n">
        <v>2</v>
      </c>
      <c r="AD382" t="n">
        <v>18</v>
      </c>
      <c r="AE382" t="n">
        <v>29</v>
      </c>
      <c r="AF382" t="n">
        <v>5</v>
      </c>
      <c r="AG382" t="n">
        <v>10</v>
      </c>
      <c r="AH382" t="n">
        <v>4</v>
      </c>
      <c r="AI382" t="n">
        <v>7</v>
      </c>
      <c r="AJ382" t="n">
        <v>14</v>
      </c>
      <c r="AK382" t="n">
        <v>20</v>
      </c>
      <c r="AL382" t="n">
        <v>1</v>
      </c>
      <c r="AM382" t="n">
        <v>1</v>
      </c>
      <c r="AN382" t="n">
        <v>0</v>
      </c>
      <c r="AO382" t="n">
        <v>0</v>
      </c>
      <c r="AP382" t="inlineStr">
        <is>
          <t>No</t>
        </is>
      </c>
      <c r="AQ382" t="inlineStr">
        <is>
          <t>Yes</t>
        </is>
      </c>
      <c r="AR382">
        <f>HYPERLINK("http://catalog.hathitrust.org/Record/000194327","HathiTrust Record")</f>
        <v/>
      </c>
      <c r="AS382">
        <f>HYPERLINK("https://creighton-primo.hosted.exlibrisgroup.com/primo-explore/search?tab=default_tab&amp;search_scope=EVERYTHING&amp;vid=01CRU&amp;lang=en_US&amp;offset=0&amp;query=any,contains,991005354339702656","Catalog Record")</f>
        <v/>
      </c>
      <c r="AT382">
        <f>HYPERLINK("http://www.worldcat.org/oclc/308088","WorldCat Record")</f>
        <v/>
      </c>
      <c r="AU382" t="inlineStr">
        <is>
          <t>1150976266:grc</t>
        </is>
      </c>
      <c r="AV382" t="inlineStr">
        <is>
          <t>308088</t>
        </is>
      </c>
      <c r="AW382" t="inlineStr">
        <is>
          <t>991005354339702656</t>
        </is>
      </c>
      <c r="AX382" t="inlineStr">
        <is>
          <t>991005354339702656</t>
        </is>
      </c>
      <c r="AY382" t="inlineStr">
        <is>
          <t>2266314650002656</t>
        </is>
      </c>
      <c r="AZ382" t="inlineStr">
        <is>
          <t>BOOK</t>
        </is>
      </c>
      <c r="BB382" t="inlineStr">
        <is>
          <t>9780198141747</t>
        </is>
      </c>
      <c r="BC382" t="inlineStr">
        <is>
          <t>32285003189833</t>
        </is>
      </c>
      <c r="BD382" t="inlineStr">
        <is>
          <t>893789855</t>
        </is>
      </c>
      <c r="BE382" t="inlineStr">
        <is>
          <t>Fajardo Acosta</t>
        </is>
      </c>
    </row>
    <row r="383">
      <c r="A383" t="inlineStr">
        <is>
          <t>No</t>
        </is>
      </c>
      <c r="B383" t="inlineStr">
        <is>
          <t>PA3877 .P2 1985</t>
        </is>
      </c>
      <c r="C383" t="inlineStr">
        <is>
          <t>0                      PA 3877000P  2           1985</t>
        </is>
      </c>
      <c r="D383" t="inlineStr">
        <is>
          <t>Peace / edited with translation and notes by Alan H. Sommerstein.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Yes</t>
        </is>
      </c>
      <c r="J383" t="inlineStr">
        <is>
          <t>0</t>
        </is>
      </c>
      <c r="K383" t="inlineStr">
        <is>
          <t>Aristophanes.</t>
        </is>
      </c>
      <c r="L383" t="inlineStr">
        <is>
          <t>Chicago, Il. : Bolchazy-Carducci Publishers ; Warminster, Wiltshire : Aris &amp; Phillips, c1985.</t>
        </is>
      </c>
      <c r="M383" t="inlineStr">
        <is>
          <t>1985</t>
        </is>
      </c>
      <c r="O383" t="inlineStr">
        <is>
          <t>eng</t>
        </is>
      </c>
      <c r="P383" t="inlineStr">
        <is>
          <t>enk</t>
        </is>
      </c>
      <c r="Q383" t="inlineStr">
        <is>
          <t>The Comedies of Aristophanes ; vol. 5</t>
        </is>
      </c>
      <c r="R383" t="inlineStr">
        <is>
          <t xml:space="preserve">PA </t>
        </is>
      </c>
      <c r="S383" t="n">
        <v>5</v>
      </c>
      <c r="T383" t="n">
        <v>5</v>
      </c>
      <c r="U383" t="inlineStr">
        <is>
          <t>2004-04-07</t>
        </is>
      </c>
      <c r="V383" t="inlineStr">
        <is>
          <t>2004-04-07</t>
        </is>
      </c>
      <c r="W383" t="inlineStr">
        <is>
          <t>1995-07-14</t>
        </is>
      </c>
      <c r="X383" t="inlineStr">
        <is>
          <t>1995-07-14</t>
        </is>
      </c>
      <c r="Y383" t="n">
        <v>372</v>
      </c>
      <c r="Z383" t="n">
        <v>282</v>
      </c>
      <c r="AA383" t="n">
        <v>576</v>
      </c>
      <c r="AB383" t="n">
        <v>1</v>
      </c>
      <c r="AC383" t="n">
        <v>3</v>
      </c>
      <c r="AD383" t="n">
        <v>15</v>
      </c>
      <c r="AE383" t="n">
        <v>30</v>
      </c>
      <c r="AF383" t="n">
        <v>4</v>
      </c>
      <c r="AG383" t="n">
        <v>13</v>
      </c>
      <c r="AH383" t="n">
        <v>6</v>
      </c>
      <c r="AI383" t="n">
        <v>9</v>
      </c>
      <c r="AJ383" t="n">
        <v>10</v>
      </c>
      <c r="AK383" t="n">
        <v>16</v>
      </c>
      <c r="AL383" t="n">
        <v>0</v>
      </c>
      <c r="AM383" t="n">
        <v>2</v>
      </c>
      <c r="AN383" t="n">
        <v>0</v>
      </c>
      <c r="AO383" t="n">
        <v>0</v>
      </c>
      <c r="AP383" t="inlineStr">
        <is>
          <t>No</t>
        </is>
      </c>
      <c r="AQ383" t="inlineStr">
        <is>
          <t>Yes</t>
        </is>
      </c>
      <c r="AR383">
        <f>HYPERLINK("http://catalog.hathitrust.org/Record/000660854","HathiTrust Record")</f>
        <v/>
      </c>
      <c r="AS383">
        <f>HYPERLINK("https://creighton-primo.hosted.exlibrisgroup.com/primo-explore/search?tab=default_tab&amp;search_scope=EVERYTHING&amp;vid=01CRU&amp;lang=en_US&amp;offset=0&amp;query=any,contains,991005406059702656","Catalog Record")</f>
        <v/>
      </c>
      <c r="AT383">
        <f>HYPERLINK("http://www.worldcat.org/oclc/12966880","WorldCat Record")</f>
        <v/>
      </c>
      <c r="AU383" t="inlineStr">
        <is>
          <t>2591114280:eng</t>
        </is>
      </c>
      <c r="AV383" t="inlineStr">
        <is>
          <t>12966880</t>
        </is>
      </c>
      <c r="AW383" t="inlineStr">
        <is>
          <t>991005406059702656</t>
        </is>
      </c>
      <c r="AX383" t="inlineStr">
        <is>
          <t>991005406059702656</t>
        </is>
      </c>
      <c r="AY383" t="inlineStr">
        <is>
          <t>2263137300002656</t>
        </is>
      </c>
      <c r="AZ383" t="inlineStr">
        <is>
          <t>BOOK</t>
        </is>
      </c>
      <c r="BB383" t="inlineStr">
        <is>
          <t>9780856682629</t>
        </is>
      </c>
      <c r="BC383" t="inlineStr">
        <is>
          <t>32285002054897</t>
        </is>
      </c>
      <c r="BD383" t="inlineStr">
        <is>
          <t>893601157</t>
        </is>
      </c>
      <c r="BE383" t="inlineStr">
        <is>
          <t>Fajardo Acosta</t>
        </is>
      </c>
    </row>
    <row r="384">
      <c r="A384" t="inlineStr">
        <is>
          <t>No</t>
        </is>
      </c>
      <c r="B384" t="inlineStr">
        <is>
          <t>PA3896 .A12  1943</t>
        </is>
      </c>
      <c r="C384" t="inlineStr">
        <is>
          <t>0                      PA 3896000A  12          1943</t>
        </is>
      </c>
      <c r="D384" t="inlineStr">
        <is>
          <t>On man in the universe: Metaphysics, Parts of animals, Ethics, Politics, Poetics. Edited with introduction by Louise Ropes Loomis.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Aristotle.</t>
        </is>
      </c>
      <c r="L384" t="inlineStr">
        <is>
          <t>New York, Pub. for the Classics club by W. L. Black [1943]</t>
        </is>
      </c>
      <c r="M384" t="inlineStr">
        <is>
          <t>1943</t>
        </is>
      </c>
      <c r="O384" t="inlineStr">
        <is>
          <t>eng</t>
        </is>
      </c>
      <c r="P384" t="inlineStr">
        <is>
          <t>nyu</t>
        </is>
      </c>
      <c r="Q384" t="inlineStr">
        <is>
          <t>Classics club library</t>
        </is>
      </c>
      <c r="R384" t="inlineStr">
        <is>
          <t xml:space="preserve">PA </t>
        </is>
      </c>
      <c r="S384" t="n">
        <v>1</v>
      </c>
      <c r="T384" t="n">
        <v>1</v>
      </c>
      <c r="U384" t="inlineStr">
        <is>
          <t>2005-05-18</t>
        </is>
      </c>
      <c r="V384" t="inlineStr">
        <is>
          <t>2005-05-18</t>
        </is>
      </c>
      <c r="W384" t="inlineStr">
        <is>
          <t>1997-08-28</t>
        </is>
      </c>
      <c r="X384" t="inlineStr">
        <is>
          <t>1997-08-28</t>
        </is>
      </c>
      <c r="Y384" t="n">
        <v>1561</v>
      </c>
      <c r="Z384" t="n">
        <v>1505</v>
      </c>
      <c r="AA384" t="n">
        <v>1664</v>
      </c>
      <c r="AB384" t="n">
        <v>15</v>
      </c>
      <c r="AC384" t="n">
        <v>16</v>
      </c>
      <c r="AD384" t="n">
        <v>43</v>
      </c>
      <c r="AE384" t="n">
        <v>46</v>
      </c>
      <c r="AF384" t="n">
        <v>15</v>
      </c>
      <c r="AG384" t="n">
        <v>15</v>
      </c>
      <c r="AH384" t="n">
        <v>7</v>
      </c>
      <c r="AI384" t="n">
        <v>9</v>
      </c>
      <c r="AJ384" t="n">
        <v>22</v>
      </c>
      <c r="AK384" t="n">
        <v>22</v>
      </c>
      <c r="AL384" t="n">
        <v>8</v>
      </c>
      <c r="AM384" t="n">
        <v>9</v>
      </c>
      <c r="AN384" t="n">
        <v>1</v>
      </c>
      <c r="AO384" t="n">
        <v>1</v>
      </c>
      <c r="AP384" t="inlineStr">
        <is>
          <t>No</t>
        </is>
      </c>
      <c r="AQ384" t="inlineStr">
        <is>
          <t>No</t>
        </is>
      </c>
      <c r="AR384">
        <f>HYPERLINK("http://catalog.hathitrust.org/Record/007124247","HathiTrust Record")</f>
        <v/>
      </c>
      <c r="AS384">
        <f>HYPERLINK("https://creighton-primo.hosted.exlibrisgroup.com/primo-explore/search?tab=default_tab&amp;search_scope=EVERYTHING&amp;vid=01CRU&amp;lang=en_US&amp;offset=0&amp;query=any,contains,991002265019702656","Catalog Record")</f>
        <v/>
      </c>
      <c r="AT384">
        <f>HYPERLINK("http://www.worldcat.org/oclc/306617","WorldCat Record")</f>
        <v/>
      </c>
      <c r="AU384" t="inlineStr">
        <is>
          <t>1059125550:eng</t>
        </is>
      </c>
      <c r="AV384" t="inlineStr">
        <is>
          <t>306617</t>
        </is>
      </c>
      <c r="AW384" t="inlineStr">
        <is>
          <t>991002265019702656</t>
        </is>
      </c>
      <c r="AX384" t="inlineStr">
        <is>
          <t>991002265019702656</t>
        </is>
      </c>
      <c r="AY384" t="inlineStr">
        <is>
          <t>2266095490002656</t>
        </is>
      </c>
      <c r="AZ384" t="inlineStr">
        <is>
          <t>BOOK</t>
        </is>
      </c>
      <c r="BC384" t="inlineStr">
        <is>
          <t>32285003189874</t>
        </is>
      </c>
      <c r="BD384" t="inlineStr">
        <is>
          <t>893898551</t>
        </is>
      </c>
      <c r="BE384" t="inlineStr">
        <is>
          <t>Fajardo Acosta</t>
        </is>
      </c>
    </row>
    <row r="385">
      <c r="A385" t="inlineStr">
        <is>
          <t>No</t>
        </is>
      </c>
      <c r="B385" t="inlineStr">
        <is>
          <t>PA3973 .H3 1981</t>
        </is>
      </c>
      <c r="C385" t="inlineStr">
        <is>
          <t>0                      PA 3973000H  3           1981</t>
        </is>
      </c>
      <c r="D385" t="inlineStr">
        <is>
          <t>Euripides' Hecuba / John W. Ambrose, Jr.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Euripides.</t>
        </is>
      </c>
      <c r="L385" t="inlineStr">
        <is>
          <t>Bryn Mawr, Pa. : Dept. of Greek, Bryn Mawr College, 1981.</t>
        </is>
      </c>
      <c r="M385" t="inlineStr">
        <is>
          <t>1981</t>
        </is>
      </c>
      <c r="O385" t="inlineStr">
        <is>
          <t>grc</t>
        </is>
      </c>
      <c r="P385" t="inlineStr">
        <is>
          <t>pau</t>
        </is>
      </c>
      <c r="Q385" t="inlineStr">
        <is>
          <t>Bryn Mawr commentaries</t>
        </is>
      </c>
      <c r="R385" t="inlineStr">
        <is>
          <t xml:space="preserve">PA </t>
        </is>
      </c>
      <c r="S385" t="n">
        <v>1</v>
      </c>
      <c r="T385" t="n">
        <v>1</v>
      </c>
      <c r="U385" t="inlineStr">
        <is>
          <t>2005-11-01</t>
        </is>
      </c>
      <c r="V385" t="inlineStr">
        <is>
          <t>2005-11-01</t>
        </is>
      </c>
      <c r="W385" t="inlineStr">
        <is>
          <t>2005-11-01</t>
        </is>
      </c>
      <c r="X385" t="inlineStr">
        <is>
          <t>2005-11-01</t>
        </is>
      </c>
      <c r="Y385" t="n">
        <v>94</v>
      </c>
      <c r="Z385" t="n">
        <v>84</v>
      </c>
      <c r="AA385" t="n">
        <v>298</v>
      </c>
      <c r="AB385" t="n">
        <v>1</v>
      </c>
      <c r="AC385" t="n">
        <v>2</v>
      </c>
      <c r="AD385" t="n">
        <v>7</v>
      </c>
      <c r="AE385" t="n">
        <v>24</v>
      </c>
      <c r="AF385" t="n">
        <v>2</v>
      </c>
      <c r="AG385" t="n">
        <v>7</v>
      </c>
      <c r="AH385" t="n">
        <v>0</v>
      </c>
      <c r="AI385" t="n">
        <v>7</v>
      </c>
      <c r="AJ385" t="n">
        <v>7</v>
      </c>
      <c r="AK385" t="n">
        <v>20</v>
      </c>
      <c r="AL385" t="n">
        <v>0</v>
      </c>
      <c r="AM385" t="n">
        <v>1</v>
      </c>
      <c r="AN385" t="n">
        <v>0</v>
      </c>
      <c r="AO385" t="n">
        <v>0</v>
      </c>
      <c r="AP385" t="inlineStr">
        <is>
          <t>No</t>
        </is>
      </c>
      <c r="AQ385" t="inlineStr">
        <is>
          <t>Yes</t>
        </is>
      </c>
      <c r="AR385">
        <f>HYPERLINK("http://catalog.hathitrust.org/Record/004295420","HathiTrust Record")</f>
        <v/>
      </c>
      <c r="AS385">
        <f>HYPERLINK("https://creighton-primo.hosted.exlibrisgroup.com/primo-explore/search?tab=default_tab&amp;search_scope=EVERYTHING&amp;vid=01CRU&amp;lang=en_US&amp;offset=0&amp;query=any,contains,991004687369702656","Catalog Record")</f>
        <v/>
      </c>
      <c r="AT385">
        <f>HYPERLINK("http://www.worldcat.org/oclc/8291635","WorldCat Record")</f>
        <v/>
      </c>
      <c r="AU385" t="inlineStr">
        <is>
          <t>4495009475:grc</t>
        </is>
      </c>
      <c r="AV385" t="inlineStr">
        <is>
          <t>8291635</t>
        </is>
      </c>
      <c r="AW385" t="inlineStr">
        <is>
          <t>991004687369702656</t>
        </is>
      </c>
      <c r="AX385" t="inlineStr">
        <is>
          <t>991004687369702656</t>
        </is>
      </c>
      <c r="AY385" t="inlineStr">
        <is>
          <t>2261740840002656</t>
        </is>
      </c>
      <c r="AZ385" t="inlineStr">
        <is>
          <t>BOOK</t>
        </is>
      </c>
      <c r="BC385" t="inlineStr">
        <is>
          <t>32285005143853</t>
        </is>
      </c>
      <c r="BD385" t="inlineStr">
        <is>
          <t>893606342</t>
        </is>
      </c>
      <c r="BE385" t="inlineStr">
        <is>
          <t>Fajardo Acosta</t>
        </is>
      </c>
    </row>
    <row r="386">
      <c r="A386" t="inlineStr">
        <is>
          <t>No</t>
        </is>
      </c>
      <c r="B386" t="inlineStr">
        <is>
          <t>PA3973 .H5 1987</t>
        </is>
      </c>
      <c r="C386" t="inlineStr">
        <is>
          <t>0                      PA 3973000H  5           1987</t>
        </is>
      </c>
      <c r="D386" t="inlineStr">
        <is>
          <t>Euripides' Heracles / Martin Cropp and Richard Hamilton.</t>
        </is>
      </c>
      <c r="E386" t="inlineStr">
        <is>
          <t>V. 1</t>
        </is>
      </c>
      <c r="F386" t="inlineStr">
        <is>
          <t>Yes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Euripides.</t>
        </is>
      </c>
      <c r="L386" t="inlineStr">
        <is>
          <t>Bryn Mawr, Pa. : Thomas Library, Bryn Mawr College, 1987.</t>
        </is>
      </c>
      <c r="M386" t="inlineStr">
        <is>
          <t>1987</t>
        </is>
      </c>
      <c r="O386" t="inlineStr">
        <is>
          <t>grc</t>
        </is>
      </c>
      <c r="P386" t="inlineStr">
        <is>
          <t>pau</t>
        </is>
      </c>
      <c r="Q386" t="inlineStr">
        <is>
          <t>Bryn Mawr Greek commentaries</t>
        </is>
      </c>
      <c r="R386" t="inlineStr">
        <is>
          <t xml:space="preserve">PA </t>
        </is>
      </c>
      <c r="S386" t="n">
        <v>1</v>
      </c>
      <c r="T386" t="n">
        <v>2</v>
      </c>
      <c r="U386" t="inlineStr">
        <is>
          <t>2005-11-01</t>
        </is>
      </c>
      <c r="V386" t="inlineStr">
        <is>
          <t>2005-11-01</t>
        </is>
      </c>
      <c r="W386" t="inlineStr">
        <is>
          <t>2005-11-01</t>
        </is>
      </c>
      <c r="X386" t="inlineStr">
        <is>
          <t>2005-11-01</t>
        </is>
      </c>
      <c r="Y386" t="n">
        <v>66</v>
      </c>
      <c r="Z386" t="n">
        <v>58</v>
      </c>
      <c r="AA386" t="n">
        <v>162</v>
      </c>
      <c r="AB386" t="n">
        <v>1</v>
      </c>
      <c r="AC386" t="n">
        <v>2</v>
      </c>
      <c r="AD386" t="n">
        <v>2</v>
      </c>
      <c r="AE386" t="n">
        <v>12</v>
      </c>
      <c r="AF386" t="n">
        <v>1</v>
      </c>
      <c r="AG386" t="n">
        <v>3</v>
      </c>
      <c r="AH386" t="n">
        <v>0</v>
      </c>
      <c r="AI386" t="n">
        <v>2</v>
      </c>
      <c r="AJ386" t="n">
        <v>2</v>
      </c>
      <c r="AK386" t="n">
        <v>11</v>
      </c>
      <c r="AL386" t="n">
        <v>0</v>
      </c>
      <c r="AM386" t="n">
        <v>1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HYPERLINK("http://catalog.hathitrust.org/Record/004295421","HathiTrust Record")</f>
        <v/>
      </c>
      <c r="AS386">
        <f>HYPERLINK("https://creighton-primo.hosted.exlibrisgroup.com/primo-explore/search?tab=default_tab&amp;search_scope=EVERYTHING&amp;vid=01CRU&amp;lang=en_US&amp;offset=0&amp;query=any,contains,991004668199702656","Catalog Record")</f>
        <v/>
      </c>
      <c r="AT386">
        <f>HYPERLINK("http://www.worldcat.org/oclc/17623539","WorldCat Record")</f>
        <v/>
      </c>
      <c r="AU386" t="inlineStr">
        <is>
          <t>10567247375:grc</t>
        </is>
      </c>
      <c r="AV386" t="inlineStr">
        <is>
          <t>17623539</t>
        </is>
      </c>
      <c r="AW386" t="inlineStr">
        <is>
          <t>991004668199702656</t>
        </is>
      </c>
      <c r="AX386" t="inlineStr">
        <is>
          <t>991004668199702656</t>
        </is>
      </c>
      <c r="AY386" t="inlineStr">
        <is>
          <t>2264118200002656</t>
        </is>
      </c>
      <c r="AZ386" t="inlineStr">
        <is>
          <t>BOOK</t>
        </is>
      </c>
      <c r="BC386" t="inlineStr">
        <is>
          <t>32285005143812</t>
        </is>
      </c>
      <c r="BD386" t="inlineStr">
        <is>
          <t>893722545</t>
        </is>
      </c>
      <c r="BE386" t="inlineStr">
        <is>
          <t>Fajardo Acosta</t>
        </is>
      </c>
    </row>
    <row r="387">
      <c r="A387" t="inlineStr">
        <is>
          <t>No</t>
        </is>
      </c>
      <c r="B387" t="inlineStr">
        <is>
          <t>PA3973 .H5 1987</t>
        </is>
      </c>
      <c r="C387" t="inlineStr">
        <is>
          <t>0                      PA 3973000H  5           1987</t>
        </is>
      </c>
      <c r="D387" t="inlineStr">
        <is>
          <t>Euripides' Heracles / Martin Cropp and Richard Hamilton.</t>
        </is>
      </c>
      <c r="E387" t="inlineStr">
        <is>
          <t>V. 2</t>
        </is>
      </c>
      <c r="F387" t="inlineStr">
        <is>
          <t>Yes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K387" t="inlineStr">
        <is>
          <t>Euripides.</t>
        </is>
      </c>
      <c r="L387" t="inlineStr">
        <is>
          <t>Bryn Mawr, Pa. : Thomas Library, Bryn Mawr College, 1987.</t>
        </is>
      </c>
      <c r="M387" t="inlineStr">
        <is>
          <t>1987</t>
        </is>
      </c>
      <c r="O387" t="inlineStr">
        <is>
          <t>grc</t>
        </is>
      </c>
      <c r="P387" t="inlineStr">
        <is>
          <t>pau</t>
        </is>
      </c>
      <c r="Q387" t="inlineStr">
        <is>
          <t>Bryn Mawr Greek commentaries</t>
        </is>
      </c>
      <c r="R387" t="inlineStr">
        <is>
          <t xml:space="preserve">PA </t>
        </is>
      </c>
      <c r="S387" t="n">
        <v>1</v>
      </c>
      <c r="T387" t="n">
        <v>2</v>
      </c>
      <c r="U387" t="inlineStr">
        <is>
          <t>2005-11-01</t>
        </is>
      </c>
      <c r="V387" t="inlineStr">
        <is>
          <t>2005-11-01</t>
        </is>
      </c>
      <c r="W387" t="inlineStr">
        <is>
          <t>2005-11-01</t>
        </is>
      </c>
      <c r="X387" t="inlineStr">
        <is>
          <t>2005-11-01</t>
        </is>
      </c>
      <c r="Y387" t="n">
        <v>66</v>
      </c>
      <c r="Z387" t="n">
        <v>58</v>
      </c>
      <c r="AA387" t="n">
        <v>162</v>
      </c>
      <c r="AB387" t="n">
        <v>1</v>
      </c>
      <c r="AC387" t="n">
        <v>2</v>
      </c>
      <c r="AD387" t="n">
        <v>2</v>
      </c>
      <c r="AE387" t="n">
        <v>12</v>
      </c>
      <c r="AF387" t="n">
        <v>1</v>
      </c>
      <c r="AG387" t="n">
        <v>3</v>
      </c>
      <c r="AH387" t="n">
        <v>0</v>
      </c>
      <c r="AI387" t="n">
        <v>2</v>
      </c>
      <c r="AJ387" t="n">
        <v>2</v>
      </c>
      <c r="AK387" t="n">
        <v>11</v>
      </c>
      <c r="AL387" t="n">
        <v>0</v>
      </c>
      <c r="AM387" t="n">
        <v>1</v>
      </c>
      <c r="AN387" t="n">
        <v>0</v>
      </c>
      <c r="AO387" t="n">
        <v>0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HYPERLINK("http://catalog.hathitrust.org/Record/004295421","HathiTrust Record")</f>
        <v/>
      </c>
      <c r="AS387">
        <f>HYPERLINK("https://creighton-primo.hosted.exlibrisgroup.com/primo-explore/search?tab=default_tab&amp;search_scope=EVERYTHING&amp;vid=01CRU&amp;lang=en_US&amp;offset=0&amp;query=any,contains,991004668199702656","Catalog Record")</f>
        <v/>
      </c>
      <c r="AT387">
        <f>HYPERLINK("http://www.worldcat.org/oclc/17623539","WorldCat Record")</f>
        <v/>
      </c>
      <c r="AU387" t="inlineStr">
        <is>
          <t>10567247375:grc</t>
        </is>
      </c>
      <c r="AV387" t="inlineStr">
        <is>
          <t>17623539</t>
        </is>
      </c>
      <c r="AW387" t="inlineStr">
        <is>
          <t>991004668199702656</t>
        </is>
      </c>
      <c r="AX387" t="inlineStr">
        <is>
          <t>991004668199702656</t>
        </is>
      </c>
      <c r="AY387" t="inlineStr">
        <is>
          <t>2264118200002656</t>
        </is>
      </c>
      <c r="AZ387" t="inlineStr">
        <is>
          <t>BOOK</t>
        </is>
      </c>
      <c r="BC387" t="inlineStr">
        <is>
          <t>32285005143820</t>
        </is>
      </c>
      <c r="BD387" t="inlineStr">
        <is>
          <t>893687998</t>
        </is>
      </c>
      <c r="BE387" t="inlineStr">
        <is>
          <t>Fajardo Acosta</t>
        </is>
      </c>
    </row>
    <row r="388">
      <c r="A388" t="inlineStr">
        <is>
          <t>No</t>
        </is>
      </c>
      <c r="B388" t="inlineStr">
        <is>
          <t>PA3973 .O7 1984</t>
        </is>
      </c>
      <c r="C388" t="inlineStr">
        <is>
          <t>0                      PA 3973000O  7           1984</t>
        </is>
      </c>
      <c r="D388" t="inlineStr">
        <is>
          <t>Euripides' Orestes / Thomas M. Falkner.</t>
        </is>
      </c>
      <c r="E388" t="inlineStr">
        <is>
          <t>V. 1</t>
        </is>
      </c>
      <c r="F388" t="inlineStr">
        <is>
          <t>Yes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Euripides.</t>
        </is>
      </c>
      <c r="L388" t="inlineStr">
        <is>
          <t>Bryn Mawr, Pa. : Dept. of Greek, Bryn Mawr College, 1984.</t>
        </is>
      </c>
      <c r="M388" t="inlineStr">
        <is>
          <t>1984</t>
        </is>
      </c>
      <c r="O388" t="inlineStr">
        <is>
          <t>grc</t>
        </is>
      </c>
      <c r="P388" t="inlineStr">
        <is>
          <t>pau</t>
        </is>
      </c>
      <c r="Q388" t="inlineStr">
        <is>
          <t>Bryn Mawr commentaries</t>
        </is>
      </c>
      <c r="R388" t="inlineStr">
        <is>
          <t xml:space="preserve">PA </t>
        </is>
      </c>
      <c r="S388" t="n">
        <v>1</v>
      </c>
      <c r="T388" t="n">
        <v>2</v>
      </c>
      <c r="U388" t="inlineStr">
        <is>
          <t>2005-11-01</t>
        </is>
      </c>
      <c r="V388" t="inlineStr">
        <is>
          <t>2005-11-01</t>
        </is>
      </c>
      <c r="W388" t="inlineStr">
        <is>
          <t>2005-11-01</t>
        </is>
      </c>
      <c r="X388" t="inlineStr">
        <is>
          <t>2005-11-01</t>
        </is>
      </c>
      <c r="Y388" t="n">
        <v>81</v>
      </c>
      <c r="Z388" t="n">
        <v>72</v>
      </c>
      <c r="AA388" t="n">
        <v>74</v>
      </c>
      <c r="AB388" t="n">
        <v>2</v>
      </c>
      <c r="AC388" t="n">
        <v>2</v>
      </c>
      <c r="AD388" t="n">
        <v>7</v>
      </c>
      <c r="AE388" t="n">
        <v>7</v>
      </c>
      <c r="AF388" t="n">
        <v>2</v>
      </c>
      <c r="AG388" t="n">
        <v>2</v>
      </c>
      <c r="AH388" t="n">
        <v>0</v>
      </c>
      <c r="AI388" t="n">
        <v>0</v>
      </c>
      <c r="AJ388" t="n">
        <v>6</v>
      </c>
      <c r="AK388" t="n">
        <v>6</v>
      </c>
      <c r="AL388" t="n">
        <v>1</v>
      </c>
      <c r="AM388" t="n">
        <v>1</v>
      </c>
      <c r="AN388" t="n">
        <v>0</v>
      </c>
      <c r="AO388" t="n">
        <v>0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HYPERLINK("http://catalog.hathitrust.org/Record/004295422","HathiTrust Record")</f>
        <v/>
      </c>
      <c r="AS388">
        <f>HYPERLINK("https://creighton-primo.hosted.exlibrisgroup.com/primo-explore/search?tab=default_tab&amp;search_scope=EVERYTHING&amp;vid=01CRU&amp;lang=en_US&amp;offset=0&amp;query=any,contains,991004667799702656","Catalog Record")</f>
        <v/>
      </c>
      <c r="AT388">
        <f>HYPERLINK("http://www.worldcat.org/oclc/11124694","WorldCat Record")</f>
        <v/>
      </c>
      <c r="AU388" t="inlineStr">
        <is>
          <t>8907092894:grc</t>
        </is>
      </c>
      <c r="AV388" t="inlineStr">
        <is>
          <t>11124694</t>
        </is>
      </c>
      <c r="AW388" t="inlineStr">
        <is>
          <t>991004667799702656</t>
        </is>
      </c>
      <c r="AX388" t="inlineStr">
        <is>
          <t>991004667799702656</t>
        </is>
      </c>
      <c r="AY388" t="inlineStr">
        <is>
          <t>2264168940002656</t>
        </is>
      </c>
      <c r="AZ388" t="inlineStr">
        <is>
          <t>BOOK</t>
        </is>
      </c>
      <c r="BC388" t="inlineStr">
        <is>
          <t>32285005143838</t>
        </is>
      </c>
      <c r="BD388" t="inlineStr">
        <is>
          <t>893606310</t>
        </is>
      </c>
      <c r="BE388" t="inlineStr">
        <is>
          <t>Fajardo Acosta</t>
        </is>
      </c>
    </row>
    <row r="389">
      <c r="A389" t="inlineStr">
        <is>
          <t>No</t>
        </is>
      </c>
      <c r="B389" t="inlineStr">
        <is>
          <t>PA3973 .O7 1984</t>
        </is>
      </c>
      <c r="C389" t="inlineStr">
        <is>
          <t>0                      PA 3973000O  7           1984</t>
        </is>
      </c>
      <c r="D389" t="inlineStr">
        <is>
          <t>Euripides' Orestes / Thomas M. Falkner.</t>
        </is>
      </c>
      <c r="E389" t="inlineStr">
        <is>
          <t>V. 2</t>
        </is>
      </c>
      <c r="F389" t="inlineStr">
        <is>
          <t>Yes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K389" t="inlineStr">
        <is>
          <t>Euripides.</t>
        </is>
      </c>
      <c r="L389" t="inlineStr">
        <is>
          <t>Bryn Mawr, Pa. : Dept. of Greek, Bryn Mawr College, 1984.</t>
        </is>
      </c>
      <c r="M389" t="inlineStr">
        <is>
          <t>1984</t>
        </is>
      </c>
      <c r="O389" t="inlineStr">
        <is>
          <t>grc</t>
        </is>
      </c>
      <c r="P389" t="inlineStr">
        <is>
          <t>pau</t>
        </is>
      </c>
      <c r="Q389" t="inlineStr">
        <is>
          <t>Bryn Mawr commentaries</t>
        </is>
      </c>
      <c r="R389" t="inlineStr">
        <is>
          <t xml:space="preserve">PA </t>
        </is>
      </c>
      <c r="S389" t="n">
        <v>1</v>
      </c>
      <c r="T389" t="n">
        <v>2</v>
      </c>
      <c r="U389" t="inlineStr">
        <is>
          <t>2005-11-01</t>
        </is>
      </c>
      <c r="V389" t="inlineStr">
        <is>
          <t>2005-11-01</t>
        </is>
      </c>
      <c r="W389" t="inlineStr">
        <is>
          <t>2005-11-01</t>
        </is>
      </c>
      <c r="X389" t="inlineStr">
        <is>
          <t>2005-11-01</t>
        </is>
      </c>
      <c r="Y389" t="n">
        <v>81</v>
      </c>
      <c r="Z389" t="n">
        <v>72</v>
      </c>
      <c r="AA389" t="n">
        <v>74</v>
      </c>
      <c r="AB389" t="n">
        <v>2</v>
      </c>
      <c r="AC389" t="n">
        <v>2</v>
      </c>
      <c r="AD389" t="n">
        <v>7</v>
      </c>
      <c r="AE389" t="n">
        <v>7</v>
      </c>
      <c r="AF389" t="n">
        <v>2</v>
      </c>
      <c r="AG389" t="n">
        <v>2</v>
      </c>
      <c r="AH389" t="n">
        <v>0</v>
      </c>
      <c r="AI389" t="n">
        <v>0</v>
      </c>
      <c r="AJ389" t="n">
        <v>6</v>
      </c>
      <c r="AK389" t="n">
        <v>6</v>
      </c>
      <c r="AL389" t="n">
        <v>1</v>
      </c>
      <c r="AM389" t="n">
        <v>1</v>
      </c>
      <c r="AN389" t="n">
        <v>0</v>
      </c>
      <c r="AO389" t="n">
        <v>0</v>
      </c>
      <c r="AP389" t="inlineStr">
        <is>
          <t>No</t>
        </is>
      </c>
      <c r="AQ389" t="inlineStr">
        <is>
          <t>Yes</t>
        </is>
      </c>
      <c r="AR389">
        <f>HYPERLINK("http://catalog.hathitrust.org/Record/004295422","HathiTrust Record")</f>
        <v/>
      </c>
      <c r="AS389">
        <f>HYPERLINK("https://creighton-primo.hosted.exlibrisgroup.com/primo-explore/search?tab=default_tab&amp;search_scope=EVERYTHING&amp;vid=01CRU&amp;lang=en_US&amp;offset=0&amp;query=any,contains,991004667799702656","Catalog Record")</f>
        <v/>
      </c>
      <c r="AT389">
        <f>HYPERLINK("http://www.worldcat.org/oclc/11124694","WorldCat Record")</f>
        <v/>
      </c>
      <c r="AU389" t="inlineStr">
        <is>
          <t>8907092894:grc</t>
        </is>
      </c>
      <c r="AV389" t="inlineStr">
        <is>
          <t>11124694</t>
        </is>
      </c>
      <c r="AW389" t="inlineStr">
        <is>
          <t>991004667799702656</t>
        </is>
      </c>
      <c r="AX389" t="inlineStr">
        <is>
          <t>991004667799702656</t>
        </is>
      </c>
      <c r="AY389" t="inlineStr">
        <is>
          <t>2264168940002656</t>
        </is>
      </c>
      <c r="AZ389" t="inlineStr">
        <is>
          <t>BOOK</t>
        </is>
      </c>
      <c r="BC389" t="inlineStr">
        <is>
          <t>32285005143846</t>
        </is>
      </c>
      <c r="BD389" t="inlineStr">
        <is>
          <t>893628292</t>
        </is>
      </c>
      <c r="BE389" t="inlineStr">
        <is>
          <t>Fajardo Acosta</t>
        </is>
      </c>
    </row>
    <row r="390">
      <c r="A390" t="inlineStr">
        <is>
          <t>No</t>
        </is>
      </c>
      <c r="B390" t="inlineStr">
        <is>
          <t>PA3975 .A1 1857</t>
        </is>
      </c>
      <c r="C390" t="inlineStr">
        <is>
          <t>0                      PA 3975000A  1           1857</t>
        </is>
      </c>
      <c r="D390" t="inlineStr">
        <is>
          <t>Euripides / with an English commentary by F. A. Paley.</t>
        </is>
      </c>
      <c r="E390" t="inlineStr">
        <is>
          <t>V.2</t>
        </is>
      </c>
      <c r="F390" t="inlineStr">
        <is>
          <t>Yes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Euripides.</t>
        </is>
      </c>
      <c r="L390" t="inlineStr">
        <is>
          <t>London : Whittaker ; G. Bell, 1857-60.</t>
        </is>
      </c>
      <c r="M390" t="inlineStr">
        <is>
          <t>1857</t>
        </is>
      </c>
      <c r="O390" t="inlineStr">
        <is>
          <t>eng</t>
        </is>
      </c>
      <c r="P390" t="inlineStr">
        <is>
          <t xml:space="preserve">xx </t>
        </is>
      </c>
      <c r="Q390" t="inlineStr">
        <is>
          <t>Bibliotheca classica, ed. by George Long and A. J. Macleane</t>
        </is>
      </c>
      <c r="R390" t="inlineStr">
        <is>
          <t xml:space="preserve">PA </t>
        </is>
      </c>
      <c r="S390" t="n">
        <v>5</v>
      </c>
      <c r="T390" t="n">
        <v>8</v>
      </c>
      <c r="U390" t="inlineStr">
        <is>
          <t>1997-07-12</t>
        </is>
      </c>
      <c r="V390" t="inlineStr">
        <is>
          <t>1997-07-12</t>
        </is>
      </c>
      <c r="W390" t="inlineStr">
        <is>
          <t>1993-10-13</t>
        </is>
      </c>
      <c r="X390" t="inlineStr">
        <is>
          <t>1993-10-13</t>
        </is>
      </c>
      <c r="Y390" t="n">
        <v>97</v>
      </c>
      <c r="Z390" t="n">
        <v>57</v>
      </c>
      <c r="AA390" t="n">
        <v>177</v>
      </c>
      <c r="AB390" t="n">
        <v>1</v>
      </c>
      <c r="AC390" t="n">
        <v>2</v>
      </c>
      <c r="AD390" t="n">
        <v>5</v>
      </c>
      <c r="AE390" t="n">
        <v>13</v>
      </c>
      <c r="AF390" t="n">
        <v>1</v>
      </c>
      <c r="AG390" t="n">
        <v>3</v>
      </c>
      <c r="AH390" t="n">
        <v>2</v>
      </c>
      <c r="AI390" t="n">
        <v>4</v>
      </c>
      <c r="AJ390" t="n">
        <v>4</v>
      </c>
      <c r="AK390" t="n">
        <v>9</v>
      </c>
      <c r="AL390" t="n">
        <v>0</v>
      </c>
      <c r="AM390" t="n">
        <v>1</v>
      </c>
      <c r="AN390" t="n">
        <v>0</v>
      </c>
      <c r="AO390" t="n">
        <v>0</v>
      </c>
      <c r="AP390" t="inlineStr">
        <is>
          <t>Yes</t>
        </is>
      </c>
      <c r="AQ390" t="inlineStr">
        <is>
          <t>No</t>
        </is>
      </c>
      <c r="AR390">
        <f>HYPERLINK("http://catalog.hathitrust.org/Record/011543078","HathiTrust Record")</f>
        <v/>
      </c>
      <c r="AS390">
        <f>HYPERLINK("https://creighton-primo.hosted.exlibrisgroup.com/primo-explore/search?tab=default_tab&amp;search_scope=EVERYTHING&amp;vid=01CRU&amp;lang=en_US&amp;offset=0&amp;query=any,contains,991002251589702656","Catalog Record")</f>
        <v/>
      </c>
      <c r="AT390">
        <f>HYPERLINK("http://www.worldcat.org/oclc/299133","WorldCat Record")</f>
        <v/>
      </c>
      <c r="AU390" t="inlineStr">
        <is>
          <t>10628515422:grc</t>
        </is>
      </c>
      <c r="AV390" t="inlineStr">
        <is>
          <t>299133</t>
        </is>
      </c>
      <c r="AW390" t="inlineStr">
        <is>
          <t>991002251589702656</t>
        </is>
      </c>
      <c r="AX390" t="inlineStr">
        <is>
          <t>991002251589702656</t>
        </is>
      </c>
      <c r="AY390" t="inlineStr">
        <is>
          <t>2264442390002656</t>
        </is>
      </c>
      <c r="AZ390" t="inlineStr">
        <is>
          <t>BOOK</t>
        </is>
      </c>
      <c r="BC390" t="inlineStr">
        <is>
          <t>32285001791309</t>
        </is>
      </c>
      <c r="BD390" t="inlineStr">
        <is>
          <t>893886026</t>
        </is>
      </c>
      <c r="BE390" t="inlineStr">
        <is>
          <t>Fajardo Acosta</t>
        </is>
      </c>
    </row>
    <row r="391">
      <c r="A391" t="inlineStr">
        <is>
          <t>No</t>
        </is>
      </c>
      <c r="B391" t="inlineStr">
        <is>
          <t>PA3975 .A1 1857</t>
        </is>
      </c>
      <c r="C391" t="inlineStr">
        <is>
          <t>0                      PA 3975000A  1           1857</t>
        </is>
      </c>
      <c r="D391" t="inlineStr">
        <is>
          <t>Euripides / with an English commentary by F. A. Paley.</t>
        </is>
      </c>
      <c r="E391" t="inlineStr">
        <is>
          <t>V.1</t>
        </is>
      </c>
      <c r="F391" t="inlineStr">
        <is>
          <t>Yes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Euripides.</t>
        </is>
      </c>
      <c r="L391" t="inlineStr">
        <is>
          <t>London : Whittaker ; G. Bell, 1857-60.</t>
        </is>
      </c>
      <c r="M391" t="inlineStr">
        <is>
          <t>1857</t>
        </is>
      </c>
      <c r="O391" t="inlineStr">
        <is>
          <t>eng</t>
        </is>
      </c>
      <c r="P391" t="inlineStr">
        <is>
          <t xml:space="preserve">xx </t>
        </is>
      </c>
      <c r="Q391" t="inlineStr">
        <is>
          <t>Bibliotheca classica, ed. by George Long and A. J. Macleane</t>
        </is>
      </c>
      <c r="R391" t="inlineStr">
        <is>
          <t xml:space="preserve">PA </t>
        </is>
      </c>
      <c r="S391" t="n">
        <v>3</v>
      </c>
      <c r="T391" t="n">
        <v>8</v>
      </c>
      <c r="U391" t="inlineStr">
        <is>
          <t>1996-04-13</t>
        </is>
      </c>
      <c r="V391" t="inlineStr">
        <is>
          <t>1997-07-12</t>
        </is>
      </c>
      <c r="W391" t="inlineStr">
        <is>
          <t>1993-10-07</t>
        </is>
      </c>
      <c r="X391" t="inlineStr">
        <is>
          <t>1993-10-13</t>
        </is>
      </c>
      <c r="Y391" t="n">
        <v>97</v>
      </c>
      <c r="Z391" t="n">
        <v>57</v>
      </c>
      <c r="AA391" t="n">
        <v>177</v>
      </c>
      <c r="AB391" t="n">
        <v>1</v>
      </c>
      <c r="AC391" t="n">
        <v>2</v>
      </c>
      <c r="AD391" t="n">
        <v>5</v>
      </c>
      <c r="AE391" t="n">
        <v>13</v>
      </c>
      <c r="AF391" t="n">
        <v>1</v>
      </c>
      <c r="AG391" t="n">
        <v>3</v>
      </c>
      <c r="AH391" t="n">
        <v>2</v>
      </c>
      <c r="AI391" t="n">
        <v>4</v>
      </c>
      <c r="AJ391" t="n">
        <v>4</v>
      </c>
      <c r="AK391" t="n">
        <v>9</v>
      </c>
      <c r="AL391" t="n">
        <v>0</v>
      </c>
      <c r="AM391" t="n">
        <v>1</v>
      </c>
      <c r="AN391" t="n">
        <v>0</v>
      </c>
      <c r="AO391" t="n">
        <v>0</v>
      </c>
      <c r="AP391" t="inlineStr">
        <is>
          <t>Yes</t>
        </is>
      </c>
      <c r="AQ391" t="inlineStr">
        <is>
          <t>No</t>
        </is>
      </c>
      <c r="AR391">
        <f>HYPERLINK("http://catalog.hathitrust.org/Record/011543078","HathiTrust Record")</f>
        <v/>
      </c>
      <c r="AS391">
        <f>HYPERLINK("https://creighton-primo.hosted.exlibrisgroup.com/primo-explore/search?tab=default_tab&amp;search_scope=EVERYTHING&amp;vid=01CRU&amp;lang=en_US&amp;offset=0&amp;query=any,contains,991002251589702656","Catalog Record")</f>
        <v/>
      </c>
      <c r="AT391">
        <f>HYPERLINK("http://www.worldcat.org/oclc/299133","WorldCat Record")</f>
        <v/>
      </c>
      <c r="AU391" t="inlineStr">
        <is>
          <t>10628515422:grc</t>
        </is>
      </c>
      <c r="AV391" t="inlineStr">
        <is>
          <t>299133</t>
        </is>
      </c>
      <c r="AW391" t="inlineStr">
        <is>
          <t>991002251589702656</t>
        </is>
      </c>
      <c r="AX391" t="inlineStr">
        <is>
          <t>991002251589702656</t>
        </is>
      </c>
      <c r="AY391" t="inlineStr">
        <is>
          <t>2264442390002656</t>
        </is>
      </c>
      <c r="AZ391" t="inlineStr">
        <is>
          <t>BOOK</t>
        </is>
      </c>
      <c r="BC391" t="inlineStr">
        <is>
          <t>32285001790129</t>
        </is>
      </c>
      <c r="BD391" t="inlineStr">
        <is>
          <t>893898533</t>
        </is>
      </c>
      <c r="BE391" t="inlineStr">
        <is>
          <t>Fajardo Acosta</t>
        </is>
      </c>
    </row>
    <row r="392">
      <c r="A392" t="inlineStr">
        <is>
          <t>No</t>
        </is>
      </c>
      <c r="B392" t="inlineStr">
        <is>
          <t>PA3975 .A1 1857</t>
        </is>
      </c>
      <c r="C392" t="inlineStr">
        <is>
          <t>0                      PA 3975000A  1           1857</t>
        </is>
      </c>
      <c r="D392" t="inlineStr">
        <is>
          <t>Euripides / with an English commentary by F. A. Paley.</t>
        </is>
      </c>
      <c r="E392" t="inlineStr">
        <is>
          <t>V.3</t>
        </is>
      </c>
      <c r="F392" t="inlineStr">
        <is>
          <t>Yes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Euripides.</t>
        </is>
      </c>
      <c r="L392" t="inlineStr">
        <is>
          <t>London : Whittaker ; G. Bell, 1857-60.</t>
        </is>
      </c>
      <c r="M392" t="inlineStr">
        <is>
          <t>1857</t>
        </is>
      </c>
      <c r="O392" t="inlineStr">
        <is>
          <t>eng</t>
        </is>
      </c>
      <c r="P392" t="inlineStr">
        <is>
          <t xml:space="preserve">xx </t>
        </is>
      </c>
      <c r="Q392" t="inlineStr">
        <is>
          <t>Bibliotheca classica, ed. by George Long and A. J. Macleane</t>
        </is>
      </c>
      <c r="R392" t="inlineStr">
        <is>
          <t xml:space="preserve">PA </t>
        </is>
      </c>
      <c r="S392" t="n">
        <v>0</v>
      </c>
      <c r="T392" t="n">
        <v>8</v>
      </c>
      <c r="V392" t="inlineStr">
        <is>
          <t>1997-07-12</t>
        </is>
      </c>
      <c r="W392" t="inlineStr">
        <is>
          <t>1993-10-13</t>
        </is>
      </c>
      <c r="X392" t="inlineStr">
        <is>
          <t>1993-10-13</t>
        </is>
      </c>
      <c r="Y392" t="n">
        <v>97</v>
      </c>
      <c r="Z392" t="n">
        <v>57</v>
      </c>
      <c r="AA392" t="n">
        <v>177</v>
      </c>
      <c r="AB392" t="n">
        <v>1</v>
      </c>
      <c r="AC392" t="n">
        <v>2</v>
      </c>
      <c r="AD392" t="n">
        <v>5</v>
      </c>
      <c r="AE392" t="n">
        <v>13</v>
      </c>
      <c r="AF392" t="n">
        <v>1</v>
      </c>
      <c r="AG392" t="n">
        <v>3</v>
      </c>
      <c r="AH392" t="n">
        <v>2</v>
      </c>
      <c r="AI392" t="n">
        <v>4</v>
      </c>
      <c r="AJ392" t="n">
        <v>4</v>
      </c>
      <c r="AK392" t="n">
        <v>9</v>
      </c>
      <c r="AL392" t="n">
        <v>0</v>
      </c>
      <c r="AM392" t="n">
        <v>1</v>
      </c>
      <c r="AN392" t="n">
        <v>0</v>
      </c>
      <c r="AO392" t="n">
        <v>0</v>
      </c>
      <c r="AP392" t="inlineStr">
        <is>
          <t>Yes</t>
        </is>
      </c>
      <c r="AQ392" t="inlineStr">
        <is>
          <t>No</t>
        </is>
      </c>
      <c r="AR392">
        <f>HYPERLINK("http://catalog.hathitrust.org/Record/011543078","HathiTrust Record")</f>
        <v/>
      </c>
      <c r="AS392">
        <f>HYPERLINK("https://creighton-primo.hosted.exlibrisgroup.com/primo-explore/search?tab=default_tab&amp;search_scope=EVERYTHING&amp;vid=01CRU&amp;lang=en_US&amp;offset=0&amp;query=any,contains,991002251589702656","Catalog Record")</f>
        <v/>
      </c>
      <c r="AT392">
        <f>HYPERLINK("http://www.worldcat.org/oclc/299133","WorldCat Record")</f>
        <v/>
      </c>
      <c r="AU392" t="inlineStr">
        <is>
          <t>10628515422:grc</t>
        </is>
      </c>
      <c r="AV392" t="inlineStr">
        <is>
          <t>299133</t>
        </is>
      </c>
      <c r="AW392" t="inlineStr">
        <is>
          <t>991002251589702656</t>
        </is>
      </c>
      <c r="AX392" t="inlineStr">
        <is>
          <t>991002251589702656</t>
        </is>
      </c>
      <c r="AY392" t="inlineStr">
        <is>
          <t>2264442390002656</t>
        </is>
      </c>
      <c r="AZ392" t="inlineStr">
        <is>
          <t>BOOK</t>
        </is>
      </c>
      <c r="BC392" t="inlineStr">
        <is>
          <t>32285001791317</t>
        </is>
      </c>
      <c r="BD392" t="inlineStr">
        <is>
          <t>893898534</t>
        </is>
      </c>
      <c r="BE392" t="inlineStr">
        <is>
          <t>Fajardo Acosta</t>
        </is>
      </c>
    </row>
    <row r="393">
      <c r="A393" t="inlineStr">
        <is>
          <t>No</t>
        </is>
      </c>
      <c r="B393" t="inlineStr">
        <is>
          <t>PA3975 .A2 1974</t>
        </is>
      </c>
      <c r="C393" t="inlineStr">
        <is>
          <t>0                      PA 3975000A  2           1974</t>
        </is>
      </c>
      <c r="D393" t="inlineStr">
        <is>
          <t>Three plays of Euripides : Alcestis, Medea, The Bacchae / translated by Paul Roche.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Euripides.</t>
        </is>
      </c>
      <c r="L393" t="inlineStr">
        <is>
          <t>New York : Norton, [1974]</t>
        </is>
      </c>
      <c r="M393" t="inlineStr">
        <is>
          <t>1974</t>
        </is>
      </c>
      <c r="N393" t="inlineStr">
        <is>
          <t>[1st ed.]</t>
        </is>
      </c>
      <c r="O393" t="inlineStr">
        <is>
          <t>eng</t>
        </is>
      </c>
      <c r="P393" t="inlineStr">
        <is>
          <t>nyu</t>
        </is>
      </c>
      <c r="R393" t="inlineStr">
        <is>
          <t xml:space="preserve">PA </t>
        </is>
      </c>
      <c r="S393" t="n">
        <v>8</v>
      </c>
      <c r="T393" t="n">
        <v>8</v>
      </c>
      <c r="U393" t="inlineStr">
        <is>
          <t>1997-01-19</t>
        </is>
      </c>
      <c r="V393" t="inlineStr">
        <is>
          <t>1997-01-19</t>
        </is>
      </c>
      <c r="W393" t="inlineStr">
        <is>
          <t>1993-10-07</t>
        </is>
      </c>
      <c r="X393" t="inlineStr">
        <is>
          <t>1993-10-07</t>
        </is>
      </c>
      <c r="Y393" t="n">
        <v>569</v>
      </c>
      <c r="Z393" t="n">
        <v>516</v>
      </c>
      <c r="AA393" t="n">
        <v>523</v>
      </c>
      <c r="AB393" t="n">
        <v>2</v>
      </c>
      <c r="AC393" t="n">
        <v>2</v>
      </c>
      <c r="AD393" t="n">
        <v>16</v>
      </c>
      <c r="AE393" t="n">
        <v>16</v>
      </c>
      <c r="AF393" t="n">
        <v>6</v>
      </c>
      <c r="AG393" t="n">
        <v>6</v>
      </c>
      <c r="AH393" t="n">
        <v>6</v>
      </c>
      <c r="AI393" t="n">
        <v>6</v>
      </c>
      <c r="AJ393" t="n">
        <v>8</v>
      </c>
      <c r="AK393" t="n">
        <v>8</v>
      </c>
      <c r="AL393" t="n">
        <v>1</v>
      </c>
      <c r="AM393" t="n">
        <v>1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HYPERLINK("http://catalog.hathitrust.org/Record/001222742","HathiTrust Record")</f>
        <v/>
      </c>
      <c r="AS393">
        <f>HYPERLINK("https://creighton-primo.hosted.exlibrisgroup.com/primo-explore/search?tab=default_tab&amp;search_scope=EVERYTHING&amp;vid=01CRU&amp;lang=en_US&amp;offset=0&amp;query=any,contains,991003159989702656","Catalog Record")</f>
        <v/>
      </c>
      <c r="AT393">
        <f>HYPERLINK("http://www.worldcat.org/oclc/698708","WorldCat Record")</f>
        <v/>
      </c>
      <c r="AU393" t="inlineStr">
        <is>
          <t>63318037:eng</t>
        </is>
      </c>
      <c r="AV393" t="inlineStr">
        <is>
          <t>698708</t>
        </is>
      </c>
      <c r="AW393" t="inlineStr">
        <is>
          <t>991003159989702656</t>
        </is>
      </c>
      <c r="AX393" t="inlineStr">
        <is>
          <t>991003159989702656</t>
        </is>
      </c>
      <c r="AY393" t="inlineStr">
        <is>
          <t>2265166250002656</t>
        </is>
      </c>
      <c r="AZ393" t="inlineStr">
        <is>
          <t>BOOK</t>
        </is>
      </c>
      <c r="BB393" t="inlineStr">
        <is>
          <t>9780393043822</t>
        </is>
      </c>
      <c r="BC393" t="inlineStr">
        <is>
          <t>32285001790103</t>
        </is>
      </c>
      <c r="BD393" t="inlineStr">
        <is>
          <t>893336202</t>
        </is>
      </c>
      <c r="BE393" t="inlineStr">
        <is>
          <t>Fajardo Acosta</t>
        </is>
      </c>
    </row>
    <row r="394">
      <c r="A394" t="inlineStr">
        <is>
          <t>No</t>
        </is>
      </c>
      <c r="B394" t="inlineStr">
        <is>
          <t>PA3975.A5 A7</t>
        </is>
      </c>
      <c r="C394" t="inlineStr">
        <is>
          <t>0                      PA 3975000A  5                  A  7</t>
        </is>
      </c>
      <c r="D394" t="inlineStr">
        <is>
          <t>Alcestis / Euripides ; translated by William Arrowsmith.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Yes</t>
        </is>
      </c>
      <c r="J394" t="inlineStr">
        <is>
          <t>0</t>
        </is>
      </c>
      <c r="K394" t="inlineStr">
        <is>
          <t>Euripides.</t>
        </is>
      </c>
      <c r="L394" t="inlineStr">
        <is>
          <t>New York : Oxford University Press, 1974.</t>
        </is>
      </c>
      <c r="M394" t="inlineStr">
        <is>
          <t>1974</t>
        </is>
      </c>
      <c r="O394" t="inlineStr">
        <is>
          <t>eng</t>
        </is>
      </c>
      <c r="P394" t="inlineStr">
        <is>
          <t>nyu</t>
        </is>
      </c>
      <c r="Q394" t="inlineStr">
        <is>
          <t>The Greek tragedy in new translations</t>
        </is>
      </c>
      <c r="R394" t="inlineStr">
        <is>
          <t xml:space="preserve">PA </t>
        </is>
      </c>
      <c r="S394" t="n">
        <v>1</v>
      </c>
      <c r="T394" t="n">
        <v>1</v>
      </c>
      <c r="U394" t="inlineStr">
        <is>
          <t>2002-09-25</t>
        </is>
      </c>
      <c r="V394" t="inlineStr">
        <is>
          <t>2002-09-25</t>
        </is>
      </c>
      <c r="W394" t="inlineStr">
        <is>
          <t>1991-06-27</t>
        </is>
      </c>
      <c r="X394" t="inlineStr">
        <is>
          <t>1991-06-27</t>
        </is>
      </c>
      <c r="Y394" t="n">
        <v>567</v>
      </c>
      <c r="Z394" t="n">
        <v>453</v>
      </c>
      <c r="AA394" t="n">
        <v>1506</v>
      </c>
      <c r="AB394" t="n">
        <v>5</v>
      </c>
      <c r="AC394" t="n">
        <v>14</v>
      </c>
      <c r="AD394" t="n">
        <v>27</v>
      </c>
      <c r="AE394" t="n">
        <v>60</v>
      </c>
      <c r="AF394" t="n">
        <v>11</v>
      </c>
      <c r="AG394" t="n">
        <v>27</v>
      </c>
      <c r="AH394" t="n">
        <v>6</v>
      </c>
      <c r="AI394" t="n">
        <v>10</v>
      </c>
      <c r="AJ394" t="n">
        <v>14</v>
      </c>
      <c r="AK394" t="n">
        <v>27</v>
      </c>
      <c r="AL394" t="n">
        <v>3</v>
      </c>
      <c r="AM394" t="n">
        <v>10</v>
      </c>
      <c r="AN394" t="n">
        <v>0</v>
      </c>
      <c r="AO394" t="n">
        <v>0</v>
      </c>
      <c r="AP394" t="inlineStr">
        <is>
          <t>No</t>
        </is>
      </c>
      <c r="AQ394" t="inlineStr">
        <is>
          <t>Yes</t>
        </is>
      </c>
      <c r="AR394">
        <f>HYPERLINK("http://catalog.hathitrust.org/Record/001222746","HathiTrust Record")</f>
        <v/>
      </c>
      <c r="AS394">
        <f>HYPERLINK("https://creighton-primo.hosted.exlibrisgroup.com/primo-explore/search?tab=default_tab&amp;search_scope=EVERYTHING&amp;vid=01CRU&amp;lang=en_US&amp;offset=0&amp;query=any,contains,991003641629702656","Catalog Record")</f>
        <v/>
      </c>
      <c r="AT394">
        <f>HYPERLINK("http://www.worldcat.org/oclc/1239503","WorldCat Record")</f>
        <v/>
      </c>
      <c r="AU394" t="inlineStr">
        <is>
          <t>1151221580:eng</t>
        </is>
      </c>
      <c r="AV394" t="inlineStr">
        <is>
          <t>1239503</t>
        </is>
      </c>
      <c r="AW394" t="inlineStr">
        <is>
          <t>991003641629702656</t>
        </is>
      </c>
      <c r="AX394" t="inlineStr">
        <is>
          <t>991003641629702656</t>
        </is>
      </c>
      <c r="AY394" t="inlineStr">
        <is>
          <t>2266265250002656</t>
        </is>
      </c>
      <c r="AZ394" t="inlineStr">
        <is>
          <t>BOOK</t>
        </is>
      </c>
      <c r="BC394" t="inlineStr">
        <is>
          <t>32285000634096</t>
        </is>
      </c>
      <c r="BD394" t="inlineStr">
        <is>
          <t>893258651</t>
        </is>
      </c>
      <c r="BE394" t="inlineStr">
        <is>
          <t>Fajardo Acosta</t>
        </is>
      </c>
    </row>
    <row r="395">
      <c r="A395" t="inlineStr">
        <is>
          <t>No</t>
        </is>
      </c>
      <c r="B395" t="inlineStr">
        <is>
          <t>PA3975.A5 B4</t>
        </is>
      </c>
      <c r="C395" t="inlineStr">
        <is>
          <t>0                      PA 3975000A  5                  B  4</t>
        </is>
      </c>
      <c r="D395" t="inlineStr">
        <is>
          <t>Alcestis / a translation with commentary by Charles Rowan Beye. With a series introd. by Eric A. Havelock.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Yes</t>
        </is>
      </c>
      <c r="J395" t="inlineStr">
        <is>
          <t>0</t>
        </is>
      </c>
      <c r="K395" t="inlineStr">
        <is>
          <t>Euripides.</t>
        </is>
      </c>
      <c r="L395" t="inlineStr">
        <is>
          <t>Englewood Cliffs, N.J. : Prentice-Hall, [1974]</t>
        </is>
      </c>
      <c r="M395" t="inlineStr">
        <is>
          <t>1974</t>
        </is>
      </c>
      <c r="O395" t="inlineStr">
        <is>
          <t>eng</t>
        </is>
      </c>
      <c r="P395" t="inlineStr">
        <is>
          <t>nju</t>
        </is>
      </c>
      <c r="Q395" t="inlineStr">
        <is>
          <t>Prentice-Hall Greek drama series</t>
        </is>
      </c>
      <c r="R395" t="inlineStr">
        <is>
          <t xml:space="preserve">PA </t>
        </is>
      </c>
      <c r="S395" t="n">
        <v>1</v>
      </c>
      <c r="T395" t="n">
        <v>1</v>
      </c>
      <c r="U395" t="inlineStr">
        <is>
          <t>2000-05-04</t>
        </is>
      </c>
      <c r="V395" t="inlineStr">
        <is>
          <t>2000-05-04</t>
        </is>
      </c>
      <c r="W395" t="inlineStr">
        <is>
          <t>1990-11-30</t>
        </is>
      </c>
      <c r="X395" t="inlineStr">
        <is>
          <t>1990-11-30</t>
        </is>
      </c>
      <c r="Y395" t="n">
        <v>361</v>
      </c>
      <c r="Z395" t="n">
        <v>301</v>
      </c>
      <c r="AA395" t="n">
        <v>1506</v>
      </c>
      <c r="AB395" t="n">
        <v>2</v>
      </c>
      <c r="AC395" t="n">
        <v>14</v>
      </c>
      <c r="AD395" t="n">
        <v>14</v>
      </c>
      <c r="AE395" t="n">
        <v>60</v>
      </c>
      <c r="AF395" t="n">
        <v>6</v>
      </c>
      <c r="AG395" t="n">
        <v>27</v>
      </c>
      <c r="AH395" t="n">
        <v>4</v>
      </c>
      <c r="AI395" t="n">
        <v>10</v>
      </c>
      <c r="AJ395" t="n">
        <v>8</v>
      </c>
      <c r="AK395" t="n">
        <v>27</v>
      </c>
      <c r="AL395" t="n">
        <v>1</v>
      </c>
      <c r="AM395" t="n">
        <v>10</v>
      </c>
      <c r="AN395" t="n">
        <v>0</v>
      </c>
      <c r="AO395" t="n">
        <v>0</v>
      </c>
      <c r="AP395" t="inlineStr">
        <is>
          <t>No</t>
        </is>
      </c>
      <c r="AQ395" t="inlineStr">
        <is>
          <t>Yes</t>
        </is>
      </c>
      <c r="AR395">
        <f>HYPERLINK("http://catalog.hathitrust.org/Record/001222747","HathiTrust Record")</f>
        <v/>
      </c>
      <c r="AS395">
        <f>HYPERLINK("https://creighton-primo.hosted.exlibrisgroup.com/primo-explore/search?tab=default_tab&amp;search_scope=EVERYTHING&amp;vid=01CRU&amp;lang=en_US&amp;offset=0&amp;query=any,contains,991003314809702656","Catalog Record")</f>
        <v/>
      </c>
      <c r="AT395">
        <f>HYPERLINK("http://www.worldcat.org/oclc/839801","WorldCat Record")</f>
        <v/>
      </c>
      <c r="AU395" t="inlineStr">
        <is>
          <t>1151221580:eng</t>
        </is>
      </c>
      <c r="AV395" t="inlineStr">
        <is>
          <t>839801</t>
        </is>
      </c>
      <c r="AW395" t="inlineStr">
        <is>
          <t>991003314809702656</t>
        </is>
      </c>
      <c r="AX395" t="inlineStr">
        <is>
          <t>991003314809702656</t>
        </is>
      </c>
      <c r="AY395" t="inlineStr">
        <is>
          <t>2259251740002656</t>
        </is>
      </c>
      <c r="AZ395" t="inlineStr">
        <is>
          <t>BOOK</t>
        </is>
      </c>
      <c r="BB395" t="inlineStr">
        <is>
          <t>9780130434487</t>
        </is>
      </c>
      <c r="BC395" t="inlineStr">
        <is>
          <t>32285000411149</t>
        </is>
      </c>
      <c r="BD395" t="inlineStr">
        <is>
          <t>893805659</t>
        </is>
      </c>
      <c r="BE395" t="inlineStr">
        <is>
          <t>Fajardo Acosta</t>
        </is>
      </c>
    </row>
    <row r="396">
      <c r="A396" t="inlineStr">
        <is>
          <t>No</t>
        </is>
      </c>
      <c r="B396" t="inlineStr">
        <is>
          <t>PA3975.H4 M5 1981</t>
        </is>
      </c>
      <c r="C396" t="inlineStr">
        <is>
          <t>0                      PA 3975000H  4                  M  5           1981</t>
        </is>
      </c>
      <c r="D396" t="inlineStr">
        <is>
          <t>Helen / Euripides ; translated by James Michie and Colin Leach.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K396" t="inlineStr">
        <is>
          <t>Euripides.</t>
        </is>
      </c>
      <c r="L396" t="inlineStr">
        <is>
          <t>New York : Oxford University Press, 1981.</t>
        </is>
      </c>
      <c r="M396" t="inlineStr">
        <is>
          <t>1981</t>
        </is>
      </c>
      <c r="O396" t="inlineStr">
        <is>
          <t>eng</t>
        </is>
      </c>
      <c r="P396" t="inlineStr">
        <is>
          <t>nyu</t>
        </is>
      </c>
      <c r="Q396" t="inlineStr">
        <is>
          <t>The Greek tragedy in new translations</t>
        </is>
      </c>
      <c r="R396" t="inlineStr">
        <is>
          <t xml:space="preserve">PA </t>
        </is>
      </c>
      <c r="S396" t="n">
        <v>5</v>
      </c>
      <c r="T396" t="n">
        <v>5</v>
      </c>
      <c r="U396" t="inlineStr">
        <is>
          <t>2005-04-24</t>
        </is>
      </c>
      <c r="V396" t="inlineStr">
        <is>
          <t>2005-04-24</t>
        </is>
      </c>
      <c r="W396" t="inlineStr">
        <is>
          <t>1993-04-12</t>
        </is>
      </c>
      <c r="X396" t="inlineStr">
        <is>
          <t>1993-04-12</t>
        </is>
      </c>
      <c r="Y396" t="n">
        <v>542</v>
      </c>
      <c r="Z396" t="n">
        <v>449</v>
      </c>
      <c r="AA396" t="n">
        <v>1260</v>
      </c>
      <c r="AB396" t="n">
        <v>2</v>
      </c>
      <c r="AC396" t="n">
        <v>15</v>
      </c>
      <c r="AD396" t="n">
        <v>22</v>
      </c>
      <c r="AE396" t="n">
        <v>55</v>
      </c>
      <c r="AF396" t="n">
        <v>9</v>
      </c>
      <c r="AG396" t="n">
        <v>19</v>
      </c>
      <c r="AH396" t="n">
        <v>4</v>
      </c>
      <c r="AI396" t="n">
        <v>11</v>
      </c>
      <c r="AJ396" t="n">
        <v>13</v>
      </c>
      <c r="AK396" t="n">
        <v>21</v>
      </c>
      <c r="AL396" t="n">
        <v>1</v>
      </c>
      <c r="AM396" t="n">
        <v>13</v>
      </c>
      <c r="AN396" t="n">
        <v>0</v>
      </c>
      <c r="AO396" t="n">
        <v>2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HYPERLINK("http://catalog.hathitrust.org/Record/000139058","HathiTrust Record")</f>
        <v/>
      </c>
      <c r="AS396">
        <f>HYPERLINK("https://creighton-primo.hosted.exlibrisgroup.com/primo-explore/search?tab=default_tab&amp;search_scope=EVERYTHING&amp;vid=01CRU&amp;lang=en_US&amp;offset=0&amp;query=any,contains,991005008529702656","Catalog Record")</f>
        <v/>
      </c>
      <c r="AT396">
        <f>HYPERLINK("http://www.worldcat.org/oclc/6581599","WorldCat Record")</f>
        <v/>
      </c>
      <c r="AU396" t="inlineStr">
        <is>
          <t>363923262:eng</t>
        </is>
      </c>
      <c r="AV396" t="inlineStr">
        <is>
          <t>6581599</t>
        </is>
      </c>
      <c r="AW396" t="inlineStr">
        <is>
          <t>991005008529702656</t>
        </is>
      </c>
      <c r="AX396" t="inlineStr">
        <is>
          <t>991005008529702656</t>
        </is>
      </c>
      <c r="AY396" t="inlineStr">
        <is>
          <t>2258222590002656</t>
        </is>
      </c>
      <c r="AZ396" t="inlineStr">
        <is>
          <t>BOOK</t>
        </is>
      </c>
      <c r="BB396" t="inlineStr">
        <is>
          <t>9780195028706</t>
        </is>
      </c>
      <c r="BC396" t="inlineStr">
        <is>
          <t>32285001637304</t>
        </is>
      </c>
      <c r="BD396" t="inlineStr">
        <is>
          <t>893443276</t>
        </is>
      </c>
      <c r="BE396" t="inlineStr">
        <is>
          <t>Fajardo Acosta</t>
        </is>
      </c>
    </row>
    <row r="397">
      <c r="A397" t="inlineStr">
        <is>
          <t>No</t>
        </is>
      </c>
      <c r="B397" t="inlineStr">
        <is>
          <t>PA3975.H7 B3 1973</t>
        </is>
      </c>
      <c r="C397" t="inlineStr">
        <is>
          <t>0                      PA 3975000H  7                  B  3           1973</t>
        </is>
      </c>
      <c r="D397" t="inlineStr">
        <is>
          <t>Hippolytos. Translated by Robert Bagg.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Euripides.</t>
        </is>
      </c>
      <c r="L397" t="inlineStr">
        <is>
          <t>New York, Oxford University Press, 1973.</t>
        </is>
      </c>
      <c r="M397" t="inlineStr">
        <is>
          <t>1973</t>
        </is>
      </c>
      <c r="O397" t="inlineStr">
        <is>
          <t>eng</t>
        </is>
      </c>
      <c r="P397" t="inlineStr">
        <is>
          <t>nyu</t>
        </is>
      </c>
      <c r="Q397" t="inlineStr">
        <is>
          <t>The Greek tragedy in new translations</t>
        </is>
      </c>
      <c r="R397" t="inlineStr">
        <is>
          <t xml:space="preserve">PA </t>
        </is>
      </c>
      <c r="S397" t="n">
        <v>9</v>
      </c>
      <c r="T397" t="n">
        <v>9</v>
      </c>
      <c r="U397" t="inlineStr">
        <is>
          <t>2005-08-19</t>
        </is>
      </c>
      <c r="V397" t="inlineStr">
        <is>
          <t>2005-08-19</t>
        </is>
      </c>
      <c r="W397" t="inlineStr">
        <is>
          <t>1991-06-18</t>
        </is>
      </c>
      <c r="X397" t="inlineStr">
        <is>
          <t>1991-06-18</t>
        </is>
      </c>
      <c r="Y397" t="n">
        <v>771</v>
      </c>
      <c r="Z397" t="n">
        <v>712</v>
      </c>
      <c r="AA397" t="n">
        <v>1160</v>
      </c>
      <c r="AB397" t="n">
        <v>5</v>
      </c>
      <c r="AC397" t="n">
        <v>8</v>
      </c>
      <c r="AD397" t="n">
        <v>32</v>
      </c>
      <c r="AE397" t="n">
        <v>47</v>
      </c>
      <c r="AF397" t="n">
        <v>14</v>
      </c>
      <c r="AG397" t="n">
        <v>21</v>
      </c>
      <c r="AH397" t="n">
        <v>6</v>
      </c>
      <c r="AI397" t="n">
        <v>10</v>
      </c>
      <c r="AJ397" t="n">
        <v>18</v>
      </c>
      <c r="AK397" t="n">
        <v>23</v>
      </c>
      <c r="AL397" t="n">
        <v>3</v>
      </c>
      <c r="AM397" t="n">
        <v>6</v>
      </c>
      <c r="AN397" t="n">
        <v>0</v>
      </c>
      <c r="AO397" t="n">
        <v>0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HYPERLINK("http://catalog.hathitrust.org/Record/001222764","HathiTrust Record")</f>
        <v/>
      </c>
      <c r="AS397">
        <f>HYPERLINK("https://creighton-primo.hosted.exlibrisgroup.com/primo-explore/search?tab=default_tab&amp;search_scope=EVERYTHING&amp;vid=01CRU&amp;lang=en_US&amp;offset=0&amp;query=any,contains,991003266269702656","Catalog Record")</f>
        <v/>
      </c>
      <c r="AT397">
        <f>HYPERLINK("http://www.worldcat.org/oclc/792803","WorldCat Record")</f>
        <v/>
      </c>
      <c r="AU397" t="inlineStr">
        <is>
          <t>16525826:eng</t>
        </is>
      </c>
      <c r="AV397" t="inlineStr">
        <is>
          <t>792803</t>
        </is>
      </c>
      <c r="AW397" t="inlineStr">
        <is>
          <t>991003266269702656</t>
        </is>
      </c>
      <c r="AX397" t="inlineStr">
        <is>
          <t>991003266269702656</t>
        </is>
      </c>
      <c r="AY397" t="inlineStr">
        <is>
          <t>2260771810002656</t>
        </is>
      </c>
      <c r="AZ397" t="inlineStr">
        <is>
          <t>BOOK</t>
        </is>
      </c>
      <c r="BB397" t="inlineStr">
        <is>
          <t>9780195017403</t>
        </is>
      </c>
      <c r="BC397" t="inlineStr">
        <is>
          <t>32285000630862</t>
        </is>
      </c>
      <c r="BD397" t="inlineStr">
        <is>
          <t>893233981</t>
        </is>
      </c>
      <c r="BE397" t="inlineStr">
        <is>
          <t>Fajardo Acosta</t>
        </is>
      </c>
    </row>
    <row r="398">
      <c r="A398" t="inlineStr">
        <is>
          <t>No</t>
        </is>
      </c>
      <c r="B398" t="inlineStr">
        <is>
          <t>PA3975.O7 W55 1986</t>
        </is>
      </c>
      <c r="C398" t="inlineStr">
        <is>
          <t>0                      PA 3975000O  7                  W  55          1986</t>
        </is>
      </c>
      <c r="D398" t="inlineStr">
        <is>
          <t>Orestes / Euripides ; with introduction and commentary by C.W. Willink.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Euripides.</t>
        </is>
      </c>
      <c r="L398" t="inlineStr">
        <is>
          <t>Oxford : Clarendon Press, 1986.</t>
        </is>
      </c>
      <c r="M398" t="inlineStr">
        <is>
          <t>1986</t>
        </is>
      </c>
      <c r="O398" t="inlineStr">
        <is>
          <t>eng</t>
        </is>
      </c>
      <c r="P398" t="inlineStr">
        <is>
          <t>enk</t>
        </is>
      </c>
      <c r="R398" t="inlineStr">
        <is>
          <t xml:space="preserve">PA </t>
        </is>
      </c>
      <c r="S398" t="n">
        <v>6</v>
      </c>
      <c r="T398" t="n">
        <v>6</v>
      </c>
      <c r="U398" t="inlineStr">
        <is>
          <t>2003-09-10</t>
        </is>
      </c>
      <c r="V398" t="inlineStr">
        <is>
          <t>2003-09-10</t>
        </is>
      </c>
      <c r="W398" t="inlineStr">
        <is>
          <t>1993-04-12</t>
        </is>
      </c>
      <c r="X398" t="inlineStr">
        <is>
          <t>1993-04-12</t>
        </is>
      </c>
      <c r="Y398" t="n">
        <v>406</v>
      </c>
      <c r="Z398" t="n">
        <v>314</v>
      </c>
      <c r="AA398" t="n">
        <v>1302</v>
      </c>
      <c r="AB398" t="n">
        <v>3</v>
      </c>
      <c r="AC398" t="n">
        <v>19</v>
      </c>
      <c r="AD398" t="n">
        <v>19</v>
      </c>
      <c r="AE398" t="n">
        <v>50</v>
      </c>
      <c r="AF398" t="n">
        <v>4</v>
      </c>
      <c r="AG398" t="n">
        <v>15</v>
      </c>
      <c r="AH398" t="n">
        <v>5</v>
      </c>
      <c r="AI398" t="n">
        <v>9</v>
      </c>
      <c r="AJ398" t="n">
        <v>13</v>
      </c>
      <c r="AK398" t="n">
        <v>21</v>
      </c>
      <c r="AL398" t="n">
        <v>2</v>
      </c>
      <c r="AM398" t="n">
        <v>14</v>
      </c>
      <c r="AN398" t="n">
        <v>0</v>
      </c>
      <c r="AO398" t="n">
        <v>1</v>
      </c>
      <c r="AP398" t="inlineStr">
        <is>
          <t>No</t>
        </is>
      </c>
      <c r="AQ398" t="inlineStr">
        <is>
          <t>Yes</t>
        </is>
      </c>
      <c r="AR398">
        <f>HYPERLINK("http://catalog.hathitrust.org/Record/000441587","HathiTrust Record")</f>
        <v/>
      </c>
      <c r="AS398">
        <f>HYPERLINK("https://creighton-primo.hosted.exlibrisgroup.com/primo-explore/search?tab=default_tab&amp;search_scope=EVERYTHING&amp;vid=01CRU&amp;lang=en_US&amp;offset=0&amp;query=any,contains,991000656979702656","Catalog Record")</f>
        <v/>
      </c>
      <c r="AT398">
        <f>HYPERLINK("http://www.worldcat.org/oclc/12216495","WorldCat Record")</f>
        <v/>
      </c>
      <c r="AU398" t="inlineStr">
        <is>
          <t>2070164620:eng</t>
        </is>
      </c>
      <c r="AV398" t="inlineStr">
        <is>
          <t>12216495</t>
        </is>
      </c>
      <c r="AW398" t="inlineStr">
        <is>
          <t>991000656979702656</t>
        </is>
      </c>
      <c r="AX398" t="inlineStr">
        <is>
          <t>991000656979702656</t>
        </is>
      </c>
      <c r="AY398" t="inlineStr">
        <is>
          <t>2265335630002656</t>
        </is>
      </c>
      <c r="AZ398" t="inlineStr">
        <is>
          <t>BOOK</t>
        </is>
      </c>
      <c r="BB398" t="inlineStr">
        <is>
          <t>9780198140177</t>
        </is>
      </c>
      <c r="BC398" t="inlineStr">
        <is>
          <t>32285001637353</t>
        </is>
      </c>
      <c r="BD398" t="inlineStr">
        <is>
          <t>893601946</t>
        </is>
      </c>
      <c r="BE398" t="inlineStr">
        <is>
          <t>Fajardo Acosta</t>
        </is>
      </c>
    </row>
    <row r="399">
      <c r="A399" t="inlineStr">
        <is>
          <t>No</t>
        </is>
      </c>
      <c r="B399" t="inlineStr">
        <is>
          <t>PA4002 .A2 1854a</t>
        </is>
      </c>
      <c r="C399" t="inlineStr">
        <is>
          <t>0                      PA 4002000A  2           1854a</t>
        </is>
      </c>
      <c r="D399" t="inlineStr">
        <is>
          <t>Herodotus / with a commentary by Joseph Williams Blakesley.</t>
        </is>
      </c>
      <c r="E399" t="inlineStr">
        <is>
          <t>V.2</t>
        </is>
      </c>
      <c r="F399" t="inlineStr">
        <is>
          <t>Yes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K399" t="inlineStr">
        <is>
          <t>Herodotus.</t>
        </is>
      </c>
      <c r="L399" t="inlineStr">
        <is>
          <t>London : Whittaker, 1854.</t>
        </is>
      </c>
      <c r="M399" t="inlineStr">
        <is>
          <t>1854</t>
        </is>
      </c>
      <c r="O399" t="inlineStr">
        <is>
          <t>grc</t>
        </is>
      </c>
      <c r="P399" t="inlineStr">
        <is>
          <t>enk</t>
        </is>
      </c>
      <c r="Q399" t="inlineStr">
        <is>
          <t>Bibliotheca classica ; v. 3-4</t>
        </is>
      </c>
      <c r="R399" t="inlineStr">
        <is>
          <t xml:space="preserve">PA </t>
        </is>
      </c>
      <c r="S399" t="n">
        <v>1</v>
      </c>
      <c r="T399" t="n">
        <v>1</v>
      </c>
      <c r="U399" t="inlineStr">
        <is>
          <t>2001-06-27</t>
        </is>
      </c>
      <c r="V399" t="inlineStr">
        <is>
          <t>2001-06-27</t>
        </is>
      </c>
      <c r="W399" t="inlineStr">
        <is>
          <t>1994-03-11</t>
        </is>
      </c>
      <c r="X399" t="inlineStr">
        <is>
          <t>1994-03-14</t>
        </is>
      </c>
      <c r="Y399" t="n">
        <v>105</v>
      </c>
      <c r="Z399" t="n">
        <v>65</v>
      </c>
      <c r="AA399" t="n">
        <v>327</v>
      </c>
      <c r="AB399" t="n">
        <v>1</v>
      </c>
      <c r="AC399" t="n">
        <v>1</v>
      </c>
      <c r="AD399" t="n">
        <v>6</v>
      </c>
      <c r="AE399" t="n">
        <v>16</v>
      </c>
      <c r="AF399" t="n">
        <v>1</v>
      </c>
      <c r="AG399" t="n">
        <v>7</v>
      </c>
      <c r="AH399" t="n">
        <v>1</v>
      </c>
      <c r="AI399" t="n">
        <v>5</v>
      </c>
      <c r="AJ399" t="n">
        <v>6</v>
      </c>
      <c r="AK399" t="n">
        <v>10</v>
      </c>
      <c r="AL399" t="n">
        <v>0</v>
      </c>
      <c r="AM399" t="n">
        <v>0</v>
      </c>
      <c r="AN399" t="n">
        <v>0</v>
      </c>
      <c r="AO399" t="n">
        <v>0</v>
      </c>
      <c r="AP399" t="inlineStr">
        <is>
          <t>Yes</t>
        </is>
      </c>
      <c r="AQ399" t="inlineStr">
        <is>
          <t>No</t>
        </is>
      </c>
      <c r="AR399">
        <f>HYPERLINK("http://catalog.hathitrust.org/Record/006790748","HathiTrust Record")</f>
        <v/>
      </c>
      <c r="AS399">
        <f>HYPERLINK("https://creighton-primo.hosted.exlibrisgroup.com/primo-explore/search?tab=default_tab&amp;search_scope=EVERYTHING&amp;vid=01CRU&amp;lang=en_US&amp;offset=0&amp;query=any,contains,991005198809702656","Catalog Record")</f>
        <v/>
      </c>
      <c r="AT399">
        <f>HYPERLINK("http://www.worldcat.org/oclc/8054863","WorldCat Record")</f>
        <v/>
      </c>
      <c r="AU399" t="inlineStr">
        <is>
          <t>3374665528:grc</t>
        </is>
      </c>
      <c r="AV399" t="inlineStr">
        <is>
          <t>8054863</t>
        </is>
      </c>
      <c r="AW399" t="inlineStr">
        <is>
          <t>991005198809702656</t>
        </is>
      </c>
      <c r="AX399" t="inlineStr">
        <is>
          <t>991005198809702656</t>
        </is>
      </c>
      <c r="AY399" t="inlineStr">
        <is>
          <t>2258164390002656</t>
        </is>
      </c>
      <c r="AZ399" t="inlineStr">
        <is>
          <t>BOOK</t>
        </is>
      </c>
      <c r="BC399" t="inlineStr">
        <is>
          <t>32285001853000</t>
        </is>
      </c>
      <c r="BD399" t="inlineStr">
        <is>
          <t>893905293</t>
        </is>
      </c>
      <c r="BE399" t="inlineStr">
        <is>
          <t>Fajardo Acosta</t>
        </is>
      </c>
    </row>
    <row r="400">
      <c r="A400" t="inlineStr">
        <is>
          <t>No</t>
        </is>
      </c>
      <c r="B400" t="inlineStr">
        <is>
          <t>PA4002 .A2 1854a</t>
        </is>
      </c>
      <c r="C400" t="inlineStr">
        <is>
          <t>0                      PA 4002000A  2           1854a</t>
        </is>
      </c>
      <c r="D400" t="inlineStr">
        <is>
          <t>Herodotus / with a commentary by Joseph Williams Blakesley.</t>
        </is>
      </c>
      <c r="E400" t="inlineStr">
        <is>
          <t>V.1</t>
        </is>
      </c>
      <c r="F400" t="inlineStr">
        <is>
          <t>Yes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K400" t="inlineStr">
        <is>
          <t>Herodotus.</t>
        </is>
      </c>
      <c r="L400" t="inlineStr">
        <is>
          <t>London : Whittaker, 1854.</t>
        </is>
      </c>
      <c r="M400" t="inlineStr">
        <is>
          <t>1854</t>
        </is>
      </c>
      <c r="O400" t="inlineStr">
        <is>
          <t>grc</t>
        </is>
      </c>
      <c r="P400" t="inlineStr">
        <is>
          <t>enk</t>
        </is>
      </c>
      <c r="Q400" t="inlineStr">
        <is>
          <t>Bibliotheca classica ; v. 3-4</t>
        </is>
      </c>
      <c r="R400" t="inlineStr">
        <is>
          <t xml:space="preserve">PA </t>
        </is>
      </c>
      <c r="S400" t="n">
        <v>0</v>
      </c>
      <c r="T400" t="n">
        <v>1</v>
      </c>
      <c r="V400" t="inlineStr">
        <is>
          <t>2001-06-27</t>
        </is>
      </c>
      <c r="W400" t="inlineStr">
        <is>
          <t>1994-03-14</t>
        </is>
      </c>
      <c r="X400" t="inlineStr">
        <is>
          <t>1994-03-14</t>
        </is>
      </c>
      <c r="Y400" t="n">
        <v>105</v>
      </c>
      <c r="Z400" t="n">
        <v>65</v>
      </c>
      <c r="AA400" t="n">
        <v>327</v>
      </c>
      <c r="AB400" t="n">
        <v>1</v>
      </c>
      <c r="AC400" t="n">
        <v>1</v>
      </c>
      <c r="AD400" t="n">
        <v>6</v>
      </c>
      <c r="AE400" t="n">
        <v>16</v>
      </c>
      <c r="AF400" t="n">
        <v>1</v>
      </c>
      <c r="AG400" t="n">
        <v>7</v>
      </c>
      <c r="AH400" t="n">
        <v>1</v>
      </c>
      <c r="AI400" t="n">
        <v>5</v>
      </c>
      <c r="AJ400" t="n">
        <v>6</v>
      </c>
      <c r="AK400" t="n">
        <v>10</v>
      </c>
      <c r="AL400" t="n">
        <v>0</v>
      </c>
      <c r="AM400" t="n">
        <v>0</v>
      </c>
      <c r="AN400" t="n">
        <v>0</v>
      </c>
      <c r="AO400" t="n">
        <v>0</v>
      </c>
      <c r="AP400" t="inlineStr">
        <is>
          <t>Yes</t>
        </is>
      </c>
      <c r="AQ400" t="inlineStr">
        <is>
          <t>No</t>
        </is>
      </c>
      <c r="AR400">
        <f>HYPERLINK("http://catalog.hathitrust.org/Record/006790748","HathiTrust Record")</f>
        <v/>
      </c>
      <c r="AS400">
        <f>HYPERLINK("https://creighton-primo.hosted.exlibrisgroup.com/primo-explore/search?tab=default_tab&amp;search_scope=EVERYTHING&amp;vid=01CRU&amp;lang=en_US&amp;offset=0&amp;query=any,contains,991005198809702656","Catalog Record")</f>
        <v/>
      </c>
      <c r="AT400">
        <f>HYPERLINK("http://www.worldcat.org/oclc/8054863","WorldCat Record")</f>
        <v/>
      </c>
      <c r="AU400" t="inlineStr">
        <is>
          <t>3374665528:grc</t>
        </is>
      </c>
      <c r="AV400" t="inlineStr">
        <is>
          <t>8054863</t>
        </is>
      </c>
      <c r="AW400" t="inlineStr">
        <is>
          <t>991005198809702656</t>
        </is>
      </c>
      <c r="AX400" t="inlineStr">
        <is>
          <t>991005198809702656</t>
        </is>
      </c>
      <c r="AY400" t="inlineStr">
        <is>
          <t>2258164390002656</t>
        </is>
      </c>
      <c r="AZ400" t="inlineStr">
        <is>
          <t>BOOK</t>
        </is>
      </c>
      <c r="BC400" t="inlineStr">
        <is>
          <t>32285001853471</t>
        </is>
      </c>
      <c r="BD400" t="inlineStr">
        <is>
          <t>893870680</t>
        </is>
      </c>
      <c r="BE400" t="inlineStr">
        <is>
          <t>Fajardo Acosta</t>
        </is>
      </c>
    </row>
    <row r="401">
      <c r="A401" t="inlineStr">
        <is>
          <t>No</t>
        </is>
      </c>
      <c r="B401" t="inlineStr">
        <is>
          <t>PA4002 .A2 1987</t>
        </is>
      </c>
      <c r="C401" t="inlineStr">
        <is>
          <t>0                      PA 4002000A  2           1987</t>
        </is>
      </c>
      <c r="D401" t="inlineStr">
        <is>
          <t>Herodoti Historiae / edidit Haiim B. Rosaen.</t>
        </is>
      </c>
      <c r="E401" t="inlineStr">
        <is>
          <t>V. 1</t>
        </is>
      </c>
      <c r="F401" t="inlineStr">
        <is>
          <t>Yes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K401" t="inlineStr">
        <is>
          <t>Herodotus.</t>
        </is>
      </c>
      <c r="L401" t="inlineStr">
        <is>
          <t>Leipzig : Teubner, 1987-</t>
        </is>
      </c>
      <c r="M401" t="inlineStr">
        <is>
          <t>1987</t>
        </is>
      </c>
      <c r="O401" t="inlineStr">
        <is>
          <t>grc</t>
        </is>
      </c>
      <c r="P401" t="inlineStr">
        <is>
          <t xml:space="preserve">gw </t>
        </is>
      </c>
      <c r="Q401" t="inlineStr">
        <is>
          <t>Bibliotheca scriptorum Graecorum et Romanorum Teubneriana, 0233-1160</t>
        </is>
      </c>
      <c r="R401" t="inlineStr">
        <is>
          <t xml:space="preserve">PA </t>
        </is>
      </c>
      <c r="S401" t="n">
        <v>1</v>
      </c>
      <c r="T401" t="n">
        <v>2</v>
      </c>
      <c r="U401" t="inlineStr">
        <is>
          <t>2004-09-09</t>
        </is>
      </c>
      <c r="V401" t="inlineStr">
        <is>
          <t>2004-09-09</t>
        </is>
      </c>
      <c r="W401" t="inlineStr">
        <is>
          <t>2004-09-09</t>
        </is>
      </c>
      <c r="X401" t="inlineStr">
        <is>
          <t>2004-09-09</t>
        </is>
      </c>
      <c r="Y401" t="n">
        <v>187</v>
      </c>
      <c r="Z401" t="n">
        <v>116</v>
      </c>
      <c r="AA401" t="n">
        <v>382</v>
      </c>
      <c r="AB401" t="n">
        <v>2</v>
      </c>
      <c r="AC401" t="n">
        <v>2</v>
      </c>
      <c r="AD401" t="n">
        <v>8</v>
      </c>
      <c r="AE401" t="n">
        <v>22</v>
      </c>
      <c r="AF401" t="n">
        <v>0</v>
      </c>
      <c r="AG401" t="n">
        <v>8</v>
      </c>
      <c r="AH401" t="n">
        <v>3</v>
      </c>
      <c r="AI401" t="n">
        <v>7</v>
      </c>
      <c r="AJ401" t="n">
        <v>6</v>
      </c>
      <c r="AK401" t="n">
        <v>13</v>
      </c>
      <c r="AL401" t="n">
        <v>1</v>
      </c>
      <c r="AM401" t="n">
        <v>1</v>
      </c>
      <c r="AN401" t="n">
        <v>0</v>
      </c>
      <c r="AO401" t="n">
        <v>0</v>
      </c>
      <c r="AP401" t="inlineStr">
        <is>
          <t>No</t>
        </is>
      </c>
      <c r="AQ401" t="inlineStr">
        <is>
          <t>Yes</t>
        </is>
      </c>
      <c r="AR401">
        <f>HYPERLINK("http://catalog.hathitrust.org/Record/000879066","HathiTrust Record")</f>
        <v/>
      </c>
      <c r="AS401">
        <f>HYPERLINK("https://creighton-primo.hosted.exlibrisgroup.com/primo-explore/search?tab=default_tab&amp;search_scope=EVERYTHING&amp;vid=01CRU&amp;lang=en_US&amp;offset=0&amp;query=any,contains,991004368399702656","Catalog Record")</f>
        <v/>
      </c>
      <c r="AT401">
        <f>HYPERLINK("http://www.worldcat.org/oclc/17624082","WorldCat Record")</f>
        <v/>
      </c>
      <c r="AU401" t="inlineStr">
        <is>
          <t>2973724302:grc</t>
        </is>
      </c>
      <c r="AV401" t="inlineStr">
        <is>
          <t>17624082</t>
        </is>
      </c>
      <c r="AW401" t="inlineStr">
        <is>
          <t>991004368399702656</t>
        </is>
      </c>
      <c r="AX401" t="inlineStr">
        <is>
          <t>991004368399702656</t>
        </is>
      </c>
      <c r="AY401" t="inlineStr">
        <is>
          <t>2263510500002656</t>
        </is>
      </c>
      <c r="AZ401" t="inlineStr">
        <is>
          <t>BOOK</t>
        </is>
      </c>
      <c r="BB401" t="inlineStr">
        <is>
          <t>9783322003591</t>
        </is>
      </c>
      <c r="BC401" t="inlineStr">
        <is>
          <t>32285004986120</t>
        </is>
      </c>
      <c r="BD401" t="inlineStr">
        <is>
          <t>893718826</t>
        </is>
      </c>
      <c r="BE401" t="inlineStr">
        <is>
          <t>Fajardo Acosta</t>
        </is>
      </c>
    </row>
    <row r="402">
      <c r="A402" t="inlineStr">
        <is>
          <t>No</t>
        </is>
      </c>
      <c r="B402" t="inlineStr">
        <is>
          <t>PA4002 .A2 1987</t>
        </is>
      </c>
      <c r="C402" t="inlineStr">
        <is>
          <t>0                      PA 4002000A  2           1987</t>
        </is>
      </c>
      <c r="D402" t="inlineStr">
        <is>
          <t>Herodoti Historiae / edidit Haiim B. Rosaen.</t>
        </is>
      </c>
      <c r="E402" t="inlineStr">
        <is>
          <t>V. 2</t>
        </is>
      </c>
      <c r="F402" t="inlineStr">
        <is>
          <t>Yes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K402" t="inlineStr">
        <is>
          <t>Herodotus.</t>
        </is>
      </c>
      <c r="L402" t="inlineStr">
        <is>
          <t>Leipzig : Teubner, 1987-</t>
        </is>
      </c>
      <c r="M402" t="inlineStr">
        <is>
          <t>1987</t>
        </is>
      </c>
      <c r="O402" t="inlineStr">
        <is>
          <t>grc</t>
        </is>
      </c>
      <c r="P402" t="inlineStr">
        <is>
          <t xml:space="preserve">gw </t>
        </is>
      </c>
      <c r="Q402" t="inlineStr">
        <is>
          <t>Bibliotheca scriptorum Graecorum et Romanorum Teubneriana, 0233-1160</t>
        </is>
      </c>
      <c r="R402" t="inlineStr">
        <is>
          <t xml:space="preserve">PA </t>
        </is>
      </c>
      <c r="S402" t="n">
        <v>1</v>
      </c>
      <c r="T402" t="n">
        <v>2</v>
      </c>
      <c r="U402" t="inlineStr">
        <is>
          <t>2004-09-09</t>
        </is>
      </c>
      <c r="V402" t="inlineStr">
        <is>
          <t>2004-09-09</t>
        </is>
      </c>
      <c r="W402" t="inlineStr">
        <is>
          <t>2004-09-09</t>
        </is>
      </c>
      <c r="X402" t="inlineStr">
        <is>
          <t>2004-09-09</t>
        </is>
      </c>
      <c r="Y402" t="n">
        <v>187</v>
      </c>
      <c r="Z402" t="n">
        <v>116</v>
      </c>
      <c r="AA402" t="n">
        <v>382</v>
      </c>
      <c r="AB402" t="n">
        <v>2</v>
      </c>
      <c r="AC402" t="n">
        <v>2</v>
      </c>
      <c r="AD402" t="n">
        <v>8</v>
      </c>
      <c r="AE402" t="n">
        <v>22</v>
      </c>
      <c r="AF402" t="n">
        <v>0</v>
      </c>
      <c r="AG402" t="n">
        <v>8</v>
      </c>
      <c r="AH402" t="n">
        <v>3</v>
      </c>
      <c r="AI402" t="n">
        <v>7</v>
      </c>
      <c r="AJ402" t="n">
        <v>6</v>
      </c>
      <c r="AK402" t="n">
        <v>13</v>
      </c>
      <c r="AL402" t="n">
        <v>1</v>
      </c>
      <c r="AM402" t="n">
        <v>1</v>
      </c>
      <c r="AN402" t="n">
        <v>0</v>
      </c>
      <c r="AO402" t="n">
        <v>0</v>
      </c>
      <c r="AP402" t="inlineStr">
        <is>
          <t>No</t>
        </is>
      </c>
      <c r="AQ402" t="inlineStr">
        <is>
          <t>Yes</t>
        </is>
      </c>
      <c r="AR402">
        <f>HYPERLINK("http://catalog.hathitrust.org/Record/000879066","HathiTrust Record")</f>
        <v/>
      </c>
      <c r="AS402">
        <f>HYPERLINK("https://creighton-primo.hosted.exlibrisgroup.com/primo-explore/search?tab=default_tab&amp;search_scope=EVERYTHING&amp;vid=01CRU&amp;lang=en_US&amp;offset=0&amp;query=any,contains,991004368399702656","Catalog Record")</f>
        <v/>
      </c>
      <c r="AT402">
        <f>HYPERLINK("http://www.worldcat.org/oclc/17624082","WorldCat Record")</f>
        <v/>
      </c>
      <c r="AU402" t="inlineStr">
        <is>
          <t>2973724302:grc</t>
        </is>
      </c>
      <c r="AV402" t="inlineStr">
        <is>
          <t>17624082</t>
        </is>
      </c>
      <c r="AW402" t="inlineStr">
        <is>
          <t>991004368399702656</t>
        </is>
      </c>
      <c r="AX402" t="inlineStr">
        <is>
          <t>991004368399702656</t>
        </is>
      </c>
      <c r="AY402" t="inlineStr">
        <is>
          <t>2263510500002656</t>
        </is>
      </c>
      <c r="AZ402" t="inlineStr">
        <is>
          <t>BOOK</t>
        </is>
      </c>
      <c r="BB402" t="inlineStr">
        <is>
          <t>9783322003591</t>
        </is>
      </c>
      <c r="BC402" t="inlineStr">
        <is>
          <t>32285004986138</t>
        </is>
      </c>
      <c r="BD402" t="inlineStr">
        <is>
          <t>893718825</t>
        </is>
      </c>
      <c r="BE402" t="inlineStr">
        <is>
          <t>Fajardo Acosta</t>
        </is>
      </c>
    </row>
    <row r="403">
      <c r="A403" t="inlineStr">
        <is>
          <t>No</t>
        </is>
      </c>
      <c r="B403" t="inlineStr">
        <is>
          <t>PA4002 .A37 1908</t>
        </is>
      </c>
      <c r="C403" t="inlineStr">
        <is>
          <t>0                      PA 4002000A  37          1908</t>
        </is>
      </c>
      <c r="D403" t="inlineStr">
        <is>
          <t>Herodotus, the seventh, eighth, &amp; ninth books : with introduction, text, apparatus, commentary, appendices, indices, maps / by Reginald Walter Macan.</t>
        </is>
      </c>
      <c r="E403" t="inlineStr">
        <is>
          <t>V.1 PT.1</t>
        </is>
      </c>
      <c r="F403" t="inlineStr">
        <is>
          <t>Yes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K403" t="inlineStr">
        <is>
          <t>Herodotus.</t>
        </is>
      </c>
      <c r="L403" t="inlineStr">
        <is>
          <t>London : Macmillan, 1908.</t>
        </is>
      </c>
      <c r="M403" t="inlineStr">
        <is>
          <t>1908</t>
        </is>
      </c>
      <c r="O403" t="inlineStr">
        <is>
          <t>eng</t>
        </is>
      </c>
      <c r="P403" t="inlineStr">
        <is>
          <t>enk</t>
        </is>
      </c>
      <c r="R403" t="inlineStr">
        <is>
          <t xml:space="preserve">PA </t>
        </is>
      </c>
      <c r="S403" t="n">
        <v>0</v>
      </c>
      <c r="T403" t="n">
        <v>2</v>
      </c>
      <c r="V403" t="inlineStr">
        <is>
          <t>2003-12-18</t>
        </is>
      </c>
      <c r="W403" t="inlineStr">
        <is>
          <t>1994-03-16</t>
        </is>
      </c>
      <c r="X403" t="inlineStr">
        <is>
          <t>1994-03-16</t>
        </is>
      </c>
      <c r="Y403" t="n">
        <v>142</v>
      </c>
      <c r="Z403" t="n">
        <v>106</v>
      </c>
      <c r="AA403" t="n">
        <v>189</v>
      </c>
      <c r="AB403" t="n">
        <v>2</v>
      </c>
      <c r="AC403" t="n">
        <v>2</v>
      </c>
      <c r="AD403" t="n">
        <v>7</v>
      </c>
      <c r="AE403" t="n">
        <v>11</v>
      </c>
      <c r="AF403" t="n">
        <v>1</v>
      </c>
      <c r="AG403" t="n">
        <v>4</v>
      </c>
      <c r="AH403" t="n">
        <v>1</v>
      </c>
      <c r="AI403" t="n">
        <v>2</v>
      </c>
      <c r="AJ403" t="n">
        <v>6</v>
      </c>
      <c r="AK403" t="n">
        <v>10</v>
      </c>
      <c r="AL403" t="n">
        <v>1</v>
      </c>
      <c r="AM403" t="n">
        <v>1</v>
      </c>
      <c r="AN403" t="n">
        <v>0</v>
      </c>
      <c r="AO403" t="n">
        <v>0</v>
      </c>
      <c r="AP403" t="inlineStr">
        <is>
          <t>Yes</t>
        </is>
      </c>
      <c r="AQ403" t="inlineStr">
        <is>
          <t>No</t>
        </is>
      </c>
      <c r="AR403">
        <f>HYPERLINK("http://catalog.hathitrust.org/Record/008640838","HathiTrust Record")</f>
        <v/>
      </c>
      <c r="AS403">
        <f>HYPERLINK("https://creighton-primo.hosted.exlibrisgroup.com/primo-explore/search?tab=default_tab&amp;search_scope=EVERYTHING&amp;vid=01CRU&amp;lang=en_US&amp;offset=0&amp;query=any,contains,991004174419702656","Catalog Record")</f>
        <v/>
      </c>
      <c r="AT403">
        <f>HYPERLINK("http://www.worldcat.org/oclc/2593138","WorldCat Record")</f>
        <v/>
      </c>
      <c r="AU403" t="inlineStr">
        <is>
          <t>3374883482:eng</t>
        </is>
      </c>
      <c r="AV403" t="inlineStr">
        <is>
          <t>2593138</t>
        </is>
      </c>
      <c r="AW403" t="inlineStr">
        <is>
          <t>991004174419702656</t>
        </is>
      </c>
      <c r="AX403" t="inlineStr">
        <is>
          <t>991004174419702656</t>
        </is>
      </c>
      <c r="AY403" t="inlineStr">
        <is>
          <t>2267880120002656</t>
        </is>
      </c>
      <c r="AZ403" t="inlineStr">
        <is>
          <t>BOOK</t>
        </is>
      </c>
      <c r="BC403" t="inlineStr">
        <is>
          <t>32285001853687</t>
        </is>
      </c>
      <c r="BD403" t="inlineStr">
        <is>
          <t>893318884</t>
        </is>
      </c>
      <c r="BE403" t="inlineStr">
        <is>
          <t>Fajardo Acosta</t>
        </is>
      </c>
    </row>
    <row r="404">
      <c r="A404" t="inlineStr">
        <is>
          <t>No</t>
        </is>
      </c>
      <c r="B404" t="inlineStr">
        <is>
          <t>PA4002 .A37 1908</t>
        </is>
      </c>
      <c r="C404" t="inlineStr">
        <is>
          <t>0                      PA 4002000A  37          1908</t>
        </is>
      </c>
      <c r="D404" t="inlineStr">
        <is>
          <t>Herodotus, the seventh, eighth, &amp; ninth books : with introduction, text, apparatus, commentary, appendices, indices, maps / by Reginald Walter Macan.</t>
        </is>
      </c>
      <c r="E404" t="inlineStr">
        <is>
          <t>V.2</t>
        </is>
      </c>
      <c r="F404" t="inlineStr">
        <is>
          <t>Yes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Herodotus.</t>
        </is>
      </c>
      <c r="L404" t="inlineStr">
        <is>
          <t>London : Macmillan, 1908.</t>
        </is>
      </c>
      <c r="M404" t="inlineStr">
        <is>
          <t>1908</t>
        </is>
      </c>
      <c r="O404" t="inlineStr">
        <is>
          <t>eng</t>
        </is>
      </c>
      <c r="P404" t="inlineStr">
        <is>
          <t>enk</t>
        </is>
      </c>
      <c r="R404" t="inlineStr">
        <is>
          <t xml:space="preserve">PA </t>
        </is>
      </c>
      <c r="S404" t="n">
        <v>1</v>
      </c>
      <c r="T404" t="n">
        <v>2</v>
      </c>
      <c r="U404" t="inlineStr">
        <is>
          <t>2003-12-18</t>
        </is>
      </c>
      <c r="V404" t="inlineStr">
        <is>
          <t>2003-12-18</t>
        </is>
      </c>
      <c r="W404" t="inlineStr">
        <is>
          <t>1994-03-16</t>
        </is>
      </c>
      <c r="X404" t="inlineStr">
        <is>
          <t>1994-03-16</t>
        </is>
      </c>
      <c r="Y404" t="n">
        <v>142</v>
      </c>
      <c r="Z404" t="n">
        <v>106</v>
      </c>
      <c r="AA404" t="n">
        <v>189</v>
      </c>
      <c r="AB404" t="n">
        <v>2</v>
      </c>
      <c r="AC404" t="n">
        <v>2</v>
      </c>
      <c r="AD404" t="n">
        <v>7</v>
      </c>
      <c r="AE404" t="n">
        <v>11</v>
      </c>
      <c r="AF404" t="n">
        <v>1</v>
      </c>
      <c r="AG404" t="n">
        <v>4</v>
      </c>
      <c r="AH404" t="n">
        <v>1</v>
      </c>
      <c r="AI404" t="n">
        <v>2</v>
      </c>
      <c r="AJ404" t="n">
        <v>6</v>
      </c>
      <c r="AK404" t="n">
        <v>10</v>
      </c>
      <c r="AL404" t="n">
        <v>1</v>
      </c>
      <c r="AM404" t="n">
        <v>1</v>
      </c>
      <c r="AN404" t="n">
        <v>0</v>
      </c>
      <c r="AO404" t="n">
        <v>0</v>
      </c>
      <c r="AP404" t="inlineStr">
        <is>
          <t>Yes</t>
        </is>
      </c>
      <c r="AQ404" t="inlineStr">
        <is>
          <t>No</t>
        </is>
      </c>
      <c r="AR404">
        <f>HYPERLINK("http://catalog.hathitrust.org/Record/008640838","HathiTrust Record")</f>
        <v/>
      </c>
      <c r="AS404">
        <f>HYPERLINK("https://creighton-primo.hosted.exlibrisgroup.com/primo-explore/search?tab=default_tab&amp;search_scope=EVERYTHING&amp;vid=01CRU&amp;lang=en_US&amp;offset=0&amp;query=any,contains,991004174419702656","Catalog Record")</f>
        <v/>
      </c>
      <c r="AT404">
        <f>HYPERLINK("http://www.worldcat.org/oclc/2593138","WorldCat Record")</f>
        <v/>
      </c>
      <c r="AU404" t="inlineStr">
        <is>
          <t>3374883482:eng</t>
        </is>
      </c>
      <c r="AV404" t="inlineStr">
        <is>
          <t>2593138</t>
        </is>
      </c>
      <c r="AW404" t="inlineStr">
        <is>
          <t>991004174419702656</t>
        </is>
      </c>
      <c r="AX404" t="inlineStr">
        <is>
          <t>991004174419702656</t>
        </is>
      </c>
      <c r="AY404" t="inlineStr">
        <is>
          <t>2267880120002656</t>
        </is>
      </c>
      <c r="AZ404" t="inlineStr">
        <is>
          <t>BOOK</t>
        </is>
      </c>
      <c r="BC404" t="inlineStr">
        <is>
          <t>32285001853703</t>
        </is>
      </c>
      <c r="BD404" t="inlineStr">
        <is>
          <t>893325025</t>
        </is>
      </c>
      <c r="BE404" t="inlineStr">
        <is>
          <t>Fajardo Acosta</t>
        </is>
      </c>
    </row>
    <row r="405">
      <c r="A405" t="inlineStr">
        <is>
          <t>No</t>
        </is>
      </c>
      <c r="B405" t="inlineStr">
        <is>
          <t>PA4002 .A37 1908</t>
        </is>
      </c>
      <c r="C405" t="inlineStr">
        <is>
          <t>0                      PA 4002000A  37          1908</t>
        </is>
      </c>
      <c r="D405" t="inlineStr">
        <is>
          <t>Herodotus, the seventh, eighth, &amp; ninth books : with introduction, text, apparatus, commentary, appendices, indices, maps / by Reginald Walter Macan.</t>
        </is>
      </c>
      <c r="E405" t="inlineStr">
        <is>
          <t>V.1 PT.2</t>
        </is>
      </c>
      <c r="F405" t="inlineStr">
        <is>
          <t>Yes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K405" t="inlineStr">
        <is>
          <t>Herodotus.</t>
        </is>
      </c>
      <c r="L405" t="inlineStr">
        <is>
          <t>London : Macmillan, 1908.</t>
        </is>
      </c>
      <c r="M405" t="inlineStr">
        <is>
          <t>1908</t>
        </is>
      </c>
      <c r="O405" t="inlineStr">
        <is>
          <t>eng</t>
        </is>
      </c>
      <c r="P405" t="inlineStr">
        <is>
          <t>enk</t>
        </is>
      </c>
      <c r="R405" t="inlineStr">
        <is>
          <t xml:space="preserve">PA </t>
        </is>
      </c>
      <c r="S405" t="n">
        <v>1</v>
      </c>
      <c r="T405" t="n">
        <v>2</v>
      </c>
      <c r="U405" t="inlineStr">
        <is>
          <t>2001-12-13</t>
        </is>
      </c>
      <c r="V405" t="inlineStr">
        <is>
          <t>2003-12-18</t>
        </is>
      </c>
      <c r="W405" t="inlineStr">
        <is>
          <t>1994-03-16</t>
        </is>
      </c>
      <c r="X405" t="inlineStr">
        <is>
          <t>1994-03-16</t>
        </is>
      </c>
      <c r="Y405" t="n">
        <v>142</v>
      </c>
      <c r="Z405" t="n">
        <v>106</v>
      </c>
      <c r="AA405" t="n">
        <v>189</v>
      </c>
      <c r="AB405" t="n">
        <v>2</v>
      </c>
      <c r="AC405" t="n">
        <v>2</v>
      </c>
      <c r="AD405" t="n">
        <v>7</v>
      </c>
      <c r="AE405" t="n">
        <v>11</v>
      </c>
      <c r="AF405" t="n">
        <v>1</v>
      </c>
      <c r="AG405" t="n">
        <v>4</v>
      </c>
      <c r="AH405" t="n">
        <v>1</v>
      </c>
      <c r="AI405" t="n">
        <v>2</v>
      </c>
      <c r="AJ405" t="n">
        <v>6</v>
      </c>
      <c r="AK405" t="n">
        <v>10</v>
      </c>
      <c r="AL405" t="n">
        <v>1</v>
      </c>
      <c r="AM405" t="n">
        <v>1</v>
      </c>
      <c r="AN405" t="n">
        <v>0</v>
      </c>
      <c r="AO405" t="n">
        <v>0</v>
      </c>
      <c r="AP405" t="inlineStr">
        <is>
          <t>Yes</t>
        </is>
      </c>
      <c r="AQ405" t="inlineStr">
        <is>
          <t>No</t>
        </is>
      </c>
      <c r="AR405">
        <f>HYPERLINK("http://catalog.hathitrust.org/Record/008640838","HathiTrust Record")</f>
        <v/>
      </c>
      <c r="AS405">
        <f>HYPERLINK("https://creighton-primo.hosted.exlibrisgroup.com/primo-explore/search?tab=default_tab&amp;search_scope=EVERYTHING&amp;vid=01CRU&amp;lang=en_US&amp;offset=0&amp;query=any,contains,991004174419702656","Catalog Record")</f>
        <v/>
      </c>
      <c r="AT405">
        <f>HYPERLINK("http://www.worldcat.org/oclc/2593138","WorldCat Record")</f>
        <v/>
      </c>
      <c r="AU405" t="inlineStr">
        <is>
          <t>3374883482:eng</t>
        </is>
      </c>
      <c r="AV405" t="inlineStr">
        <is>
          <t>2593138</t>
        </is>
      </c>
      <c r="AW405" t="inlineStr">
        <is>
          <t>991004174419702656</t>
        </is>
      </c>
      <c r="AX405" t="inlineStr">
        <is>
          <t>991004174419702656</t>
        </is>
      </c>
      <c r="AY405" t="inlineStr">
        <is>
          <t>2267880120002656</t>
        </is>
      </c>
      <c r="AZ405" t="inlineStr">
        <is>
          <t>BOOK</t>
        </is>
      </c>
      <c r="BC405" t="inlineStr">
        <is>
          <t>32285001853695</t>
        </is>
      </c>
      <c r="BD405" t="inlineStr">
        <is>
          <t>893337401</t>
        </is>
      </c>
      <c r="BE405" t="inlineStr">
        <is>
          <t>Fajardo Acosta</t>
        </is>
      </c>
    </row>
    <row r="406">
      <c r="A406" t="inlineStr">
        <is>
          <t>No</t>
        </is>
      </c>
      <c r="B406" t="inlineStr">
        <is>
          <t>PA4002.A32 L6</t>
        </is>
      </c>
      <c r="C406" t="inlineStr">
        <is>
          <t>0                      PA 4002000A  32                 L  6</t>
        </is>
      </c>
      <c r="D406" t="inlineStr">
        <is>
          <t>Herodotus, book II / Alan B. Lloyd.</t>
        </is>
      </c>
      <c r="E406" t="inlineStr">
        <is>
          <t>V.2</t>
        </is>
      </c>
      <c r="F406" t="inlineStr">
        <is>
          <t>Yes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Lloyd, Alan B.</t>
        </is>
      </c>
      <c r="L406" t="inlineStr">
        <is>
          <t>Leiden : E. J. Brill, 1975-1988.</t>
        </is>
      </c>
      <c r="M406" t="inlineStr">
        <is>
          <t>1975</t>
        </is>
      </c>
      <c r="O406" t="inlineStr">
        <is>
          <t>eng</t>
        </is>
      </c>
      <c r="P406" t="inlineStr">
        <is>
          <t xml:space="preserve">ne </t>
        </is>
      </c>
      <c r="Q406" t="inlineStr">
        <is>
          <t>Etudes préliminaires aux religions orientales dans l'Empire romain ; t. 43</t>
        </is>
      </c>
      <c r="R406" t="inlineStr">
        <is>
          <t xml:space="preserve">PA </t>
        </is>
      </c>
      <c r="S406" t="n">
        <v>2</v>
      </c>
      <c r="T406" t="n">
        <v>5</v>
      </c>
      <c r="U406" t="inlineStr">
        <is>
          <t>2001-11-19</t>
        </is>
      </c>
      <c r="V406" t="inlineStr">
        <is>
          <t>2010-11-18</t>
        </is>
      </c>
      <c r="W406" t="inlineStr">
        <is>
          <t>1995-07-14</t>
        </is>
      </c>
      <c r="X406" t="inlineStr">
        <is>
          <t>1995-07-14</t>
        </is>
      </c>
      <c r="Y406" t="n">
        <v>312</v>
      </c>
      <c r="Z406" t="n">
        <v>223</v>
      </c>
      <c r="AA406" t="n">
        <v>238</v>
      </c>
      <c r="AB406" t="n">
        <v>2</v>
      </c>
      <c r="AC406" t="n">
        <v>2</v>
      </c>
      <c r="AD406" t="n">
        <v>11</v>
      </c>
      <c r="AE406" t="n">
        <v>11</v>
      </c>
      <c r="AF406" t="n">
        <v>2</v>
      </c>
      <c r="AG406" t="n">
        <v>2</v>
      </c>
      <c r="AH406" t="n">
        <v>3</v>
      </c>
      <c r="AI406" t="n">
        <v>3</v>
      </c>
      <c r="AJ406" t="n">
        <v>9</v>
      </c>
      <c r="AK406" t="n">
        <v>9</v>
      </c>
      <c r="AL406" t="n">
        <v>1</v>
      </c>
      <c r="AM406" t="n">
        <v>1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HYPERLINK("http://catalog.hathitrust.org/Record/001099396","HathiTrust Record")</f>
        <v/>
      </c>
      <c r="AS406">
        <f>HYPERLINK("https://creighton-primo.hosted.exlibrisgroup.com/primo-explore/search?tab=default_tab&amp;search_scope=EVERYTHING&amp;vid=01CRU&amp;lang=en_US&amp;offset=0&amp;query=any,contains,991003872429702656","Catalog Record")</f>
        <v/>
      </c>
      <c r="AT406">
        <f>HYPERLINK("http://www.worldcat.org/oclc/1694711","WorldCat Record")</f>
        <v/>
      </c>
      <c r="AU406" t="inlineStr">
        <is>
          <t>3856998798:eng</t>
        </is>
      </c>
      <c r="AV406" t="inlineStr">
        <is>
          <t>1694711</t>
        </is>
      </c>
      <c r="AW406" t="inlineStr">
        <is>
          <t>991003872429702656</t>
        </is>
      </c>
      <c r="AX406" t="inlineStr">
        <is>
          <t>991003872429702656</t>
        </is>
      </c>
      <c r="AY406" t="inlineStr">
        <is>
          <t>2256665020002656</t>
        </is>
      </c>
      <c r="AZ406" t="inlineStr">
        <is>
          <t>BOOK</t>
        </is>
      </c>
      <c r="BB406" t="inlineStr">
        <is>
          <t>9789004041790</t>
        </is>
      </c>
      <c r="BC406" t="inlineStr">
        <is>
          <t>32285002060860</t>
        </is>
      </c>
      <c r="BD406" t="inlineStr">
        <is>
          <t>893441863</t>
        </is>
      </c>
      <c r="BE406" t="inlineStr">
        <is>
          <t>Fajardo Acosta</t>
        </is>
      </c>
    </row>
    <row r="407">
      <c r="A407" t="inlineStr">
        <is>
          <t>No</t>
        </is>
      </c>
      <c r="B407" t="inlineStr">
        <is>
          <t>PA4004 .G6 1969</t>
        </is>
      </c>
      <c r="C407" t="inlineStr">
        <is>
          <t>0                      PA 4004000G  6           1969</t>
        </is>
      </c>
      <c r="D407" t="inlineStr">
        <is>
          <t>Herodotus.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K407" t="inlineStr">
        <is>
          <t>Glover, T. R. (Terrot Reaveley), 1869-1943.</t>
        </is>
      </c>
      <c r="L407" t="inlineStr">
        <is>
          <t>Freeport, N.Y. : Books for Libraries Press, [1969]</t>
        </is>
      </c>
      <c r="M407" t="inlineStr">
        <is>
          <t>1969</t>
        </is>
      </c>
      <c r="O407" t="inlineStr">
        <is>
          <t>eng</t>
        </is>
      </c>
      <c r="P407" t="inlineStr">
        <is>
          <t>nyu</t>
        </is>
      </c>
      <c r="Q407" t="inlineStr">
        <is>
          <t>Select bibliographies reprint series</t>
        </is>
      </c>
      <c r="R407" t="inlineStr">
        <is>
          <t xml:space="preserve">PA </t>
        </is>
      </c>
      <c r="S407" t="n">
        <v>5</v>
      </c>
      <c r="T407" t="n">
        <v>5</v>
      </c>
      <c r="U407" t="inlineStr">
        <is>
          <t>2005-06-27</t>
        </is>
      </c>
      <c r="V407" t="inlineStr">
        <is>
          <t>2005-06-27</t>
        </is>
      </c>
      <c r="W407" t="inlineStr">
        <is>
          <t>1991-12-02</t>
        </is>
      </c>
      <c r="X407" t="inlineStr">
        <is>
          <t>1991-12-02</t>
        </is>
      </c>
      <c r="Y407" t="n">
        <v>238</v>
      </c>
      <c r="Z407" t="n">
        <v>229</v>
      </c>
      <c r="AA407" t="n">
        <v>512</v>
      </c>
      <c r="AB407" t="n">
        <v>3</v>
      </c>
      <c r="AC407" t="n">
        <v>4</v>
      </c>
      <c r="AD407" t="n">
        <v>10</v>
      </c>
      <c r="AE407" t="n">
        <v>22</v>
      </c>
      <c r="AF407" t="n">
        <v>6</v>
      </c>
      <c r="AG407" t="n">
        <v>8</v>
      </c>
      <c r="AH407" t="n">
        <v>2</v>
      </c>
      <c r="AI407" t="n">
        <v>3</v>
      </c>
      <c r="AJ407" t="n">
        <v>2</v>
      </c>
      <c r="AK407" t="n">
        <v>13</v>
      </c>
      <c r="AL407" t="n">
        <v>2</v>
      </c>
      <c r="AM407" t="n">
        <v>3</v>
      </c>
      <c r="AN407" t="n">
        <v>0</v>
      </c>
      <c r="AO407" t="n">
        <v>0</v>
      </c>
      <c r="AP407" t="inlineStr">
        <is>
          <t>No</t>
        </is>
      </c>
      <c r="AQ407" t="inlineStr">
        <is>
          <t>No</t>
        </is>
      </c>
      <c r="AS407">
        <f>HYPERLINK("https://creighton-primo.hosted.exlibrisgroup.com/primo-explore/search?tab=default_tab&amp;search_scope=EVERYTHING&amp;vid=01CRU&amp;lang=en_US&amp;offset=0&amp;query=any,contains,991000106379702656","Catalog Record")</f>
        <v/>
      </c>
      <c r="AT407">
        <f>HYPERLINK("http://www.worldcat.org/oclc/46562","WorldCat Record")</f>
        <v/>
      </c>
      <c r="AU407" t="inlineStr">
        <is>
          <t>4918307081:eng</t>
        </is>
      </c>
      <c r="AV407" t="inlineStr">
        <is>
          <t>46562</t>
        </is>
      </c>
      <c r="AW407" t="inlineStr">
        <is>
          <t>991000106379702656</t>
        </is>
      </c>
      <c r="AX407" t="inlineStr">
        <is>
          <t>991000106379702656</t>
        </is>
      </c>
      <c r="AY407" t="inlineStr">
        <is>
          <t>2261844270002656</t>
        </is>
      </c>
      <c r="AZ407" t="inlineStr">
        <is>
          <t>BOOK</t>
        </is>
      </c>
      <c r="BB407" t="inlineStr">
        <is>
          <t>9780836950908</t>
        </is>
      </c>
      <c r="BC407" t="inlineStr">
        <is>
          <t>32285000844653</t>
        </is>
      </c>
      <c r="BD407" t="inlineStr">
        <is>
          <t>893515004</t>
        </is>
      </c>
      <c r="BE407" t="inlineStr">
        <is>
          <t>Fajardo Acosta</t>
        </is>
      </c>
    </row>
    <row r="408">
      <c r="A408" t="inlineStr">
        <is>
          <t>No</t>
        </is>
      </c>
      <c r="B408" t="inlineStr">
        <is>
          <t>PA4004 .H6 1928</t>
        </is>
      </c>
      <c r="C408" t="inlineStr">
        <is>
          <t>0                      PA 4004000H  6           1928</t>
        </is>
      </c>
      <c r="D408" t="inlineStr">
        <is>
          <t>A commentary on Herodotus / with introduction and appendixes, by W. W. How and J. Wells.</t>
        </is>
      </c>
      <c r="E408" t="inlineStr">
        <is>
          <t>V.2</t>
        </is>
      </c>
      <c r="F408" t="inlineStr">
        <is>
          <t>Yes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How, W. W. (Walter Wybergh), 1861-1932.</t>
        </is>
      </c>
      <c r="L408" t="inlineStr">
        <is>
          <t>Oxford : Clarendon Press, [1928]</t>
        </is>
      </c>
      <c r="M408" t="inlineStr">
        <is>
          <t>1928</t>
        </is>
      </c>
      <c r="N408" t="inlineStr">
        <is>
          <t>Corrected impression.</t>
        </is>
      </c>
      <c r="O408" t="inlineStr">
        <is>
          <t>eng</t>
        </is>
      </c>
      <c r="P408" t="inlineStr">
        <is>
          <t>enk</t>
        </is>
      </c>
      <c r="R408" t="inlineStr">
        <is>
          <t xml:space="preserve">PA </t>
        </is>
      </c>
      <c r="S408" t="n">
        <v>7</v>
      </c>
      <c r="T408" t="n">
        <v>19</v>
      </c>
      <c r="U408" t="inlineStr">
        <is>
          <t>2003-12-18</t>
        </is>
      </c>
      <c r="V408" t="inlineStr">
        <is>
          <t>2010-12-15</t>
        </is>
      </c>
      <c r="W408" t="inlineStr">
        <is>
          <t>1991-12-09</t>
        </is>
      </c>
      <c r="X408" t="inlineStr">
        <is>
          <t>1993-04-12</t>
        </is>
      </c>
      <c r="Y408" t="n">
        <v>240</v>
      </c>
      <c r="Z408" t="n">
        <v>216</v>
      </c>
      <c r="AA408" t="n">
        <v>532</v>
      </c>
      <c r="AB408" t="n">
        <v>1</v>
      </c>
      <c r="AC408" t="n">
        <v>3</v>
      </c>
      <c r="AD408" t="n">
        <v>18</v>
      </c>
      <c r="AE408" t="n">
        <v>35</v>
      </c>
      <c r="AF408" t="n">
        <v>9</v>
      </c>
      <c r="AG408" t="n">
        <v>15</v>
      </c>
      <c r="AH408" t="n">
        <v>5</v>
      </c>
      <c r="AI408" t="n">
        <v>8</v>
      </c>
      <c r="AJ408" t="n">
        <v>11</v>
      </c>
      <c r="AK408" t="n">
        <v>21</v>
      </c>
      <c r="AL408" t="n">
        <v>0</v>
      </c>
      <c r="AM408" t="n">
        <v>2</v>
      </c>
      <c r="AN408" t="n">
        <v>0</v>
      </c>
      <c r="AO408" t="n">
        <v>0</v>
      </c>
      <c r="AP408" t="inlineStr">
        <is>
          <t>No</t>
        </is>
      </c>
      <c r="AQ408" t="inlineStr">
        <is>
          <t>No</t>
        </is>
      </c>
      <c r="AS408">
        <f>HYPERLINK("https://creighton-primo.hosted.exlibrisgroup.com/primo-explore/search?tab=default_tab&amp;search_scope=EVERYTHING&amp;vid=01CRU&amp;lang=en_US&amp;offset=0&amp;query=any,contains,991002274619702656","Catalog Record")</f>
        <v/>
      </c>
      <c r="AT408">
        <f>HYPERLINK("http://www.worldcat.org/oclc/309973","WorldCat Record")</f>
        <v/>
      </c>
      <c r="AU408" t="inlineStr">
        <is>
          <t>3372558446:eng</t>
        </is>
      </c>
      <c r="AV408" t="inlineStr">
        <is>
          <t>309973</t>
        </is>
      </c>
      <c r="AW408" t="inlineStr">
        <is>
          <t>991002274619702656</t>
        </is>
      </c>
      <c r="AX408" t="inlineStr">
        <is>
          <t>991002274619702656</t>
        </is>
      </c>
      <c r="AY408" t="inlineStr">
        <is>
          <t>2264647900002656</t>
        </is>
      </c>
      <c r="AZ408" t="inlineStr">
        <is>
          <t>BOOK</t>
        </is>
      </c>
      <c r="BC408" t="inlineStr">
        <is>
          <t>32285000848787</t>
        </is>
      </c>
      <c r="BD408" t="inlineStr">
        <is>
          <t>893517095</t>
        </is>
      </c>
      <c r="BE408" t="inlineStr">
        <is>
          <t>Fajardo Acosta</t>
        </is>
      </c>
    </row>
    <row r="409">
      <c r="A409" t="inlineStr">
        <is>
          <t>No</t>
        </is>
      </c>
      <c r="B409" t="inlineStr">
        <is>
          <t>PA4019 .A2 1931</t>
        </is>
      </c>
      <c r="C409" t="inlineStr">
        <is>
          <t>0                      PA 4019000A  2           1931</t>
        </is>
      </c>
      <c r="D409" t="inlineStr">
        <is>
          <t>Homeri Ilias / edidit Thomas W. Allen.</t>
        </is>
      </c>
      <c r="E409" t="inlineStr">
        <is>
          <t>V.3</t>
        </is>
      </c>
      <c r="F409" t="inlineStr">
        <is>
          <t>Yes</t>
        </is>
      </c>
      <c r="G409" t="inlineStr">
        <is>
          <t>1</t>
        </is>
      </c>
      <c r="H409" t="inlineStr">
        <is>
          <t>No</t>
        </is>
      </c>
      <c r="I409" t="inlineStr">
        <is>
          <t>Yes</t>
        </is>
      </c>
      <c r="J409" t="inlineStr">
        <is>
          <t>0</t>
        </is>
      </c>
      <c r="K409" t="inlineStr">
        <is>
          <t>Homer.</t>
        </is>
      </c>
      <c r="L409" t="inlineStr">
        <is>
          <t>Oxonii : e typographeo Clarendoniano, 1931.</t>
        </is>
      </c>
      <c r="M409" t="inlineStr">
        <is>
          <t>1931</t>
        </is>
      </c>
      <c r="O409" t="inlineStr">
        <is>
          <t>grc</t>
        </is>
      </c>
      <c r="P409" t="inlineStr">
        <is>
          <t>enk</t>
        </is>
      </c>
      <c r="R409" t="inlineStr">
        <is>
          <t xml:space="preserve">PA </t>
        </is>
      </c>
      <c r="S409" t="n">
        <v>1</v>
      </c>
      <c r="T409" t="n">
        <v>3</v>
      </c>
      <c r="U409" t="inlineStr">
        <is>
          <t>1997-10-30</t>
        </is>
      </c>
      <c r="V409" t="inlineStr">
        <is>
          <t>1997-10-30</t>
        </is>
      </c>
      <c r="W409" t="inlineStr">
        <is>
          <t>1997-09-03</t>
        </is>
      </c>
      <c r="X409" t="inlineStr">
        <is>
          <t>1997-09-03</t>
        </is>
      </c>
      <c r="Y409" t="n">
        <v>133</v>
      </c>
      <c r="Z409" t="n">
        <v>88</v>
      </c>
      <c r="AA409" t="n">
        <v>469</v>
      </c>
      <c r="AB409" t="n">
        <v>2</v>
      </c>
      <c r="AC409" t="n">
        <v>3</v>
      </c>
      <c r="AD409" t="n">
        <v>6</v>
      </c>
      <c r="AE409" t="n">
        <v>32</v>
      </c>
      <c r="AF409" t="n">
        <v>2</v>
      </c>
      <c r="AG409" t="n">
        <v>11</v>
      </c>
      <c r="AH409" t="n">
        <v>0</v>
      </c>
      <c r="AI409" t="n">
        <v>9</v>
      </c>
      <c r="AJ409" t="n">
        <v>5</v>
      </c>
      <c r="AK409" t="n">
        <v>17</v>
      </c>
      <c r="AL409" t="n">
        <v>1</v>
      </c>
      <c r="AM409" t="n">
        <v>2</v>
      </c>
      <c r="AN409" t="n">
        <v>0</v>
      </c>
      <c r="AO409" t="n">
        <v>1</v>
      </c>
      <c r="AP409" t="inlineStr">
        <is>
          <t>No</t>
        </is>
      </c>
      <c r="AQ409" t="inlineStr">
        <is>
          <t>Yes</t>
        </is>
      </c>
      <c r="AR409">
        <f>HYPERLINK("http://catalog.hathitrust.org/Record/001222910","HathiTrust Record")</f>
        <v/>
      </c>
      <c r="AS409">
        <f>HYPERLINK("https://creighton-primo.hosted.exlibrisgroup.com/primo-explore/search?tab=default_tab&amp;search_scope=EVERYTHING&amp;vid=01CRU&amp;lang=en_US&amp;offset=0&amp;query=any,contains,991000167019702656","Catalog Record")</f>
        <v/>
      </c>
      <c r="AT409">
        <f>HYPERLINK("http://www.worldcat.org/oclc/9292080","WorldCat Record")</f>
        <v/>
      </c>
      <c r="AU409" t="inlineStr">
        <is>
          <t>4757691101:grc</t>
        </is>
      </c>
      <c r="AV409" t="inlineStr">
        <is>
          <t>9292080</t>
        </is>
      </c>
      <c r="AW409" t="inlineStr">
        <is>
          <t>991000167019702656</t>
        </is>
      </c>
      <c r="AX409" t="inlineStr">
        <is>
          <t>991000167019702656</t>
        </is>
      </c>
      <c r="AY409" t="inlineStr">
        <is>
          <t>2263148290002656</t>
        </is>
      </c>
      <c r="AZ409" t="inlineStr">
        <is>
          <t>BOOK</t>
        </is>
      </c>
      <c r="BC409" t="inlineStr">
        <is>
          <t>32285003182648</t>
        </is>
      </c>
      <c r="BD409" t="inlineStr">
        <is>
          <t>893714381</t>
        </is>
      </c>
      <c r="BE409" t="inlineStr">
        <is>
          <t>Fajardo Acosta</t>
        </is>
      </c>
    </row>
    <row r="410">
      <c r="A410" t="inlineStr">
        <is>
          <t>No</t>
        </is>
      </c>
      <c r="B410" t="inlineStr">
        <is>
          <t>PA4019 .A2 1931</t>
        </is>
      </c>
      <c r="C410" t="inlineStr">
        <is>
          <t>0                      PA 4019000A  2           1931</t>
        </is>
      </c>
      <c r="D410" t="inlineStr">
        <is>
          <t>Homeri Ilias / edidit Thomas W. Allen.</t>
        </is>
      </c>
      <c r="E410" t="inlineStr">
        <is>
          <t>V.1</t>
        </is>
      </c>
      <c r="F410" t="inlineStr">
        <is>
          <t>Yes</t>
        </is>
      </c>
      <c r="G410" t="inlineStr">
        <is>
          <t>1</t>
        </is>
      </c>
      <c r="H410" t="inlineStr">
        <is>
          <t>No</t>
        </is>
      </c>
      <c r="I410" t="inlineStr">
        <is>
          <t>Yes</t>
        </is>
      </c>
      <c r="J410" t="inlineStr">
        <is>
          <t>0</t>
        </is>
      </c>
      <c r="K410" t="inlineStr">
        <is>
          <t>Homer.</t>
        </is>
      </c>
      <c r="L410" t="inlineStr">
        <is>
          <t>Oxonii : e typographeo Clarendoniano, 1931.</t>
        </is>
      </c>
      <c r="M410" t="inlineStr">
        <is>
          <t>1931</t>
        </is>
      </c>
      <c r="O410" t="inlineStr">
        <is>
          <t>grc</t>
        </is>
      </c>
      <c r="P410" t="inlineStr">
        <is>
          <t>enk</t>
        </is>
      </c>
      <c r="R410" t="inlineStr">
        <is>
          <t xml:space="preserve">PA </t>
        </is>
      </c>
      <c r="S410" t="n">
        <v>1</v>
      </c>
      <c r="T410" t="n">
        <v>3</v>
      </c>
      <c r="U410" t="inlineStr">
        <is>
          <t>1997-10-30</t>
        </is>
      </c>
      <c r="V410" t="inlineStr">
        <is>
          <t>1997-10-30</t>
        </is>
      </c>
      <c r="W410" t="inlineStr">
        <is>
          <t>1997-09-03</t>
        </is>
      </c>
      <c r="X410" t="inlineStr">
        <is>
          <t>1997-09-03</t>
        </is>
      </c>
      <c r="Y410" t="n">
        <v>133</v>
      </c>
      <c r="Z410" t="n">
        <v>88</v>
      </c>
      <c r="AA410" t="n">
        <v>469</v>
      </c>
      <c r="AB410" t="n">
        <v>2</v>
      </c>
      <c r="AC410" t="n">
        <v>3</v>
      </c>
      <c r="AD410" t="n">
        <v>6</v>
      </c>
      <c r="AE410" t="n">
        <v>32</v>
      </c>
      <c r="AF410" t="n">
        <v>2</v>
      </c>
      <c r="AG410" t="n">
        <v>11</v>
      </c>
      <c r="AH410" t="n">
        <v>0</v>
      </c>
      <c r="AI410" t="n">
        <v>9</v>
      </c>
      <c r="AJ410" t="n">
        <v>5</v>
      </c>
      <c r="AK410" t="n">
        <v>17</v>
      </c>
      <c r="AL410" t="n">
        <v>1</v>
      </c>
      <c r="AM410" t="n">
        <v>2</v>
      </c>
      <c r="AN410" t="n">
        <v>0</v>
      </c>
      <c r="AO410" t="n">
        <v>1</v>
      </c>
      <c r="AP410" t="inlineStr">
        <is>
          <t>No</t>
        </is>
      </c>
      <c r="AQ410" t="inlineStr">
        <is>
          <t>Yes</t>
        </is>
      </c>
      <c r="AR410">
        <f>HYPERLINK("http://catalog.hathitrust.org/Record/001222910","HathiTrust Record")</f>
        <v/>
      </c>
      <c r="AS410">
        <f>HYPERLINK("https://creighton-primo.hosted.exlibrisgroup.com/primo-explore/search?tab=default_tab&amp;search_scope=EVERYTHING&amp;vid=01CRU&amp;lang=en_US&amp;offset=0&amp;query=any,contains,991000167019702656","Catalog Record")</f>
        <v/>
      </c>
      <c r="AT410">
        <f>HYPERLINK("http://www.worldcat.org/oclc/9292080","WorldCat Record")</f>
        <v/>
      </c>
      <c r="AU410" t="inlineStr">
        <is>
          <t>4757691101:grc</t>
        </is>
      </c>
      <c r="AV410" t="inlineStr">
        <is>
          <t>9292080</t>
        </is>
      </c>
      <c r="AW410" t="inlineStr">
        <is>
          <t>991000167019702656</t>
        </is>
      </c>
      <c r="AX410" t="inlineStr">
        <is>
          <t>991000167019702656</t>
        </is>
      </c>
      <c r="AY410" t="inlineStr">
        <is>
          <t>2263148290002656</t>
        </is>
      </c>
      <c r="AZ410" t="inlineStr">
        <is>
          <t>BOOK</t>
        </is>
      </c>
      <c r="BC410" t="inlineStr">
        <is>
          <t>32285003182622</t>
        </is>
      </c>
      <c r="BD410" t="inlineStr">
        <is>
          <t>893689489</t>
        </is>
      </c>
      <c r="BE410" t="inlineStr">
        <is>
          <t>Fajardo Acosta</t>
        </is>
      </c>
    </row>
    <row r="411">
      <c r="A411" t="inlineStr">
        <is>
          <t>No</t>
        </is>
      </c>
      <c r="B411" t="inlineStr">
        <is>
          <t>PA4019 .A2 1931</t>
        </is>
      </c>
      <c r="C411" t="inlineStr">
        <is>
          <t>0                      PA 4019000A  2           1931</t>
        </is>
      </c>
      <c r="D411" t="inlineStr">
        <is>
          <t>Homeri Ilias / edidit Thomas W. Allen.</t>
        </is>
      </c>
      <c r="E411" t="inlineStr">
        <is>
          <t>V.2</t>
        </is>
      </c>
      <c r="F411" t="inlineStr">
        <is>
          <t>Yes</t>
        </is>
      </c>
      <c r="G411" t="inlineStr">
        <is>
          <t>1</t>
        </is>
      </c>
      <c r="H411" t="inlineStr">
        <is>
          <t>No</t>
        </is>
      </c>
      <c r="I411" t="inlineStr">
        <is>
          <t>Yes</t>
        </is>
      </c>
      <c r="J411" t="inlineStr">
        <is>
          <t>0</t>
        </is>
      </c>
      <c r="K411" t="inlineStr">
        <is>
          <t>Homer.</t>
        </is>
      </c>
      <c r="L411" t="inlineStr">
        <is>
          <t>Oxonii : e typographeo Clarendoniano, 1931.</t>
        </is>
      </c>
      <c r="M411" t="inlineStr">
        <is>
          <t>1931</t>
        </is>
      </c>
      <c r="O411" t="inlineStr">
        <is>
          <t>grc</t>
        </is>
      </c>
      <c r="P411" t="inlineStr">
        <is>
          <t>enk</t>
        </is>
      </c>
      <c r="R411" t="inlineStr">
        <is>
          <t xml:space="preserve">PA </t>
        </is>
      </c>
      <c r="S411" t="n">
        <v>1</v>
      </c>
      <c r="T411" t="n">
        <v>3</v>
      </c>
      <c r="U411" t="inlineStr">
        <is>
          <t>1997-10-30</t>
        </is>
      </c>
      <c r="V411" t="inlineStr">
        <is>
          <t>1997-10-30</t>
        </is>
      </c>
      <c r="W411" t="inlineStr">
        <is>
          <t>1997-09-03</t>
        </is>
      </c>
      <c r="X411" t="inlineStr">
        <is>
          <t>1997-09-03</t>
        </is>
      </c>
      <c r="Y411" t="n">
        <v>133</v>
      </c>
      <c r="Z411" t="n">
        <v>88</v>
      </c>
      <c r="AA411" t="n">
        <v>469</v>
      </c>
      <c r="AB411" t="n">
        <v>2</v>
      </c>
      <c r="AC411" t="n">
        <v>3</v>
      </c>
      <c r="AD411" t="n">
        <v>6</v>
      </c>
      <c r="AE411" t="n">
        <v>32</v>
      </c>
      <c r="AF411" t="n">
        <v>2</v>
      </c>
      <c r="AG411" t="n">
        <v>11</v>
      </c>
      <c r="AH411" t="n">
        <v>0</v>
      </c>
      <c r="AI411" t="n">
        <v>9</v>
      </c>
      <c r="AJ411" t="n">
        <v>5</v>
      </c>
      <c r="AK411" t="n">
        <v>17</v>
      </c>
      <c r="AL411" t="n">
        <v>1</v>
      </c>
      <c r="AM411" t="n">
        <v>2</v>
      </c>
      <c r="AN411" t="n">
        <v>0</v>
      </c>
      <c r="AO411" t="n">
        <v>1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HYPERLINK("http://catalog.hathitrust.org/Record/001222910","HathiTrust Record")</f>
        <v/>
      </c>
      <c r="AS411">
        <f>HYPERLINK("https://creighton-primo.hosted.exlibrisgroup.com/primo-explore/search?tab=default_tab&amp;search_scope=EVERYTHING&amp;vid=01CRU&amp;lang=en_US&amp;offset=0&amp;query=any,contains,991000167019702656","Catalog Record")</f>
        <v/>
      </c>
      <c r="AT411">
        <f>HYPERLINK("http://www.worldcat.org/oclc/9292080","WorldCat Record")</f>
        <v/>
      </c>
      <c r="AU411" t="inlineStr">
        <is>
          <t>4757691101:grc</t>
        </is>
      </c>
      <c r="AV411" t="inlineStr">
        <is>
          <t>9292080</t>
        </is>
      </c>
      <c r="AW411" t="inlineStr">
        <is>
          <t>991000167019702656</t>
        </is>
      </c>
      <c r="AX411" t="inlineStr">
        <is>
          <t>991000167019702656</t>
        </is>
      </c>
      <c r="AY411" t="inlineStr">
        <is>
          <t>2263148290002656</t>
        </is>
      </c>
      <c r="AZ411" t="inlineStr">
        <is>
          <t>BOOK</t>
        </is>
      </c>
      <c r="BC411" t="inlineStr">
        <is>
          <t>32285003182630</t>
        </is>
      </c>
      <c r="BD411" t="inlineStr">
        <is>
          <t>893689488</t>
        </is>
      </c>
      <c r="BE411" t="inlineStr">
        <is>
          <t>Fajardo Acosta</t>
        </is>
      </c>
    </row>
    <row r="412">
      <c r="A412" t="inlineStr">
        <is>
          <t>No</t>
        </is>
      </c>
      <c r="B412" t="inlineStr">
        <is>
          <t>PA4020 .A1 1978</t>
        </is>
      </c>
      <c r="C412" t="inlineStr">
        <is>
          <t>0                      PA 4020000A  1           1978</t>
        </is>
      </c>
      <c r="D412" t="inlineStr">
        <is>
          <t>The Iliad of Homer : books I-XII / edited with introduction and commentary by M. M. Willcock.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K412" t="inlineStr">
        <is>
          <t>Homer.</t>
        </is>
      </c>
      <c r="L412" t="inlineStr">
        <is>
          <t>[New York] : St. Martin's Press, 1978.</t>
        </is>
      </c>
      <c r="M412" t="inlineStr">
        <is>
          <t>1978</t>
        </is>
      </c>
      <c r="O412" t="inlineStr">
        <is>
          <t>gre</t>
        </is>
      </c>
      <c r="P412" t="inlineStr">
        <is>
          <t>nyu</t>
        </is>
      </c>
      <c r="R412" t="inlineStr">
        <is>
          <t xml:space="preserve">PA </t>
        </is>
      </c>
      <c r="S412" t="n">
        <v>4</v>
      </c>
      <c r="T412" t="n">
        <v>4</v>
      </c>
      <c r="U412" t="inlineStr">
        <is>
          <t>1995-11-16</t>
        </is>
      </c>
      <c r="V412" t="inlineStr">
        <is>
          <t>1995-11-16</t>
        </is>
      </c>
      <c r="W412" t="inlineStr">
        <is>
          <t>1993-04-12</t>
        </is>
      </c>
      <c r="X412" t="inlineStr">
        <is>
          <t>1993-04-12</t>
        </is>
      </c>
      <c r="Y412" t="n">
        <v>115</v>
      </c>
      <c r="Z412" t="n">
        <v>109</v>
      </c>
      <c r="AA412" t="n">
        <v>109</v>
      </c>
      <c r="AB412" t="n">
        <v>2</v>
      </c>
      <c r="AC412" t="n">
        <v>2</v>
      </c>
      <c r="AD412" t="n">
        <v>8</v>
      </c>
      <c r="AE412" t="n">
        <v>8</v>
      </c>
      <c r="AF412" t="n">
        <v>4</v>
      </c>
      <c r="AG412" t="n">
        <v>4</v>
      </c>
      <c r="AH412" t="n">
        <v>1</v>
      </c>
      <c r="AI412" t="n">
        <v>1</v>
      </c>
      <c r="AJ412" t="n">
        <v>5</v>
      </c>
      <c r="AK412" t="n">
        <v>5</v>
      </c>
      <c r="AL412" t="n">
        <v>1</v>
      </c>
      <c r="AM412" t="n">
        <v>1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HYPERLINK("https://creighton-primo.hosted.exlibrisgroup.com/primo-explore/search?tab=default_tab&amp;search_scope=EVERYTHING&amp;vid=01CRU&amp;lang=en_US&amp;offset=0&amp;query=any,contains,991004747799702656","Catalog Record")</f>
        <v/>
      </c>
      <c r="AT412">
        <f>HYPERLINK("http://www.worldcat.org/oclc/4919521","WorldCat Record")</f>
        <v/>
      </c>
      <c r="AU412" t="inlineStr">
        <is>
          <t>9566261233:gre</t>
        </is>
      </c>
      <c r="AV412" t="inlineStr">
        <is>
          <t>4919521</t>
        </is>
      </c>
      <c r="AW412" t="inlineStr">
        <is>
          <t>991004747799702656</t>
        </is>
      </c>
      <c r="AX412" t="inlineStr">
        <is>
          <t>991004747799702656</t>
        </is>
      </c>
      <c r="AY412" t="inlineStr">
        <is>
          <t>2258748440002656</t>
        </is>
      </c>
      <c r="AZ412" t="inlineStr">
        <is>
          <t>BOOK</t>
        </is>
      </c>
      <c r="BB412" t="inlineStr">
        <is>
          <t>9780333157381</t>
        </is>
      </c>
      <c r="BC412" t="inlineStr">
        <is>
          <t>32285001637460</t>
        </is>
      </c>
      <c r="BD412" t="inlineStr">
        <is>
          <t>893606422</t>
        </is>
      </c>
      <c r="BE412" t="inlineStr">
        <is>
          <t>Fajardo Acosta</t>
        </is>
      </c>
    </row>
    <row r="413">
      <c r="A413" t="inlineStr">
        <is>
          <t>No</t>
        </is>
      </c>
      <c r="B413" t="inlineStr">
        <is>
          <t>PA4022 .A1 1897</t>
        </is>
      </c>
      <c r="C413" t="inlineStr">
        <is>
          <t>0                      PA 4022000A  1           1897</t>
        </is>
      </c>
      <c r="D413" t="inlineStr">
        <is>
          <t>Eight books of Homers̓ Odyssey with introduction, commentary, and vocabulary : for the use of schools / by Bernadotte Perrin and Thomas Day Seymour.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Homer.</t>
        </is>
      </c>
      <c r="L413" t="inlineStr">
        <is>
          <t>Boston ; New York : Ginn ; London : The Athenaeum Press, 1897.</t>
        </is>
      </c>
      <c r="M413" t="inlineStr">
        <is>
          <t>1897</t>
        </is>
      </c>
      <c r="O413" t="inlineStr">
        <is>
          <t>eng</t>
        </is>
      </c>
      <c r="P413" t="inlineStr">
        <is>
          <t>mau</t>
        </is>
      </c>
      <c r="R413" t="inlineStr">
        <is>
          <t xml:space="preserve">PA </t>
        </is>
      </c>
      <c r="S413" t="n">
        <v>4</v>
      </c>
      <c r="T413" t="n">
        <v>4</v>
      </c>
      <c r="U413" t="inlineStr">
        <is>
          <t>1998-11-09</t>
        </is>
      </c>
      <c r="V413" t="inlineStr">
        <is>
          <t>1998-11-09</t>
        </is>
      </c>
      <c r="W413" t="inlineStr">
        <is>
          <t>1993-12-08</t>
        </is>
      </c>
      <c r="X413" t="inlineStr">
        <is>
          <t>1993-12-08</t>
        </is>
      </c>
      <c r="Y413" t="n">
        <v>78</v>
      </c>
      <c r="Z413" t="n">
        <v>76</v>
      </c>
      <c r="AA413" t="n">
        <v>99</v>
      </c>
      <c r="AB413" t="n">
        <v>1</v>
      </c>
      <c r="AC413" t="n">
        <v>1</v>
      </c>
      <c r="AD413" t="n">
        <v>6</v>
      </c>
      <c r="AE413" t="n">
        <v>6</v>
      </c>
      <c r="AF413" t="n">
        <v>1</v>
      </c>
      <c r="AG413" t="n">
        <v>1</v>
      </c>
      <c r="AH413" t="n">
        <v>2</v>
      </c>
      <c r="AI413" t="n">
        <v>2</v>
      </c>
      <c r="AJ413" t="n">
        <v>3</v>
      </c>
      <c r="AK413" t="n">
        <v>3</v>
      </c>
      <c r="AL413" t="n">
        <v>0</v>
      </c>
      <c r="AM413" t="n">
        <v>0</v>
      </c>
      <c r="AN413" t="n">
        <v>0</v>
      </c>
      <c r="AO413" t="n">
        <v>0</v>
      </c>
      <c r="AP413" t="inlineStr">
        <is>
          <t>Yes</t>
        </is>
      </c>
      <c r="AQ413" t="inlineStr">
        <is>
          <t>No</t>
        </is>
      </c>
      <c r="AR413">
        <f>HYPERLINK("http://catalog.hathitrust.org/Record/007645871","HathiTrust Record")</f>
        <v/>
      </c>
      <c r="AS413">
        <f>HYPERLINK("https://creighton-primo.hosted.exlibrisgroup.com/primo-explore/search?tab=default_tab&amp;search_scope=EVERYTHING&amp;vid=01CRU&amp;lang=en_US&amp;offset=0&amp;query=any,contains,991004146139702656","Catalog Record")</f>
        <v/>
      </c>
      <c r="AT413">
        <f>HYPERLINK("http://www.worldcat.org/oclc/2510581","WorldCat Record")</f>
        <v/>
      </c>
      <c r="AU413" t="inlineStr">
        <is>
          <t>5217456:eng</t>
        </is>
      </c>
      <c r="AV413" t="inlineStr">
        <is>
          <t>2510581</t>
        </is>
      </c>
      <c r="AW413" t="inlineStr">
        <is>
          <t>991004146139702656</t>
        </is>
      </c>
      <c r="AX413" t="inlineStr">
        <is>
          <t>991004146139702656</t>
        </is>
      </c>
      <c r="AY413" t="inlineStr">
        <is>
          <t>2267257630002656</t>
        </is>
      </c>
      <c r="AZ413" t="inlineStr">
        <is>
          <t>BOOK</t>
        </is>
      </c>
      <c r="BC413" t="inlineStr">
        <is>
          <t>32285001806701</t>
        </is>
      </c>
      <c r="BD413" t="inlineStr">
        <is>
          <t>893253302</t>
        </is>
      </c>
      <c r="BE413" t="inlineStr">
        <is>
          <t>Fajardo Acosta</t>
        </is>
      </c>
    </row>
    <row r="414">
      <c r="A414" t="inlineStr">
        <is>
          <t>No</t>
        </is>
      </c>
      <c r="B414" t="inlineStr">
        <is>
          <t>PA4023 .H81 1981</t>
        </is>
      </c>
      <c r="C414" t="inlineStr">
        <is>
          <t>0                      PA 4023000H  81          1981</t>
        </is>
      </c>
      <c r="D414" t="inlineStr">
        <is>
          <t>The Homeric hymn to Apollo / Peter M. Smith, Lee T. Pearcy.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Hymn to Apollo.</t>
        </is>
      </c>
      <c r="L414" t="inlineStr">
        <is>
          <t>Bryn Mawr, Pa. : Dept. of Greek, Bryn Mawr College, c1981.</t>
        </is>
      </c>
      <c r="M414" t="inlineStr">
        <is>
          <t>1981</t>
        </is>
      </c>
      <c r="O414" t="inlineStr">
        <is>
          <t>grc</t>
        </is>
      </c>
      <c r="P414" t="inlineStr">
        <is>
          <t>pau</t>
        </is>
      </c>
      <c r="Q414" t="inlineStr">
        <is>
          <t>Bryn Mawr commentaries</t>
        </is>
      </c>
      <c r="R414" t="inlineStr">
        <is>
          <t xml:space="preserve">PA </t>
        </is>
      </c>
      <c r="S414" t="n">
        <v>1</v>
      </c>
      <c r="T414" t="n">
        <v>1</v>
      </c>
      <c r="U414" t="inlineStr">
        <is>
          <t>2005-11-01</t>
        </is>
      </c>
      <c r="V414" t="inlineStr">
        <is>
          <t>2005-11-01</t>
        </is>
      </c>
      <c r="W414" t="inlineStr">
        <is>
          <t>2005-11-01</t>
        </is>
      </c>
      <c r="X414" t="inlineStr">
        <is>
          <t>2005-11-01</t>
        </is>
      </c>
      <c r="Y414" t="n">
        <v>111</v>
      </c>
      <c r="Z414" t="n">
        <v>96</v>
      </c>
      <c r="AA414" t="n">
        <v>98</v>
      </c>
      <c r="AB414" t="n">
        <v>2</v>
      </c>
      <c r="AC414" t="n">
        <v>2</v>
      </c>
      <c r="AD414" t="n">
        <v>12</v>
      </c>
      <c r="AE414" t="n">
        <v>12</v>
      </c>
      <c r="AF414" t="n">
        <v>3</v>
      </c>
      <c r="AG414" t="n">
        <v>3</v>
      </c>
      <c r="AH414" t="n">
        <v>3</v>
      </c>
      <c r="AI414" t="n">
        <v>3</v>
      </c>
      <c r="AJ414" t="n">
        <v>7</v>
      </c>
      <c r="AK414" t="n">
        <v>7</v>
      </c>
      <c r="AL414" t="n">
        <v>1</v>
      </c>
      <c r="AM414" t="n">
        <v>1</v>
      </c>
      <c r="AN414" t="n">
        <v>0</v>
      </c>
      <c r="AO414" t="n">
        <v>0</v>
      </c>
      <c r="AP414" t="inlineStr">
        <is>
          <t>No</t>
        </is>
      </c>
      <c r="AQ414" t="inlineStr">
        <is>
          <t>Yes</t>
        </is>
      </c>
      <c r="AR414">
        <f>HYPERLINK("http://catalog.hathitrust.org/Record/004295375","HathiTrust Record")</f>
        <v/>
      </c>
      <c r="AS414">
        <f>HYPERLINK("https://creighton-primo.hosted.exlibrisgroup.com/primo-explore/search?tab=default_tab&amp;search_scope=EVERYTHING&amp;vid=01CRU&amp;lang=en_US&amp;offset=0&amp;query=any,contains,991004667859702656","Catalog Record")</f>
        <v/>
      </c>
      <c r="AT414">
        <f>HYPERLINK("http://www.worldcat.org/oclc/8126426","WorldCat Record")</f>
        <v/>
      </c>
      <c r="AU414" t="inlineStr">
        <is>
          <t>54481035:grc</t>
        </is>
      </c>
      <c r="AV414" t="inlineStr">
        <is>
          <t>8126426</t>
        </is>
      </c>
      <c r="AW414" t="inlineStr">
        <is>
          <t>991004667859702656</t>
        </is>
      </c>
      <c r="AX414" t="inlineStr">
        <is>
          <t>991004667859702656</t>
        </is>
      </c>
      <c r="AY414" t="inlineStr">
        <is>
          <t>2255051930002656</t>
        </is>
      </c>
      <c r="AZ414" t="inlineStr">
        <is>
          <t>BOOK</t>
        </is>
      </c>
      <c r="BC414" t="inlineStr">
        <is>
          <t>32285005143754</t>
        </is>
      </c>
      <c r="BD414" t="inlineStr">
        <is>
          <t>893801207</t>
        </is>
      </c>
      <c r="BE414" t="inlineStr">
        <is>
          <t>Fajardo Acosta</t>
        </is>
      </c>
    </row>
    <row r="415">
      <c r="A415" t="inlineStr">
        <is>
          <t>No</t>
        </is>
      </c>
      <c r="B415" t="inlineStr">
        <is>
          <t>PA4023.H83 G342 1983</t>
        </is>
      </c>
      <c r="C415" t="inlineStr">
        <is>
          <t>0                      PA 4023000H  83                 G  342         1983</t>
        </is>
      </c>
      <c r="D415" t="inlineStr">
        <is>
          <t>Homeric Hymn to Hermes / Julia Haig Gaisser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K415" t="inlineStr">
        <is>
          <t>Gaisser, Julia Haig.</t>
        </is>
      </c>
      <c r="L415" t="inlineStr">
        <is>
          <t>Bryn Mawr, Pa. : Department of Greek, Bryn Mawr College, c1983.</t>
        </is>
      </c>
      <c r="M415" t="inlineStr">
        <is>
          <t>1983</t>
        </is>
      </c>
      <c r="O415" t="inlineStr">
        <is>
          <t>eng</t>
        </is>
      </c>
      <c r="P415" t="inlineStr">
        <is>
          <t>pau</t>
        </is>
      </c>
      <c r="Q415" t="inlineStr">
        <is>
          <t>Bryn Mawr commentaries</t>
        </is>
      </c>
      <c r="R415" t="inlineStr">
        <is>
          <t xml:space="preserve">PA </t>
        </is>
      </c>
      <c r="S415" t="n">
        <v>1</v>
      </c>
      <c r="T415" t="n">
        <v>1</v>
      </c>
      <c r="U415" t="inlineStr">
        <is>
          <t>2005-11-01</t>
        </is>
      </c>
      <c r="V415" t="inlineStr">
        <is>
          <t>2005-11-01</t>
        </is>
      </c>
      <c r="W415" t="inlineStr">
        <is>
          <t>2005-11-01</t>
        </is>
      </c>
      <c r="X415" t="inlineStr">
        <is>
          <t>2005-11-01</t>
        </is>
      </c>
      <c r="Y415" t="n">
        <v>89</v>
      </c>
      <c r="Z415" t="n">
        <v>76</v>
      </c>
      <c r="AA415" t="n">
        <v>79</v>
      </c>
      <c r="AB415" t="n">
        <v>2</v>
      </c>
      <c r="AC415" t="n">
        <v>2</v>
      </c>
      <c r="AD415" t="n">
        <v>9</v>
      </c>
      <c r="AE415" t="n">
        <v>9</v>
      </c>
      <c r="AF415" t="n">
        <v>2</v>
      </c>
      <c r="AG415" t="n">
        <v>2</v>
      </c>
      <c r="AH415" t="n">
        <v>2</v>
      </c>
      <c r="AI415" t="n">
        <v>2</v>
      </c>
      <c r="AJ415" t="n">
        <v>7</v>
      </c>
      <c r="AK415" t="n">
        <v>7</v>
      </c>
      <c r="AL415" t="n">
        <v>1</v>
      </c>
      <c r="AM415" t="n">
        <v>1</v>
      </c>
      <c r="AN415" t="n">
        <v>0</v>
      </c>
      <c r="AO415" t="n">
        <v>0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HYPERLINK("http://catalog.hathitrust.org/Record/007103753","HathiTrust Record")</f>
        <v/>
      </c>
      <c r="AS415">
        <f>HYPERLINK("https://creighton-primo.hosted.exlibrisgroup.com/primo-explore/search?tab=default_tab&amp;search_scope=EVERYTHING&amp;vid=01CRU&amp;lang=en_US&amp;offset=0&amp;query=any,contains,991004667089702656","Catalog Record")</f>
        <v/>
      </c>
      <c r="AT415">
        <f>HYPERLINK("http://www.worldcat.org/oclc/11241393","WorldCat Record")</f>
        <v/>
      </c>
      <c r="AU415" t="inlineStr">
        <is>
          <t>4201023:eng</t>
        </is>
      </c>
      <c r="AV415" t="inlineStr">
        <is>
          <t>11241393</t>
        </is>
      </c>
      <c r="AW415" t="inlineStr">
        <is>
          <t>991004667089702656</t>
        </is>
      </c>
      <c r="AX415" t="inlineStr">
        <is>
          <t>991004667089702656</t>
        </is>
      </c>
      <c r="AY415" t="inlineStr">
        <is>
          <t>2269723630002656</t>
        </is>
      </c>
      <c r="AZ415" t="inlineStr">
        <is>
          <t>BOOK</t>
        </is>
      </c>
      <c r="BC415" t="inlineStr">
        <is>
          <t>32285005144059</t>
        </is>
      </c>
      <c r="BD415" t="inlineStr">
        <is>
          <t>893782511</t>
        </is>
      </c>
      <c r="BE415" t="inlineStr">
        <is>
          <t>Fajardo Acosta</t>
        </is>
      </c>
    </row>
    <row r="416">
      <c r="A416" t="inlineStr">
        <is>
          <t>No</t>
        </is>
      </c>
      <c r="B416" t="inlineStr">
        <is>
          <t>PA4025.A1 C5 1967</t>
        </is>
      </c>
      <c r="C416" t="inlineStr">
        <is>
          <t>0                      PA 4025000A  1                  C  5           1967</t>
        </is>
      </c>
      <c r="D416" t="inlineStr">
        <is>
          <t>Chapman's Homer : the Iliad, the Odyssey, and the lesser Homerica / edited, with introductions, textual notes, commentaries, and glossaries, by Allardyce Nicoll.</t>
        </is>
      </c>
      <c r="E416" t="inlineStr">
        <is>
          <t>V.1</t>
        </is>
      </c>
      <c r="F416" t="inlineStr">
        <is>
          <t>Yes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K416" t="inlineStr">
        <is>
          <t>Homer.</t>
        </is>
      </c>
      <c r="L416" t="inlineStr">
        <is>
          <t>Princeton, N.J. : Princeton University Press, 1967.</t>
        </is>
      </c>
      <c r="M416" t="inlineStr">
        <is>
          <t>1967</t>
        </is>
      </c>
      <c r="N416" t="inlineStr">
        <is>
          <t>2nd ed.</t>
        </is>
      </c>
      <c r="O416" t="inlineStr">
        <is>
          <t>eng</t>
        </is>
      </c>
      <c r="P416" t="inlineStr">
        <is>
          <t>nju</t>
        </is>
      </c>
      <c r="Q416" t="inlineStr">
        <is>
          <t>Bollingen series ; 41</t>
        </is>
      </c>
      <c r="R416" t="inlineStr">
        <is>
          <t xml:space="preserve">PA </t>
        </is>
      </c>
      <c r="S416" t="n">
        <v>11</v>
      </c>
      <c r="T416" t="n">
        <v>15</v>
      </c>
      <c r="U416" t="inlineStr">
        <is>
          <t>2000-04-03</t>
        </is>
      </c>
      <c r="V416" t="inlineStr">
        <is>
          <t>2000-04-03</t>
        </is>
      </c>
      <c r="W416" t="inlineStr">
        <is>
          <t>1992-10-05</t>
        </is>
      </c>
      <c r="X416" t="inlineStr">
        <is>
          <t>1992-10-05</t>
        </is>
      </c>
      <c r="Y416" t="n">
        <v>350</v>
      </c>
      <c r="Z416" t="n">
        <v>314</v>
      </c>
      <c r="AA416" t="n">
        <v>835</v>
      </c>
      <c r="AB416" t="n">
        <v>3</v>
      </c>
      <c r="AC416" t="n">
        <v>5</v>
      </c>
      <c r="AD416" t="n">
        <v>15</v>
      </c>
      <c r="AE416" t="n">
        <v>41</v>
      </c>
      <c r="AF416" t="n">
        <v>6</v>
      </c>
      <c r="AG416" t="n">
        <v>18</v>
      </c>
      <c r="AH416" t="n">
        <v>2</v>
      </c>
      <c r="AI416" t="n">
        <v>8</v>
      </c>
      <c r="AJ416" t="n">
        <v>7</v>
      </c>
      <c r="AK416" t="n">
        <v>22</v>
      </c>
      <c r="AL416" t="n">
        <v>2</v>
      </c>
      <c r="AM416" t="n">
        <v>3</v>
      </c>
      <c r="AN416" t="n">
        <v>0</v>
      </c>
      <c r="AO416" t="n">
        <v>0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HYPERLINK("http://catalog.hathitrust.org/Record/102072570","HathiTrust Record")</f>
        <v/>
      </c>
      <c r="AS416">
        <f>HYPERLINK("https://creighton-primo.hosted.exlibrisgroup.com/primo-explore/search?tab=default_tab&amp;search_scope=EVERYTHING&amp;vid=01CRU&amp;lang=en_US&amp;offset=0&amp;query=any,contains,991005169789702656","Catalog Record")</f>
        <v/>
      </c>
      <c r="AT416">
        <f>HYPERLINK("http://www.worldcat.org/oclc/7844735","WorldCat Record")</f>
        <v/>
      </c>
      <c r="AU416" t="inlineStr">
        <is>
          <t>4915125569:eng</t>
        </is>
      </c>
      <c r="AV416" t="inlineStr">
        <is>
          <t>7844735</t>
        </is>
      </c>
      <c r="AW416" t="inlineStr">
        <is>
          <t>991005169789702656</t>
        </is>
      </c>
      <c r="AX416" t="inlineStr">
        <is>
          <t>991005169789702656</t>
        </is>
      </c>
      <c r="AY416" t="inlineStr">
        <is>
          <t>2270544330002656</t>
        </is>
      </c>
      <c r="AZ416" t="inlineStr">
        <is>
          <t>BOOK</t>
        </is>
      </c>
      <c r="BC416" t="inlineStr">
        <is>
          <t>32285001339851</t>
        </is>
      </c>
      <c r="BD416" t="inlineStr">
        <is>
          <t>893801849</t>
        </is>
      </c>
      <c r="BE416" t="inlineStr">
        <is>
          <t>Fajardo Acosta</t>
        </is>
      </c>
    </row>
    <row r="417">
      <c r="A417" t="inlineStr">
        <is>
          <t>No</t>
        </is>
      </c>
      <c r="B417" t="inlineStr">
        <is>
          <t>PA4025.A1 C5 1967</t>
        </is>
      </c>
      <c r="C417" t="inlineStr">
        <is>
          <t>0                      PA 4025000A  1                  C  5           1967</t>
        </is>
      </c>
      <c r="D417" t="inlineStr">
        <is>
          <t>Chapman's Homer : the Iliad, the Odyssey, and the lesser Homerica / edited, with introductions, textual notes, commentaries, and glossaries, by Allardyce Nicoll.</t>
        </is>
      </c>
      <c r="E417" t="inlineStr">
        <is>
          <t>V.2</t>
        </is>
      </c>
      <c r="F417" t="inlineStr">
        <is>
          <t>Yes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K417" t="inlineStr">
        <is>
          <t>Homer.</t>
        </is>
      </c>
      <c r="L417" t="inlineStr">
        <is>
          <t>Princeton, N.J. : Princeton University Press, 1967.</t>
        </is>
      </c>
      <c r="M417" t="inlineStr">
        <is>
          <t>1967</t>
        </is>
      </c>
      <c r="N417" t="inlineStr">
        <is>
          <t>2nd ed.</t>
        </is>
      </c>
      <c r="O417" t="inlineStr">
        <is>
          <t>eng</t>
        </is>
      </c>
      <c r="P417" t="inlineStr">
        <is>
          <t>nju</t>
        </is>
      </c>
      <c r="Q417" t="inlineStr">
        <is>
          <t>Bollingen series ; 41</t>
        </is>
      </c>
      <c r="R417" t="inlineStr">
        <is>
          <t xml:space="preserve">PA </t>
        </is>
      </c>
      <c r="S417" t="n">
        <v>4</v>
      </c>
      <c r="T417" t="n">
        <v>15</v>
      </c>
      <c r="U417" t="inlineStr">
        <is>
          <t>1996-02-06</t>
        </is>
      </c>
      <c r="V417" t="inlineStr">
        <is>
          <t>2000-04-03</t>
        </is>
      </c>
      <c r="W417" t="inlineStr">
        <is>
          <t>1992-09-09</t>
        </is>
      </c>
      <c r="X417" t="inlineStr">
        <is>
          <t>1992-10-05</t>
        </is>
      </c>
      <c r="Y417" t="n">
        <v>350</v>
      </c>
      <c r="Z417" t="n">
        <v>314</v>
      </c>
      <c r="AA417" t="n">
        <v>835</v>
      </c>
      <c r="AB417" t="n">
        <v>3</v>
      </c>
      <c r="AC417" t="n">
        <v>5</v>
      </c>
      <c r="AD417" t="n">
        <v>15</v>
      </c>
      <c r="AE417" t="n">
        <v>41</v>
      </c>
      <c r="AF417" t="n">
        <v>6</v>
      </c>
      <c r="AG417" t="n">
        <v>18</v>
      </c>
      <c r="AH417" t="n">
        <v>2</v>
      </c>
      <c r="AI417" t="n">
        <v>8</v>
      </c>
      <c r="AJ417" t="n">
        <v>7</v>
      </c>
      <c r="AK417" t="n">
        <v>22</v>
      </c>
      <c r="AL417" t="n">
        <v>2</v>
      </c>
      <c r="AM417" t="n">
        <v>3</v>
      </c>
      <c r="AN417" t="n">
        <v>0</v>
      </c>
      <c r="AO417" t="n">
        <v>0</v>
      </c>
      <c r="AP417" t="inlineStr">
        <is>
          <t>No</t>
        </is>
      </c>
      <c r="AQ417" t="inlineStr">
        <is>
          <t>Yes</t>
        </is>
      </c>
      <c r="AR417">
        <f>HYPERLINK("http://catalog.hathitrust.org/Record/102072570","HathiTrust Record")</f>
        <v/>
      </c>
      <c r="AS417">
        <f>HYPERLINK("https://creighton-primo.hosted.exlibrisgroup.com/primo-explore/search?tab=default_tab&amp;search_scope=EVERYTHING&amp;vid=01CRU&amp;lang=en_US&amp;offset=0&amp;query=any,contains,991005169789702656","Catalog Record")</f>
        <v/>
      </c>
      <c r="AT417">
        <f>HYPERLINK("http://www.worldcat.org/oclc/7844735","WorldCat Record")</f>
        <v/>
      </c>
      <c r="AU417" t="inlineStr">
        <is>
          <t>4915125569:eng</t>
        </is>
      </c>
      <c r="AV417" t="inlineStr">
        <is>
          <t>7844735</t>
        </is>
      </c>
      <c r="AW417" t="inlineStr">
        <is>
          <t>991005169789702656</t>
        </is>
      </c>
      <c r="AX417" t="inlineStr">
        <is>
          <t>991005169789702656</t>
        </is>
      </c>
      <c r="AY417" t="inlineStr">
        <is>
          <t>2270544330002656</t>
        </is>
      </c>
      <c r="AZ417" t="inlineStr">
        <is>
          <t>BOOK</t>
        </is>
      </c>
      <c r="BC417" t="inlineStr">
        <is>
          <t>32285001297000</t>
        </is>
      </c>
      <c r="BD417" t="inlineStr">
        <is>
          <t>893801850</t>
        </is>
      </c>
      <c r="BE417" t="inlineStr">
        <is>
          <t>Fajardo Acosta</t>
        </is>
      </c>
    </row>
    <row r="418">
      <c r="A418" t="inlineStr">
        <is>
          <t>No</t>
        </is>
      </c>
      <c r="B418" t="inlineStr">
        <is>
          <t>PA4167 .A9</t>
        </is>
      </c>
      <c r="C418" t="inlineStr">
        <is>
          <t>0                      PA 4167000A  9</t>
        </is>
      </c>
      <c r="D418" t="inlineStr">
        <is>
          <t>Archery at the dark of the moon : poetic problems in Homer's Odyssey / Norman Austin.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Austin, Norman.</t>
        </is>
      </c>
      <c r="L418" t="inlineStr">
        <is>
          <t>Berkeley : University of California Press, 1975.</t>
        </is>
      </c>
      <c r="M418" t="inlineStr">
        <is>
          <t>1975</t>
        </is>
      </c>
      <c r="O418" t="inlineStr">
        <is>
          <t>eng</t>
        </is>
      </c>
      <c r="P418" t="inlineStr">
        <is>
          <t>cau</t>
        </is>
      </c>
      <c r="R418" t="inlineStr">
        <is>
          <t xml:space="preserve">PA </t>
        </is>
      </c>
      <c r="S418" t="n">
        <v>22</v>
      </c>
      <c r="T418" t="n">
        <v>22</v>
      </c>
      <c r="U418" t="inlineStr">
        <is>
          <t>2003-01-10</t>
        </is>
      </c>
      <c r="V418" t="inlineStr">
        <is>
          <t>2003-01-10</t>
        </is>
      </c>
      <c r="W418" t="inlineStr">
        <is>
          <t>1991-06-28</t>
        </is>
      </c>
      <c r="X418" t="inlineStr">
        <is>
          <t>1991-06-28</t>
        </is>
      </c>
      <c r="Y418" t="n">
        <v>846</v>
      </c>
      <c r="Z418" t="n">
        <v>698</v>
      </c>
      <c r="AA418" t="n">
        <v>726</v>
      </c>
      <c r="AB418" t="n">
        <v>7</v>
      </c>
      <c r="AC418" t="n">
        <v>7</v>
      </c>
      <c r="AD418" t="n">
        <v>36</v>
      </c>
      <c r="AE418" t="n">
        <v>37</v>
      </c>
      <c r="AF418" t="n">
        <v>13</v>
      </c>
      <c r="AG418" t="n">
        <v>14</v>
      </c>
      <c r="AH418" t="n">
        <v>10</v>
      </c>
      <c r="AI418" t="n">
        <v>10</v>
      </c>
      <c r="AJ418" t="n">
        <v>19</v>
      </c>
      <c r="AK418" t="n">
        <v>19</v>
      </c>
      <c r="AL418" t="n">
        <v>5</v>
      </c>
      <c r="AM418" t="n">
        <v>5</v>
      </c>
      <c r="AN418" t="n">
        <v>0</v>
      </c>
      <c r="AO418" t="n">
        <v>0</v>
      </c>
      <c r="AP418" t="inlineStr">
        <is>
          <t>No</t>
        </is>
      </c>
      <c r="AQ418" t="inlineStr">
        <is>
          <t>No</t>
        </is>
      </c>
      <c r="AS418">
        <f>HYPERLINK("https://creighton-primo.hosted.exlibrisgroup.com/primo-explore/search?tab=default_tab&amp;search_scope=EVERYTHING&amp;vid=01CRU&amp;lang=en_US&amp;offset=0&amp;query=any,contains,991005366069702656","Catalog Record")</f>
        <v/>
      </c>
      <c r="AT418">
        <f>HYPERLINK("http://www.worldcat.org/oclc/1916410","WorldCat Record")</f>
        <v/>
      </c>
      <c r="AU418" t="inlineStr">
        <is>
          <t>500968:eng</t>
        </is>
      </c>
      <c r="AV418" t="inlineStr">
        <is>
          <t>1916410</t>
        </is>
      </c>
      <c r="AW418" t="inlineStr">
        <is>
          <t>991005366069702656</t>
        </is>
      </c>
      <c r="AX418" t="inlineStr">
        <is>
          <t>991005366069702656</t>
        </is>
      </c>
      <c r="AY418" t="inlineStr">
        <is>
          <t>2255511230002656</t>
        </is>
      </c>
      <c r="AZ418" t="inlineStr">
        <is>
          <t>BOOK</t>
        </is>
      </c>
      <c r="BB418" t="inlineStr">
        <is>
          <t>9780520027138</t>
        </is>
      </c>
      <c r="BC418" t="inlineStr">
        <is>
          <t>32285000634310</t>
        </is>
      </c>
      <c r="BD418" t="inlineStr">
        <is>
          <t>893607264</t>
        </is>
      </c>
      <c r="BE418" t="inlineStr">
        <is>
          <t>Fajardo Acosta</t>
        </is>
      </c>
    </row>
    <row r="419">
      <c r="A419" t="inlineStr">
        <is>
          <t>No</t>
        </is>
      </c>
      <c r="B419" t="inlineStr">
        <is>
          <t>PA4434.Z8 E4 1965</t>
        </is>
      </c>
      <c r="C419" t="inlineStr">
        <is>
          <t>0                      PA 4434000Z  8                  E  4           1965</t>
        </is>
      </c>
      <c r="D419" t="inlineStr">
        <is>
          <t>Lexicon Sophocleum : adhibitis veterum interpretum explicationibus, grammaticorum notationibus, recentiorum doctorum commentariis / composuit Fridericus Ellendt.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K419" t="inlineStr">
        <is>
          <t>Ellendt, Friederich, 1796-1855.</t>
        </is>
      </c>
      <c r="L419" t="inlineStr">
        <is>
          <t>Hildesheim : G. Olms, 1965.</t>
        </is>
      </c>
      <c r="M419" t="inlineStr">
        <is>
          <t>1965</t>
        </is>
      </c>
      <c r="N419" t="inlineStr">
        <is>
          <t>Editio altera emendata / curavit Hermannus Genthe.</t>
        </is>
      </c>
      <c r="O419" t="inlineStr">
        <is>
          <t>lat</t>
        </is>
      </c>
      <c r="P419" t="inlineStr">
        <is>
          <t xml:space="preserve">gw </t>
        </is>
      </c>
      <c r="Q419" t="inlineStr">
        <is>
          <t>Olms paperbacks ; Bd. 8</t>
        </is>
      </c>
      <c r="R419" t="inlineStr">
        <is>
          <t xml:space="preserve">PA </t>
        </is>
      </c>
      <c r="S419" t="n">
        <v>6</v>
      </c>
      <c r="T419" t="n">
        <v>6</v>
      </c>
      <c r="U419" t="inlineStr">
        <is>
          <t>2004-12-15</t>
        </is>
      </c>
      <c r="V419" t="inlineStr">
        <is>
          <t>2004-12-15</t>
        </is>
      </c>
      <c r="W419" t="inlineStr">
        <is>
          <t>1992-04-01</t>
        </is>
      </c>
      <c r="X419" t="inlineStr">
        <is>
          <t>1992-04-01</t>
        </is>
      </c>
      <c r="Y419" t="n">
        <v>74</v>
      </c>
      <c r="Z419" t="n">
        <v>55</v>
      </c>
      <c r="AA419" t="n">
        <v>155</v>
      </c>
      <c r="AB419" t="n">
        <v>1</v>
      </c>
      <c r="AC419" t="n">
        <v>2</v>
      </c>
      <c r="AD419" t="n">
        <v>5</v>
      </c>
      <c r="AE419" t="n">
        <v>12</v>
      </c>
      <c r="AF419" t="n">
        <v>2</v>
      </c>
      <c r="AG419" t="n">
        <v>3</v>
      </c>
      <c r="AH419" t="n">
        <v>1</v>
      </c>
      <c r="AI419" t="n">
        <v>3</v>
      </c>
      <c r="AJ419" t="n">
        <v>4</v>
      </c>
      <c r="AK419" t="n">
        <v>9</v>
      </c>
      <c r="AL419" t="n">
        <v>0</v>
      </c>
      <c r="AM419" t="n">
        <v>1</v>
      </c>
      <c r="AN419" t="n">
        <v>0</v>
      </c>
      <c r="AO419" t="n">
        <v>0</v>
      </c>
      <c r="AP419" t="inlineStr">
        <is>
          <t>No</t>
        </is>
      </c>
      <c r="AQ419" t="inlineStr">
        <is>
          <t>Yes</t>
        </is>
      </c>
      <c r="AR419">
        <f>HYPERLINK("http://catalog.hathitrust.org/Record/100159521","HathiTrust Record")</f>
        <v/>
      </c>
      <c r="AS419">
        <f>HYPERLINK("https://creighton-primo.hosted.exlibrisgroup.com/primo-explore/search?tab=default_tab&amp;search_scope=EVERYTHING&amp;vid=01CRU&amp;lang=en_US&amp;offset=0&amp;query=any,contains,991005372319702656","Catalog Record")</f>
        <v/>
      </c>
      <c r="AT419">
        <f>HYPERLINK("http://www.worldcat.org/oclc/4412422","WorldCat Record")</f>
        <v/>
      </c>
      <c r="AU419" t="inlineStr">
        <is>
          <t>350474686:lat</t>
        </is>
      </c>
      <c r="AV419" t="inlineStr">
        <is>
          <t>4412422</t>
        </is>
      </c>
      <c r="AW419" t="inlineStr">
        <is>
          <t>991005372319702656</t>
        </is>
      </c>
      <c r="AX419" t="inlineStr">
        <is>
          <t>991005372319702656</t>
        </is>
      </c>
      <c r="AY419" t="inlineStr">
        <is>
          <t>2270518470002656</t>
        </is>
      </c>
      <c r="AZ419" t="inlineStr">
        <is>
          <t>BOOK</t>
        </is>
      </c>
      <c r="BC419" t="inlineStr">
        <is>
          <t>32285001031029</t>
        </is>
      </c>
      <c r="BD419" t="inlineStr">
        <is>
          <t>893877428</t>
        </is>
      </c>
      <c r="BE419" t="inlineStr">
        <is>
          <t>Fajardo Acosta</t>
        </is>
      </c>
    </row>
    <row r="420">
      <c r="A420" t="inlineStr">
        <is>
          <t>No</t>
        </is>
      </c>
      <c r="B420" t="inlineStr">
        <is>
          <t>PA6105.S8 L5 1914</t>
        </is>
      </c>
      <c r="C420" t="inlineStr">
        <is>
          <t>0                      PA 6105000S  8                  L  5           1914</t>
        </is>
      </c>
      <c r="D420" t="inlineStr">
        <is>
          <t>Titi Livi Ab Urbe condita.</t>
        </is>
      </c>
      <c r="E420" t="inlineStr">
        <is>
          <t>V. 1</t>
        </is>
      </c>
      <c r="F420" t="inlineStr">
        <is>
          <t>Yes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Livy.</t>
        </is>
      </c>
      <c r="L420" t="inlineStr">
        <is>
          <t>Oxonii : E Typographeo Clarendoniano, 1914.</t>
        </is>
      </c>
      <c r="M420" t="inlineStr">
        <is>
          <t>1914</t>
        </is>
      </c>
      <c r="O420" t="inlineStr">
        <is>
          <t>lat</t>
        </is>
      </c>
      <c r="P420" t="inlineStr">
        <is>
          <t>enk</t>
        </is>
      </c>
      <c r="Q420" t="inlineStr">
        <is>
          <t>Scriptorum classicorum bibliotheca Oxoniensis</t>
        </is>
      </c>
      <c r="R420" t="inlineStr">
        <is>
          <t xml:space="preserve">PA </t>
        </is>
      </c>
      <c r="S420" t="n">
        <v>0</v>
      </c>
      <c r="T420" t="n">
        <v>5</v>
      </c>
      <c r="V420" t="inlineStr">
        <is>
          <t>2000-08-22</t>
        </is>
      </c>
      <c r="W420" t="inlineStr">
        <is>
          <t>1995-03-08</t>
        </is>
      </c>
      <c r="X420" t="inlineStr">
        <is>
          <t>1995-03-08</t>
        </is>
      </c>
      <c r="Y420" t="n">
        <v>258</v>
      </c>
      <c r="Z420" t="n">
        <v>215</v>
      </c>
      <c r="AA420" t="n">
        <v>353</v>
      </c>
      <c r="AB420" t="n">
        <v>2</v>
      </c>
      <c r="AC420" t="n">
        <v>2</v>
      </c>
      <c r="AD420" t="n">
        <v>21</v>
      </c>
      <c r="AE420" t="n">
        <v>30</v>
      </c>
      <c r="AF420" t="n">
        <v>5</v>
      </c>
      <c r="AG420" t="n">
        <v>10</v>
      </c>
      <c r="AH420" t="n">
        <v>5</v>
      </c>
      <c r="AI420" t="n">
        <v>7</v>
      </c>
      <c r="AJ420" t="n">
        <v>17</v>
      </c>
      <c r="AK420" t="n">
        <v>22</v>
      </c>
      <c r="AL420" t="n">
        <v>1</v>
      </c>
      <c r="AM420" t="n">
        <v>1</v>
      </c>
      <c r="AN420" t="n">
        <v>0</v>
      </c>
      <c r="AO420" t="n">
        <v>0</v>
      </c>
      <c r="AP420" t="inlineStr">
        <is>
          <t>Yes</t>
        </is>
      </c>
      <c r="AQ420" t="inlineStr">
        <is>
          <t>Yes</t>
        </is>
      </c>
      <c r="AR420">
        <f>HYPERLINK("http://catalog.hathitrust.org/Record/007481123","HathiTrust Record")</f>
        <v/>
      </c>
      <c r="AS420">
        <f>HYPERLINK("https://creighton-primo.hosted.exlibrisgroup.com/primo-explore/search?tab=default_tab&amp;search_scope=EVERYTHING&amp;vid=01CRU&amp;lang=en_US&amp;offset=0&amp;query=any,contains,991003303809702656","Catalog Record")</f>
        <v/>
      </c>
      <c r="AT420">
        <f>HYPERLINK("http://www.worldcat.org/oclc/826880","WorldCat Record")</f>
        <v/>
      </c>
      <c r="AU420" t="inlineStr">
        <is>
          <t>4202605441:lat</t>
        </is>
      </c>
      <c r="AV420" t="inlineStr">
        <is>
          <t>826880</t>
        </is>
      </c>
      <c r="AW420" t="inlineStr">
        <is>
          <t>991003303809702656</t>
        </is>
      </c>
      <c r="AX420" t="inlineStr">
        <is>
          <t>991003303809702656</t>
        </is>
      </c>
      <c r="AY420" t="inlineStr">
        <is>
          <t>2269002020002656</t>
        </is>
      </c>
      <c r="AZ420" t="inlineStr">
        <is>
          <t>BOOK</t>
        </is>
      </c>
      <c r="BC420" t="inlineStr">
        <is>
          <t>32285002020120</t>
        </is>
      </c>
      <c r="BD420" t="inlineStr">
        <is>
          <t>893874638</t>
        </is>
      </c>
      <c r="BE420" t="inlineStr">
        <is>
          <t>Fajardo Acosta</t>
        </is>
      </c>
    </row>
    <row r="421">
      <c r="A421" t="inlineStr">
        <is>
          <t>No</t>
        </is>
      </c>
      <c r="B421" t="inlineStr">
        <is>
          <t>PA6105.S8 L5 1914</t>
        </is>
      </c>
      <c r="C421" t="inlineStr">
        <is>
          <t>0                      PA 6105000S  8                  L  5           1914</t>
        </is>
      </c>
      <c r="D421" t="inlineStr">
        <is>
          <t>Titi Livi Ab Urbe condita.</t>
        </is>
      </c>
      <c r="E421" t="inlineStr">
        <is>
          <t>V. 3</t>
        </is>
      </c>
      <c r="F421" t="inlineStr">
        <is>
          <t>Yes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Livy.</t>
        </is>
      </c>
      <c r="L421" t="inlineStr">
        <is>
          <t>Oxonii : E Typographeo Clarendoniano, 1914.</t>
        </is>
      </c>
      <c r="M421" t="inlineStr">
        <is>
          <t>1914</t>
        </is>
      </c>
      <c r="O421" t="inlineStr">
        <is>
          <t>lat</t>
        </is>
      </c>
      <c r="P421" t="inlineStr">
        <is>
          <t>enk</t>
        </is>
      </c>
      <c r="Q421" t="inlineStr">
        <is>
          <t>Scriptorum classicorum bibliotheca Oxoniensis</t>
        </is>
      </c>
      <c r="R421" t="inlineStr">
        <is>
          <t xml:space="preserve">PA </t>
        </is>
      </c>
      <c r="S421" t="n">
        <v>2</v>
      </c>
      <c r="T421" t="n">
        <v>5</v>
      </c>
      <c r="U421" t="inlineStr">
        <is>
          <t>2000-08-22</t>
        </is>
      </c>
      <c r="V421" t="inlineStr">
        <is>
          <t>2000-08-22</t>
        </is>
      </c>
      <c r="W421" t="inlineStr">
        <is>
          <t>1995-01-14</t>
        </is>
      </c>
      <c r="X421" t="inlineStr">
        <is>
          <t>1995-03-08</t>
        </is>
      </c>
      <c r="Y421" t="n">
        <v>258</v>
      </c>
      <c r="Z421" t="n">
        <v>215</v>
      </c>
      <c r="AA421" t="n">
        <v>353</v>
      </c>
      <c r="AB421" t="n">
        <v>2</v>
      </c>
      <c r="AC421" t="n">
        <v>2</v>
      </c>
      <c r="AD421" t="n">
        <v>21</v>
      </c>
      <c r="AE421" t="n">
        <v>30</v>
      </c>
      <c r="AF421" t="n">
        <v>5</v>
      </c>
      <c r="AG421" t="n">
        <v>10</v>
      </c>
      <c r="AH421" t="n">
        <v>5</v>
      </c>
      <c r="AI421" t="n">
        <v>7</v>
      </c>
      <c r="AJ421" t="n">
        <v>17</v>
      </c>
      <c r="AK421" t="n">
        <v>22</v>
      </c>
      <c r="AL421" t="n">
        <v>1</v>
      </c>
      <c r="AM421" t="n">
        <v>1</v>
      </c>
      <c r="AN421" t="n">
        <v>0</v>
      </c>
      <c r="AO421" t="n">
        <v>0</v>
      </c>
      <c r="AP421" t="inlineStr">
        <is>
          <t>Yes</t>
        </is>
      </c>
      <c r="AQ421" t="inlineStr">
        <is>
          <t>Yes</t>
        </is>
      </c>
      <c r="AR421">
        <f>HYPERLINK("http://catalog.hathitrust.org/Record/007481123","HathiTrust Record")</f>
        <v/>
      </c>
      <c r="AS421">
        <f>HYPERLINK("https://creighton-primo.hosted.exlibrisgroup.com/primo-explore/search?tab=default_tab&amp;search_scope=EVERYTHING&amp;vid=01CRU&amp;lang=en_US&amp;offset=0&amp;query=any,contains,991003303809702656","Catalog Record")</f>
        <v/>
      </c>
      <c r="AT421">
        <f>HYPERLINK("http://www.worldcat.org/oclc/826880","WorldCat Record")</f>
        <v/>
      </c>
      <c r="AU421" t="inlineStr">
        <is>
          <t>4202605441:lat</t>
        </is>
      </c>
      <c r="AV421" t="inlineStr">
        <is>
          <t>826880</t>
        </is>
      </c>
      <c r="AW421" t="inlineStr">
        <is>
          <t>991003303809702656</t>
        </is>
      </c>
      <c r="AX421" t="inlineStr">
        <is>
          <t>991003303809702656</t>
        </is>
      </c>
      <c r="AY421" t="inlineStr">
        <is>
          <t>2269002020002656</t>
        </is>
      </c>
      <c r="AZ421" t="inlineStr">
        <is>
          <t>BOOK</t>
        </is>
      </c>
      <c r="BC421" t="inlineStr">
        <is>
          <t>32285001986958</t>
        </is>
      </c>
      <c r="BD421" t="inlineStr">
        <is>
          <t>893881033</t>
        </is>
      </c>
      <c r="BE421" t="inlineStr">
        <is>
          <t>Fajardo Acosta</t>
        </is>
      </c>
    </row>
    <row r="422">
      <c r="A422" t="inlineStr">
        <is>
          <t>No</t>
        </is>
      </c>
      <c r="B422" t="inlineStr">
        <is>
          <t>PA6105.S8 L5 1914</t>
        </is>
      </c>
      <c r="C422" t="inlineStr">
        <is>
          <t>0                      PA 6105000S  8                  L  5           1914</t>
        </is>
      </c>
      <c r="D422" t="inlineStr">
        <is>
          <t>Titi Livi Ab Urbe condita.</t>
        </is>
      </c>
      <c r="E422" t="inlineStr">
        <is>
          <t>V. 2</t>
        </is>
      </c>
      <c r="F422" t="inlineStr">
        <is>
          <t>Yes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Livy.</t>
        </is>
      </c>
      <c r="L422" t="inlineStr">
        <is>
          <t>Oxonii : E Typographeo Clarendoniano, 1914.</t>
        </is>
      </c>
      <c r="M422" t="inlineStr">
        <is>
          <t>1914</t>
        </is>
      </c>
      <c r="O422" t="inlineStr">
        <is>
          <t>lat</t>
        </is>
      </c>
      <c r="P422" t="inlineStr">
        <is>
          <t>enk</t>
        </is>
      </c>
      <c r="Q422" t="inlineStr">
        <is>
          <t>Scriptorum classicorum bibliotheca Oxoniensis</t>
        </is>
      </c>
      <c r="R422" t="inlineStr">
        <is>
          <t xml:space="preserve">PA </t>
        </is>
      </c>
      <c r="S422" t="n">
        <v>3</v>
      </c>
      <c r="T422" t="n">
        <v>5</v>
      </c>
      <c r="U422" t="inlineStr">
        <is>
          <t>1995-09-27</t>
        </is>
      </c>
      <c r="V422" t="inlineStr">
        <is>
          <t>2000-08-22</t>
        </is>
      </c>
      <c r="W422" t="inlineStr">
        <is>
          <t>1995-03-08</t>
        </is>
      </c>
      <c r="X422" t="inlineStr">
        <is>
          <t>1995-03-08</t>
        </is>
      </c>
      <c r="Y422" t="n">
        <v>258</v>
      </c>
      <c r="Z422" t="n">
        <v>215</v>
      </c>
      <c r="AA422" t="n">
        <v>353</v>
      </c>
      <c r="AB422" t="n">
        <v>2</v>
      </c>
      <c r="AC422" t="n">
        <v>2</v>
      </c>
      <c r="AD422" t="n">
        <v>21</v>
      </c>
      <c r="AE422" t="n">
        <v>30</v>
      </c>
      <c r="AF422" t="n">
        <v>5</v>
      </c>
      <c r="AG422" t="n">
        <v>10</v>
      </c>
      <c r="AH422" t="n">
        <v>5</v>
      </c>
      <c r="AI422" t="n">
        <v>7</v>
      </c>
      <c r="AJ422" t="n">
        <v>17</v>
      </c>
      <c r="AK422" t="n">
        <v>22</v>
      </c>
      <c r="AL422" t="n">
        <v>1</v>
      </c>
      <c r="AM422" t="n">
        <v>1</v>
      </c>
      <c r="AN422" t="n">
        <v>0</v>
      </c>
      <c r="AO422" t="n">
        <v>0</v>
      </c>
      <c r="AP422" t="inlineStr">
        <is>
          <t>Yes</t>
        </is>
      </c>
      <c r="AQ422" t="inlineStr">
        <is>
          <t>Yes</t>
        </is>
      </c>
      <c r="AR422">
        <f>HYPERLINK("http://catalog.hathitrust.org/Record/007481123","HathiTrust Record")</f>
        <v/>
      </c>
      <c r="AS422">
        <f>HYPERLINK("https://creighton-primo.hosted.exlibrisgroup.com/primo-explore/search?tab=default_tab&amp;search_scope=EVERYTHING&amp;vid=01CRU&amp;lang=en_US&amp;offset=0&amp;query=any,contains,991003303809702656","Catalog Record")</f>
        <v/>
      </c>
      <c r="AT422">
        <f>HYPERLINK("http://www.worldcat.org/oclc/826880","WorldCat Record")</f>
        <v/>
      </c>
      <c r="AU422" t="inlineStr">
        <is>
          <t>4202605441:lat</t>
        </is>
      </c>
      <c r="AV422" t="inlineStr">
        <is>
          <t>826880</t>
        </is>
      </c>
      <c r="AW422" t="inlineStr">
        <is>
          <t>991003303809702656</t>
        </is>
      </c>
      <c r="AX422" t="inlineStr">
        <is>
          <t>991003303809702656</t>
        </is>
      </c>
      <c r="AY422" t="inlineStr">
        <is>
          <t>2269002020002656</t>
        </is>
      </c>
      <c r="AZ422" t="inlineStr">
        <is>
          <t>BOOK</t>
        </is>
      </c>
      <c r="BC422" t="inlineStr">
        <is>
          <t>32285002020138</t>
        </is>
      </c>
      <c r="BD422" t="inlineStr">
        <is>
          <t>893874637</t>
        </is>
      </c>
      <c r="BE422" t="inlineStr">
        <is>
          <t>Fajardo Acosta</t>
        </is>
      </c>
    </row>
    <row r="423">
      <c r="A423" t="inlineStr">
        <is>
          <t>No</t>
        </is>
      </c>
      <c r="B423" t="inlineStr">
        <is>
          <t>PA6105.S8 T23</t>
        </is>
      </c>
      <c r="C423" t="inlineStr">
        <is>
          <t>0                      PA 6105000S  8                  T  23</t>
        </is>
      </c>
      <c r="D423" t="inlineStr">
        <is>
          <t>Cornelii Taciti Historiarvm libri; recognovit breviqve adnotatione critica instrvxit C. D. Fisher.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K423" t="inlineStr">
        <is>
          <t>Tacitus, Cornelius.</t>
        </is>
      </c>
      <c r="L423" t="inlineStr">
        <is>
          <t>Oxonii, Typographeo Clarendoniano [1910]</t>
        </is>
      </c>
      <c r="M423" t="inlineStr">
        <is>
          <t>1910</t>
        </is>
      </c>
      <c r="O423" t="inlineStr">
        <is>
          <t>lat</t>
        </is>
      </c>
      <c r="P423" t="inlineStr">
        <is>
          <t xml:space="preserve">gw </t>
        </is>
      </c>
      <c r="Q423" t="inlineStr">
        <is>
          <t>Scriptorum classicorum bibliotheca oxoniensis. [Script. lat.]</t>
        </is>
      </c>
      <c r="R423" t="inlineStr">
        <is>
          <t xml:space="preserve">PA </t>
        </is>
      </c>
      <c r="S423" t="n">
        <v>4</v>
      </c>
      <c r="T423" t="n">
        <v>4</v>
      </c>
      <c r="U423" t="inlineStr">
        <is>
          <t>2002-09-26</t>
        </is>
      </c>
      <c r="V423" t="inlineStr">
        <is>
          <t>2002-09-26</t>
        </is>
      </c>
      <c r="W423" t="inlineStr">
        <is>
          <t>1997-09-05</t>
        </is>
      </c>
      <c r="X423" t="inlineStr">
        <is>
          <t>1997-09-05</t>
        </is>
      </c>
      <c r="Y423" t="n">
        <v>309</v>
      </c>
      <c r="Z423" t="n">
        <v>257</v>
      </c>
      <c r="AA423" t="n">
        <v>323</v>
      </c>
      <c r="AB423" t="n">
        <v>2</v>
      </c>
      <c r="AC423" t="n">
        <v>2</v>
      </c>
      <c r="AD423" t="n">
        <v>23</v>
      </c>
      <c r="AE423" t="n">
        <v>27</v>
      </c>
      <c r="AF423" t="n">
        <v>5</v>
      </c>
      <c r="AG423" t="n">
        <v>6</v>
      </c>
      <c r="AH423" t="n">
        <v>7</v>
      </c>
      <c r="AI423" t="n">
        <v>9</v>
      </c>
      <c r="AJ423" t="n">
        <v>16</v>
      </c>
      <c r="AK423" t="n">
        <v>18</v>
      </c>
      <c r="AL423" t="n">
        <v>1</v>
      </c>
      <c r="AM423" t="n">
        <v>1</v>
      </c>
      <c r="AN423" t="n">
        <v>0</v>
      </c>
      <c r="AO423" t="n">
        <v>0</v>
      </c>
      <c r="AP423" t="inlineStr">
        <is>
          <t>Yes</t>
        </is>
      </c>
      <c r="AQ423" t="inlineStr">
        <is>
          <t>No</t>
        </is>
      </c>
      <c r="AR423">
        <f>HYPERLINK("http://catalog.hathitrust.org/Record/100663403","HathiTrust Record")</f>
        <v/>
      </c>
      <c r="AS423">
        <f>HYPERLINK("https://creighton-primo.hosted.exlibrisgroup.com/primo-explore/search?tab=default_tab&amp;search_scope=EVERYTHING&amp;vid=01CRU&amp;lang=en_US&amp;offset=0&amp;query=any,contains,991003977979702656","Catalog Record")</f>
        <v/>
      </c>
      <c r="AT423">
        <f>HYPERLINK("http://www.worldcat.org/oclc/2011572","WorldCat Record")</f>
        <v/>
      </c>
      <c r="AU423" t="inlineStr">
        <is>
          <t>3768433426:lat</t>
        </is>
      </c>
      <c r="AV423" t="inlineStr">
        <is>
          <t>2011572</t>
        </is>
      </c>
      <c r="AW423" t="inlineStr">
        <is>
          <t>991003977979702656</t>
        </is>
      </c>
      <c r="AX423" t="inlineStr">
        <is>
          <t>991003977979702656</t>
        </is>
      </c>
      <c r="AY423" t="inlineStr">
        <is>
          <t>2268301650002656</t>
        </is>
      </c>
      <c r="AZ423" t="inlineStr">
        <is>
          <t>BOOK</t>
        </is>
      </c>
      <c r="BC423" t="inlineStr">
        <is>
          <t>32285003201745</t>
        </is>
      </c>
      <c r="BD423" t="inlineStr">
        <is>
          <t>893234898</t>
        </is>
      </c>
      <c r="BE423" t="inlineStr">
        <is>
          <t>Fajardo Acosta</t>
        </is>
      </c>
    </row>
    <row r="424">
      <c r="A424" t="inlineStr">
        <is>
          <t>No</t>
        </is>
      </c>
      <c r="B424" t="inlineStr">
        <is>
          <t>PA6118.I5 L6</t>
        </is>
      </c>
      <c r="C424" t="inlineStr">
        <is>
          <t>0                      PA 6118000I  5                  L  6</t>
        </is>
      </c>
      <c r="D424" t="inlineStr">
        <is>
          <t>Handbook of Latin inscriptions, illustrating the history of the language, by W. M. Lindsay.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Lindsay, W. M. (Wallace Martin), 1858-1937.</t>
        </is>
      </c>
      <c r="L424" t="inlineStr">
        <is>
          <t>Boston, Allyn and Bacon, 1897.</t>
        </is>
      </c>
      <c r="M424" t="inlineStr">
        <is>
          <t>1897</t>
        </is>
      </c>
      <c r="O424" t="inlineStr">
        <is>
          <t>eng</t>
        </is>
      </c>
      <c r="P424" t="inlineStr">
        <is>
          <t>mau</t>
        </is>
      </c>
      <c r="Q424" t="inlineStr">
        <is>
          <t>Allyn and Bacon's college Latin series</t>
        </is>
      </c>
      <c r="R424" t="inlineStr">
        <is>
          <t xml:space="preserve">PA </t>
        </is>
      </c>
      <c r="S424" t="n">
        <v>2</v>
      </c>
      <c r="T424" t="n">
        <v>2</v>
      </c>
      <c r="U424" t="inlineStr">
        <is>
          <t>2002-10-09</t>
        </is>
      </c>
      <c r="V424" t="inlineStr">
        <is>
          <t>2002-10-09</t>
        </is>
      </c>
      <c r="W424" t="inlineStr">
        <is>
          <t>1997-09-05</t>
        </is>
      </c>
      <c r="X424" t="inlineStr">
        <is>
          <t>1997-09-05</t>
        </is>
      </c>
      <c r="Y424" t="n">
        <v>217</v>
      </c>
      <c r="Z424" t="n">
        <v>183</v>
      </c>
      <c r="AA424" t="n">
        <v>243</v>
      </c>
      <c r="AB424" t="n">
        <v>1</v>
      </c>
      <c r="AC424" t="n">
        <v>2</v>
      </c>
      <c r="AD424" t="n">
        <v>12</v>
      </c>
      <c r="AE424" t="n">
        <v>16</v>
      </c>
      <c r="AF424" t="n">
        <v>2</v>
      </c>
      <c r="AG424" t="n">
        <v>2</v>
      </c>
      <c r="AH424" t="n">
        <v>1</v>
      </c>
      <c r="AI424" t="n">
        <v>4</v>
      </c>
      <c r="AJ424" t="n">
        <v>11</v>
      </c>
      <c r="AK424" t="n">
        <v>13</v>
      </c>
      <c r="AL424" t="n">
        <v>0</v>
      </c>
      <c r="AM424" t="n">
        <v>1</v>
      </c>
      <c r="AN424" t="n">
        <v>0</v>
      </c>
      <c r="AO424" t="n">
        <v>0</v>
      </c>
      <c r="AP424" t="inlineStr">
        <is>
          <t>Yes</t>
        </is>
      </c>
      <c r="AQ424" t="inlineStr">
        <is>
          <t>No</t>
        </is>
      </c>
      <c r="AR424">
        <f>HYPERLINK("http://catalog.hathitrust.org/Record/000917441","HathiTrust Record")</f>
        <v/>
      </c>
      <c r="AS424">
        <f>HYPERLINK("https://creighton-primo.hosted.exlibrisgroup.com/primo-explore/search?tab=default_tab&amp;search_scope=EVERYTHING&amp;vid=01CRU&amp;lang=en_US&amp;offset=0&amp;query=any,contains,991003947679702656","Catalog Record")</f>
        <v/>
      </c>
      <c r="AT424">
        <f>HYPERLINK("http://www.worldcat.org/oclc/1948524","WorldCat Record")</f>
        <v/>
      </c>
      <c r="AU424" t="inlineStr">
        <is>
          <t>3370500:eng</t>
        </is>
      </c>
      <c r="AV424" t="inlineStr">
        <is>
          <t>1948524</t>
        </is>
      </c>
      <c r="AW424" t="inlineStr">
        <is>
          <t>991003947679702656</t>
        </is>
      </c>
      <c r="AX424" t="inlineStr">
        <is>
          <t>991003947679702656</t>
        </is>
      </c>
      <c r="AY424" t="inlineStr">
        <is>
          <t>2263431540002656</t>
        </is>
      </c>
      <c r="AZ424" t="inlineStr">
        <is>
          <t>BOOK</t>
        </is>
      </c>
      <c r="BC424" t="inlineStr">
        <is>
          <t>32285003201877</t>
        </is>
      </c>
      <c r="BD424" t="inlineStr">
        <is>
          <t>893705818</t>
        </is>
      </c>
      <c r="BE424" t="inlineStr">
        <is>
          <t>Fajardo Acosta</t>
        </is>
      </c>
    </row>
    <row r="425">
      <c r="A425" t="inlineStr">
        <is>
          <t>No</t>
        </is>
      </c>
      <c r="B425" t="inlineStr">
        <is>
          <t>PA6156 .A21 1988</t>
        </is>
      </c>
      <c r="C425" t="inlineStr">
        <is>
          <t>0                      PA 6156000A  21          1988</t>
        </is>
      </c>
      <c r="D425" t="inlineStr">
        <is>
          <t>Catullus, Tibullus, and Pervigilium Veneris.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K425" t="inlineStr">
        <is>
          <t>Catullus, Gaius Valerius.</t>
        </is>
      </c>
      <c r="L425" t="inlineStr">
        <is>
          <t>Cambridge, Mass. : Harvard University Press ; London : W. Heinemann, 1988, c1962.</t>
        </is>
      </c>
      <c r="M425" t="inlineStr">
        <is>
          <t>1988</t>
        </is>
      </c>
      <c r="N425" t="inlineStr">
        <is>
          <t>2nd ed. / rev. by G.P. Goold.</t>
        </is>
      </c>
      <c r="O425" t="inlineStr">
        <is>
          <t>eng</t>
        </is>
      </c>
      <c r="P425" t="inlineStr">
        <is>
          <t>mau</t>
        </is>
      </c>
      <c r="Q425" t="inlineStr">
        <is>
          <t>The Loeb classical library ; 6</t>
        </is>
      </c>
      <c r="R425" t="inlineStr">
        <is>
          <t xml:space="preserve">PA </t>
        </is>
      </c>
      <c r="S425" t="n">
        <v>4</v>
      </c>
      <c r="T425" t="n">
        <v>4</v>
      </c>
      <c r="U425" t="inlineStr">
        <is>
          <t>1998-05-19</t>
        </is>
      </c>
      <c r="V425" t="inlineStr">
        <is>
          <t>1998-05-19</t>
        </is>
      </c>
      <c r="W425" t="inlineStr">
        <is>
          <t>1992-07-20</t>
        </is>
      </c>
      <c r="X425" t="inlineStr">
        <is>
          <t>1992-07-20</t>
        </is>
      </c>
      <c r="Y425" t="n">
        <v>517</v>
      </c>
      <c r="Z425" t="n">
        <v>430</v>
      </c>
      <c r="AA425" t="n">
        <v>432</v>
      </c>
      <c r="AB425" t="n">
        <v>5</v>
      </c>
      <c r="AC425" t="n">
        <v>5</v>
      </c>
      <c r="AD425" t="n">
        <v>22</v>
      </c>
      <c r="AE425" t="n">
        <v>22</v>
      </c>
      <c r="AF425" t="n">
        <v>9</v>
      </c>
      <c r="AG425" t="n">
        <v>9</v>
      </c>
      <c r="AH425" t="n">
        <v>5</v>
      </c>
      <c r="AI425" t="n">
        <v>5</v>
      </c>
      <c r="AJ425" t="n">
        <v>13</v>
      </c>
      <c r="AK425" t="n">
        <v>13</v>
      </c>
      <c r="AL425" t="n">
        <v>3</v>
      </c>
      <c r="AM425" t="n">
        <v>3</v>
      </c>
      <c r="AN425" t="n">
        <v>0</v>
      </c>
      <c r="AO425" t="n">
        <v>0</v>
      </c>
      <c r="AP425" t="inlineStr">
        <is>
          <t>No</t>
        </is>
      </c>
      <c r="AQ425" t="inlineStr">
        <is>
          <t>Yes</t>
        </is>
      </c>
      <c r="AR425">
        <f>HYPERLINK("http://catalog.hathitrust.org/Record/001545291","HathiTrust Record")</f>
        <v/>
      </c>
      <c r="AS425">
        <f>HYPERLINK("https://creighton-primo.hosted.exlibrisgroup.com/primo-explore/search?tab=default_tab&amp;search_scope=EVERYTHING&amp;vid=01CRU&amp;lang=en_US&amp;offset=0&amp;query=any,contains,991001464929702656","Catalog Record")</f>
        <v/>
      </c>
      <c r="AT425">
        <f>HYPERLINK("http://www.worldcat.org/oclc/21008081","WorldCat Record")</f>
        <v/>
      </c>
      <c r="AU425" t="inlineStr">
        <is>
          <t>9964669039:eng</t>
        </is>
      </c>
      <c r="AV425" t="inlineStr">
        <is>
          <t>21008081</t>
        </is>
      </c>
      <c r="AW425" t="inlineStr">
        <is>
          <t>991001464929702656</t>
        </is>
      </c>
      <c r="AX425" t="inlineStr">
        <is>
          <t>991001464929702656</t>
        </is>
      </c>
      <c r="AY425" t="inlineStr">
        <is>
          <t>2259124960002656</t>
        </is>
      </c>
      <c r="AZ425" t="inlineStr">
        <is>
          <t>BOOK</t>
        </is>
      </c>
      <c r="BB425" t="inlineStr">
        <is>
          <t>9780674990074</t>
        </is>
      </c>
      <c r="BC425" t="inlineStr">
        <is>
          <t>32285001211746</t>
        </is>
      </c>
      <c r="BD425" t="inlineStr">
        <is>
          <t>893238140</t>
        </is>
      </c>
      <c r="BE425" t="inlineStr">
        <is>
          <t>Fajardo Acosta</t>
        </is>
      </c>
    </row>
    <row r="426">
      <c r="A426" t="inlineStr">
        <is>
          <t>No</t>
        </is>
      </c>
      <c r="B426" t="inlineStr">
        <is>
          <t>PA6156 .L8</t>
        </is>
      </c>
      <c r="C426" t="inlineStr">
        <is>
          <t>0                      PA 6156000L  8</t>
        </is>
      </c>
      <c r="D426" t="inlineStr">
        <is>
          <t>De rerum natura / with an English translation by W.H.D. Rouse.</t>
        </is>
      </c>
      <c r="F426" t="inlineStr">
        <is>
          <t>No</t>
        </is>
      </c>
      <c r="G426" t="inlineStr">
        <is>
          <t>1</t>
        </is>
      </c>
      <c r="H426" t="inlineStr">
        <is>
          <t>Yes</t>
        </is>
      </c>
      <c r="I426" t="inlineStr">
        <is>
          <t>Yes</t>
        </is>
      </c>
      <c r="J426" t="inlineStr">
        <is>
          <t>0</t>
        </is>
      </c>
      <c r="K426" t="inlineStr">
        <is>
          <t>Lucretius Carus, Titus.</t>
        </is>
      </c>
      <c r="L426" t="inlineStr">
        <is>
          <t>London : W. Heinemann ; New York : Putnam, 1924.</t>
        </is>
      </c>
      <c r="M426" t="inlineStr">
        <is>
          <t>1924</t>
        </is>
      </c>
      <c r="O426" t="inlineStr">
        <is>
          <t>eng</t>
        </is>
      </c>
      <c r="P426" t="inlineStr">
        <is>
          <t>enk</t>
        </is>
      </c>
      <c r="Q426" t="inlineStr">
        <is>
          <t>The Loeb classical library</t>
        </is>
      </c>
      <c r="R426" t="inlineStr">
        <is>
          <t xml:space="preserve">PA </t>
        </is>
      </c>
      <c r="S426" t="n">
        <v>18</v>
      </c>
      <c r="T426" t="n">
        <v>21</v>
      </c>
      <c r="U426" t="inlineStr">
        <is>
          <t>2003-01-18</t>
        </is>
      </c>
      <c r="V426" t="inlineStr">
        <is>
          <t>2003-01-18</t>
        </is>
      </c>
      <c r="W426" t="inlineStr">
        <is>
          <t>1991-12-23</t>
        </is>
      </c>
      <c r="X426" t="inlineStr">
        <is>
          <t>1992-07-20</t>
        </is>
      </c>
      <c r="Y426" t="n">
        <v>231</v>
      </c>
      <c r="Z426" t="n">
        <v>198</v>
      </c>
      <c r="AA426" t="n">
        <v>969</v>
      </c>
      <c r="AB426" t="n">
        <v>2</v>
      </c>
      <c r="AC426" t="n">
        <v>9</v>
      </c>
      <c r="AD426" t="n">
        <v>12</v>
      </c>
      <c r="AE426" t="n">
        <v>47</v>
      </c>
      <c r="AF426" t="n">
        <v>3</v>
      </c>
      <c r="AG426" t="n">
        <v>20</v>
      </c>
      <c r="AH426" t="n">
        <v>4</v>
      </c>
      <c r="AI426" t="n">
        <v>10</v>
      </c>
      <c r="AJ426" t="n">
        <v>8</v>
      </c>
      <c r="AK426" t="n">
        <v>25</v>
      </c>
      <c r="AL426" t="n">
        <v>1</v>
      </c>
      <c r="AM426" t="n">
        <v>6</v>
      </c>
      <c r="AN426" t="n">
        <v>0</v>
      </c>
      <c r="AO426" t="n">
        <v>0</v>
      </c>
      <c r="AP426" t="inlineStr">
        <is>
          <t>No</t>
        </is>
      </c>
      <c r="AQ426" t="inlineStr">
        <is>
          <t>No</t>
        </is>
      </c>
      <c r="AS426">
        <f>HYPERLINK("https://creighton-primo.hosted.exlibrisgroup.com/primo-explore/search?tab=default_tab&amp;search_scope=EVERYTHING&amp;vid=01CRU&amp;lang=en_US&amp;offset=0&amp;query=any,contains,991003825839702656","Catalog Record")</f>
        <v/>
      </c>
      <c r="AT426">
        <f>HYPERLINK("http://www.worldcat.org/oclc/1725069","WorldCat Record")</f>
        <v/>
      </c>
      <c r="AU426" t="inlineStr">
        <is>
          <t>3857351611:eng</t>
        </is>
      </c>
      <c r="AV426" t="inlineStr">
        <is>
          <t>1725069</t>
        </is>
      </c>
      <c r="AW426" t="inlineStr">
        <is>
          <t>991003825839702656</t>
        </is>
      </c>
      <c r="AX426" t="inlineStr">
        <is>
          <t>991003825839702656</t>
        </is>
      </c>
      <c r="AY426" t="inlineStr">
        <is>
          <t>2262730030002656</t>
        </is>
      </c>
      <c r="AZ426" t="inlineStr">
        <is>
          <t>BOOK</t>
        </is>
      </c>
      <c r="BC426" t="inlineStr">
        <is>
          <t>32285000880756</t>
        </is>
      </c>
      <c r="BD426" t="inlineStr">
        <is>
          <t>893324534</t>
        </is>
      </c>
      <c r="BE426" t="inlineStr">
        <is>
          <t>Fajardo Acosta</t>
        </is>
      </c>
    </row>
    <row r="427">
      <c r="A427" t="inlineStr">
        <is>
          <t>No</t>
        </is>
      </c>
      <c r="B427" t="inlineStr">
        <is>
          <t>PA6156 .L8</t>
        </is>
      </c>
      <c r="C427" t="inlineStr">
        <is>
          <t>0                      PA 6156000L  8</t>
        </is>
      </c>
      <c r="D427" t="inlineStr">
        <is>
          <t>De rerum natura / with an English translation by W.H.D. Rouse.</t>
        </is>
      </c>
      <c r="F427" t="inlineStr">
        <is>
          <t>No</t>
        </is>
      </c>
      <c r="G427" t="inlineStr">
        <is>
          <t>1</t>
        </is>
      </c>
      <c r="H427" t="inlineStr">
        <is>
          <t>Yes</t>
        </is>
      </c>
      <c r="I427" t="inlineStr">
        <is>
          <t>Yes</t>
        </is>
      </c>
      <c r="J427" t="inlineStr">
        <is>
          <t>0</t>
        </is>
      </c>
      <c r="K427" t="inlineStr">
        <is>
          <t>Lucretius Carus, Titus.</t>
        </is>
      </c>
      <c r="L427" t="inlineStr">
        <is>
          <t>London : W. Heinemann ; New York : Putnam, 1924.</t>
        </is>
      </c>
      <c r="M427" t="inlineStr">
        <is>
          <t>1924</t>
        </is>
      </c>
      <c r="O427" t="inlineStr">
        <is>
          <t>eng</t>
        </is>
      </c>
      <c r="P427" t="inlineStr">
        <is>
          <t>enk</t>
        </is>
      </c>
      <c r="Q427" t="inlineStr">
        <is>
          <t>The Loeb classical library</t>
        </is>
      </c>
      <c r="R427" t="inlineStr">
        <is>
          <t xml:space="preserve">PA </t>
        </is>
      </c>
      <c r="S427" t="n">
        <v>3</v>
      </c>
      <c r="T427" t="n">
        <v>21</v>
      </c>
      <c r="U427" t="inlineStr">
        <is>
          <t>1997-01-17</t>
        </is>
      </c>
      <c r="V427" t="inlineStr">
        <is>
          <t>2003-01-18</t>
        </is>
      </c>
      <c r="W427" t="inlineStr">
        <is>
          <t>1992-07-20</t>
        </is>
      </c>
      <c r="X427" t="inlineStr">
        <is>
          <t>1992-07-20</t>
        </is>
      </c>
      <c r="Y427" t="n">
        <v>231</v>
      </c>
      <c r="Z427" t="n">
        <v>198</v>
      </c>
      <c r="AA427" t="n">
        <v>969</v>
      </c>
      <c r="AB427" t="n">
        <v>2</v>
      </c>
      <c r="AC427" t="n">
        <v>9</v>
      </c>
      <c r="AD427" t="n">
        <v>12</v>
      </c>
      <c r="AE427" t="n">
        <v>47</v>
      </c>
      <c r="AF427" t="n">
        <v>3</v>
      </c>
      <c r="AG427" t="n">
        <v>20</v>
      </c>
      <c r="AH427" t="n">
        <v>4</v>
      </c>
      <c r="AI427" t="n">
        <v>10</v>
      </c>
      <c r="AJ427" t="n">
        <v>8</v>
      </c>
      <c r="AK427" t="n">
        <v>25</v>
      </c>
      <c r="AL427" t="n">
        <v>1</v>
      </c>
      <c r="AM427" t="n">
        <v>6</v>
      </c>
      <c r="AN427" t="n">
        <v>0</v>
      </c>
      <c r="AO427" t="n">
        <v>0</v>
      </c>
      <c r="AP427" t="inlineStr">
        <is>
          <t>No</t>
        </is>
      </c>
      <c r="AQ427" t="inlineStr">
        <is>
          <t>No</t>
        </is>
      </c>
      <c r="AS427">
        <f>HYPERLINK("https://creighton-primo.hosted.exlibrisgroup.com/primo-explore/search?tab=default_tab&amp;search_scope=EVERYTHING&amp;vid=01CRU&amp;lang=en_US&amp;offset=0&amp;query=any,contains,991003825839702656","Catalog Record")</f>
        <v/>
      </c>
      <c r="AT427">
        <f>HYPERLINK("http://www.worldcat.org/oclc/1725069","WorldCat Record")</f>
        <v/>
      </c>
      <c r="AU427" t="inlineStr">
        <is>
          <t>3857351611:eng</t>
        </is>
      </c>
      <c r="AV427" t="inlineStr">
        <is>
          <t>1725069</t>
        </is>
      </c>
      <c r="AW427" t="inlineStr">
        <is>
          <t>991003825839702656</t>
        </is>
      </c>
      <c r="AX427" t="inlineStr">
        <is>
          <t>991003825839702656</t>
        </is>
      </c>
      <c r="AY427" t="inlineStr">
        <is>
          <t>2262730030002656</t>
        </is>
      </c>
      <c r="AZ427" t="inlineStr">
        <is>
          <t>BOOK</t>
        </is>
      </c>
      <c r="BC427" t="inlineStr">
        <is>
          <t>32285001212512</t>
        </is>
      </c>
      <c r="BD427" t="inlineStr">
        <is>
          <t>893349192</t>
        </is>
      </c>
      <c r="BE427" t="inlineStr">
        <is>
          <t>Fajardo Acosta</t>
        </is>
      </c>
    </row>
    <row r="428">
      <c r="A428" t="inlineStr">
        <is>
          <t>No</t>
        </is>
      </c>
      <c r="B428" t="inlineStr">
        <is>
          <t>PA6156 .O87 1916</t>
        </is>
      </c>
      <c r="C428" t="inlineStr">
        <is>
          <t>0                      PA 6156000O  87          1916</t>
        </is>
      </c>
      <c r="D428" t="inlineStr">
        <is>
          <t>Ovid. Metamorphoses, with an English translation by Frank Justus Miller ...</t>
        </is>
      </c>
      <c r="E428" t="inlineStr">
        <is>
          <t>V. 2</t>
        </is>
      </c>
      <c r="F428" t="inlineStr">
        <is>
          <t>Yes</t>
        </is>
      </c>
      <c r="G428" t="inlineStr">
        <is>
          <t>2</t>
        </is>
      </c>
      <c r="H428" t="inlineStr">
        <is>
          <t>Yes</t>
        </is>
      </c>
      <c r="I428" t="inlineStr">
        <is>
          <t>No</t>
        </is>
      </c>
      <c r="J428" t="inlineStr">
        <is>
          <t>0</t>
        </is>
      </c>
      <c r="K428" t="inlineStr">
        <is>
          <t>Ovid, 43 B.C.-17 A.D. or 18 A.D.</t>
        </is>
      </c>
      <c r="L428" t="inlineStr">
        <is>
          <t>London, W. Heinemann; New York, G.P. Putnam's Sons, 1916.</t>
        </is>
      </c>
      <c r="M428" t="inlineStr">
        <is>
          <t>1916</t>
        </is>
      </c>
      <c r="O428" t="inlineStr">
        <is>
          <t>lat</t>
        </is>
      </c>
      <c r="P428" t="inlineStr">
        <is>
          <t>enk</t>
        </is>
      </c>
      <c r="Q428" t="inlineStr">
        <is>
          <t>The Loeb classical library</t>
        </is>
      </c>
      <c r="R428" t="inlineStr">
        <is>
          <t xml:space="preserve">PA </t>
        </is>
      </c>
      <c r="S428" t="n">
        <v>2</v>
      </c>
      <c r="T428" t="n">
        <v>33</v>
      </c>
      <c r="U428" t="inlineStr">
        <is>
          <t>1999-01-18</t>
        </is>
      </c>
      <c r="V428" t="inlineStr">
        <is>
          <t>2009-05-04</t>
        </is>
      </c>
      <c r="W428" t="inlineStr">
        <is>
          <t>1992-07-21</t>
        </is>
      </c>
      <c r="X428" t="inlineStr">
        <is>
          <t>1992-07-21</t>
        </is>
      </c>
      <c r="Y428" t="n">
        <v>371</v>
      </c>
      <c r="Z428" t="n">
        <v>353</v>
      </c>
      <c r="AA428" t="n">
        <v>383</v>
      </c>
      <c r="AB428" t="n">
        <v>4</v>
      </c>
      <c r="AC428" t="n">
        <v>4</v>
      </c>
      <c r="AD428" t="n">
        <v>17</v>
      </c>
      <c r="AE428" t="n">
        <v>18</v>
      </c>
      <c r="AF428" t="n">
        <v>5</v>
      </c>
      <c r="AG428" t="n">
        <v>5</v>
      </c>
      <c r="AH428" t="n">
        <v>4</v>
      </c>
      <c r="AI428" t="n">
        <v>4</v>
      </c>
      <c r="AJ428" t="n">
        <v>8</v>
      </c>
      <c r="AK428" t="n">
        <v>9</v>
      </c>
      <c r="AL428" t="n">
        <v>3</v>
      </c>
      <c r="AM428" t="n">
        <v>3</v>
      </c>
      <c r="AN428" t="n">
        <v>0</v>
      </c>
      <c r="AO428" t="n">
        <v>0</v>
      </c>
      <c r="AP428" t="inlineStr">
        <is>
          <t>Yes</t>
        </is>
      </c>
      <c r="AQ428" t="inlineStr">
        <is>
          <t>No</t>
        </is>
      </c>
      <c r="AR428">
        <f>HYPERLINK("http://catalog.hathitrust.org/Record/002440378","HathiTrust Record")</f>
        <v/>
      </c>
      <c r="AS428">
        <f>HYPERLINK("https://creighton-primo.hosted.exlibrisgroup.com/primo-explore/search?tab=default_tab&amp;search_scope=EVERYTHING&amp;vid=01CRU&amp;lang=en_US&amp;offset=0&amp;query=any,contains,991004456139702656","Catalog Record")</f>
        <v/>
      </c>
      <c r="AT428">
        <f>HYPERLINK("http://www.worldcat.org/oclc/3527221","WorldCat Record")</f>
        <v/>
      </c>
      <c r="AU428" t="inlineStr">
        <is>
          <t>969075466:lat</t>
        </is>
      </c>
      <c r="AV428" t="inlineStr">
        <is>
          <t>3527221</t>
        </is>
      </c>
      <c r="AW428" t="inlineStr">
        <is>
          <t>991004456139702656</t>
        </is>
      </c>
      <c r="AX428" t="inlineStr">
        <is>
          <t>991004456139702656</t>
        </is>
      </c>
      <c r="AY428" t="inlineStr">
        <is>
          <t>2257181840002656</t>
        </is>
      </c>
      <c r="AZ428" t="inlineStr">
        <is>
          <t>BOOK</t>
        </is>
      </c>
      <c r="BC428" t="inlineStr">
        <is>
          <t>32285001212587</t>
        </is>
      </c>
      <c r="BD428" t="inlineStr">
        <is>
          <t>893794864</t>
        </is>
      </c>
      <c r="BE428" t="inlineStr">
        <is>
          <t>Fajardo Acosta</t>
        </is>
      </c>
    </row>
    <row r="429">
      <c r="A429" t="inlineStr">
        <is>
          <t>No</t>
        </is>
      </c>
      <c r="B429" t="inlineStr">
        <is>
          <t>PA6156 .O87 1916</t>
        </is>
      </c>
      <c r="C429" t="inlineStr">
        <is>
          <t>0                      PA 6156000O  87          1916</t>
        </is>
      </c>
      <c r="D429" t="inlineStr">
        <is>
          <t>Ovid. Metamorphoses, with an English translation by Frank Justus Miller ...</t>
        </is>
      </c>
      <c r="E429" t="inlineStr">
        <is>
          <t>V. 1</t>
        </is>
      </c>
      <c r="F429" t="inlineStr">
        <is>
          <t>Yes</t>
        </is>
      </c>
      <c r="G429" t="inlineStr">
        <is>
          <t>1</t>
        </is>
      </c>
      <c r="H429" t="inlineStr">
        <is>
          <t>Yes</t>
        </is>
      </c>
      <c r="I429" t="inlineStr">
        <is>
          <t>No</t>
        </is>
      </c>
      <c r="J429" t="inlineStr">
        <is>
          <t>0</t>
        </is>
      </c>
      <c r="K429" t="inlineStr">
        <is>
          <t>Ovid, 43 B.C.-17 A.D. or 18 A.D.</t>
        </is>
      </c>
      <c r="L429" t="inlineStr">
        <is>
          <t>London, W. Heinemann; New York, G.P. Putnam's Sons, 1916.</t>
        </is>
      </c>
      <c r="M429" t="inlineStr">
        <is>
          <t>1916</t>
        </is>
      </c>
      <c r="O429" t="inlineStr">
        <is>
          <t>lat</t>
        </is>
      </c>
      <c r="P429" t="inlineStr">
        <is>
          <t>enk</t>
        </is>
      </c>
      <c r="Q429" t="inlineStr">
        <is>
          <t>The Loeb classical library</t>
        </is>
      </c>
      <c r="R429" t="inlineStr">
        <is>
          <t xml:space="preserve">PA </t>
        </is>
      </c>
      <c r="S429" t="n">
        <v>10</v>
      </c>
      <c r="T429" t="n">
        <v>33</v>
      </c>
      <c r="U429" t="inlineStr">
        <is>
          <t>1999-01-18</t>
        </is>
      </c>
      <c r="V429" t="inlineStr">
        <is>
          <t>2009-05-04</t>
        </is>
      </c>
      <c r="W429" t="inlineStr">
        <is>
          <t>1992-07-21</t>
        </is>
      </c>
      <c r="X429" t="inlineStr">
        <is>
          <t>1992-07-21</t>
        </is>
      </c>
      <c r="Y429" t="n">
        <v>371</v>
      </c>
      <c r="Z429" t="n">
        <v>353</v>
      </c>
      <c r="AA429" t="n">
        <v>383</v>
      </c>
      <c r="AB429" t="n">
        <v>4</v>
      </c>
      <c r="AC429" t="n">
        <v>4</v>
      </c>
      <c r="AD429" t="n">
        <v>17</v>
      </c>
      <c r="AE429" t="n">
        <v>18</v>
      </c>
      <c r="AF429" t="n">
        <v>5</v>
      </c>
      <c r="AG429" t="n">
        <v>5</v>
      </c>
      <c r="AH429" t="n">
        <v>4</v>
      </c>
      <c r="AI429" t="n">
        <v>4</v>
      </c>
      <c r="AJ429" t="n">
        <v>8</v>
      </c>
      <c r="AK429" t="n">
        <v>9</v>
      </c>
      <c r="AL429" t="n">
        <v>3</v>
      </c>
      <c r="AM429" t="n">
        <v>3</v>
      </c>
      <c r="AN429" t="n">
        <v>0</v>
      </c>
      <c r="AO429" t="n">
        <v>0</v>
      </c>
      <c r="AP429" t="inlineStr">
        <is>
          <t>Yes</t>
        </is>
      </c>
      <c r="AQ429" t="inlineStr">
        <is>
          <t>No</t>
        </is>
      </c>
      <c r="AR429">
        <f>HYPERLINK("http://catalog.hathitrust.org/Record/002440378","HathiTrust Record")</f>
        <v/>
      </c>
      <c r="AS429">
        <f>HYPERLINK("https://creighton-primo.hosted.exlibrisgroup.com/primo-explore/search?tab=default_tab&amp;search_scope=EVERYTHING&amp;vid=01CRU&amp;lang=en_US&amp;offset=0&amp;query=any,contains,991004456139702656","Catalog Record")</f>
        <v/>
      </c>
      <c r="AT429">
        <f>HYPERLINK("http://www.worldcat.org/oclc/3527221","WorldCat Record")</f>
        <v/>
      </c>
      <c r="AU429" t="inlineStr">
        <is>
          <t>969075466:lat</t>
        </is>
      </c>
      <c r="AV429" t="inlineStr">
        <is>
          <t>3527221</t>
        </is>
      </c>
      <c r="AW429" t="inlineStr">
        <is>
          <t>991004456139702656</t>
        </is>
      </c>
      <c r="AX429" t="inlineStr">
        <is>
          <t>991004456139702656</t>
        </is>
      </c>
      <c r="AY429" t="inlineStr">
        <is>
          <t>2257181840002656</t>
        </is>
      </c>
      <c r="AZ429" t="inlineStr">
        <is>
          <t>BOOK</t>
        </is>
      </c>
      <c r="BC429" t="inlineStr">
        <is>
          <t>32285001212553</t>
        </is>
      </c>
      <c r="BD429" t="inlineStr">
        <is>
          <t>893776028</t>
        </is>
      </c>
      <c r="BE429" t="inlineStr">
        <is>
          <t>Fajardo Acosta</t>
        </is>
      </c>
    </row>
    <row r="430">
      <c r="A430" t="inlineStr">
        <is>
          <t>No</t>
        </is>
      </c>
      <c r="B430" t="inlineStr">
        <is>
          <t>PA6156 .O89 1988, v.6</t>
        </is>
      </c>
      <c r="C430" t="inlineStr">
        <is>
          <t>0                      PA 6156000O  89          1988                                        v.6</t>
        </is>
      </c>
      <c r="D430" t="inlineStr">
        <is>
          <t>Tristia ; Ex Ponto / Ovid ; with an English translation by Arthur Leslie Wheeler.</t>
        </is>
      </c>
      <c r="E430" t="inlineStr">
        <is>
          <t>V. 6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Ovid, 43 B.C.-17 A.D. or 18 A.D.</t>
        </is>
      </c>
      <c r="L430" t="inlineStr">
        <is>
          <t>Cambridge, Mass. : Harvard University Press ; London : W. Heinemann, 1988.</t>
        </is>
      </c>
      <c r="M430" t="inlineStr">
        <is>
          <t>1988</t>
        </is>
      </c>
      <c r="N430" t="inlineStr">
        <is>
          <t>2nd ed. / rev. by G.P. Goold.</t>
        </is>
      </c>
      <c r="O430" t="inlineStr">
        <is>
          <t>eng</t>
        </is>
      </c>
      <c r="P430" t="inlineStr">
        <is>
          <t>mau</t>
        </is>
      </c>
      <c r="Q430" t="inlineStr">
        <is>
          <t>The Loeb classical library</t>
        </is>
      </c>
      <c r="R430" t="inlineStr">
        <is>
          <t xml:space="preserve">PA </t>
        </is>
      </c>
      <c r="S430" t="n">
        <v>1</v>
      </c>
      <c r="T430" t="n">
        <v>1</v>
      </c>
      <c r="U430" t="inlineStr">
        <is>
          <t>1992-12-15</t>
        </is>
      </c>
      <c r="V430" t="inlineStr">
        <is>
          <t>1992-12-15</t>
        </is>
      </c>
      <c r="W430" t="inlineStr">
        <is>
          <t>1992-07-20</t>
        </is>
      </c>
      <c r="X430" t="inlineStr">
        <is>
          <t>1992-07-20</t>
        </is>
      </c>
      <c r="Y430" t="n">
        <v>338</v>
      </c>
      <c r="Z430" t="n">
        <v>289</v>
      </c>
      <c r="AA430" t="n">
        <v>291</v>
      </c>
      <c r="AB430" t="n">
        <v>3</v>
      </c>
      <c r="AC430" t="n">
        <v>3</v>
      </c>
      <c r="AD430" t="n">
        <v>15</v>
      </c>
      <c r="AE430" t="n">
        <v>15</v>
      </c>
      <c r="AF430" t="n">
        <v>4</v>
      </c>
      <c r="AG430" t="n">
        <v>4</v>
      </c>
      <c r="AH430" t="n">
        <v>5</v>
      </c>
      <c r="AI430" t="n">
        <v>5</v>
      </c>
      <c r="AJ430" t="n">
        <v>10</v>
      </c>
      <c r="AK430" t="n">
        <v>10</v>
      </c>
      <c r="AL430" t="n">
        <v>2</v>
      </c>
      <c r="AM430" t="n">
        <v>2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HYPERLINK("http://catalog.hathitrust.org/Record/007107657","HathiTrust Record")</f>
        <v/>
      </c>
      <c r="AS430">
        <f>HYPERLINK("https://creighton-primo.hosted.exlibrisgroup.com/primo-explore/search?tab=default_tab&amp;search_scope=EVERYTHING&amp;vid=01CRU&amp;lang=en_US&amp;offset=0&amp;query=any,contains,991001465039702656","Catalog Record")</f>
        <v/>
      </c>
      <c r="AT430">
        <f>HYPERLINK("http://www.worldcat.org/oclc/20518519","WorldCat Record")</f>
        <v/>
      </c>
      <c r="AU430" t="inlineStr">
        <is>
          <t>10596495383:eng</t>
        </is>
      </c>
      <c r="AV430" t="inlineStr">
        <is>
          <t>20518519</t>
        </is>
      </c>
      <c r="AW430" t="inlineStr">
        <is>
          <t>991001465039702656</t>
        </is>
      </c>
      <c r="AX430" t="inlineStr">
        <is>
          <t>991001465039702656</t>
        </is>
      </c>
      <c r="AY430" t="inlineStr">
        <is>
          <t>2258015510002656</t>
        </is>
      </c>
      <c r="AZ430" t="inlineStr">
        <is>
          <t>BOOK</t>
        </is>
      </c>
      <c r="BB430" t="inlineStr">
        <is>
          <t>9780434001514</t>
        </is>
      </c>
      <c r="BC430" t="inlineStr">
        <is>
          <t>32285001212603</t>
        </is>
      </c>
      <c r="BD430" t="inlineStr">
        <is>
          <t>893590390</t>
        </is>
      </c>
      <c r="BE430" t="inlineStr">
        <is>
          <t>Fajardo Acosta</t>
        </is>
      </c>
    </row>
    <row r="431">
      <c r="A431" t="inlineStr">
        <is>
          <t>No</t>
        </is>
      </c>
      <c r="B431" t="inlineStr">
        <is>
          <t>PA6156 .P5</t>
        </is>
      </c>
      <c r="C431" t="inlineStr">
        <is>
          <t>0                      PA 6156000P  5</t>
        </is>
      </c>
      <c r="D431" t="inlineStr">
        <is>
          <t>Plautus : with an English translation / by Paul Nixon.</t>
        </is>
      </c>
      <c r="E431" t="inlineStr">
        <is>
          <t>V. 1</t>
        </is>
      </c>
      <c r="F431" t="inlineStr">
        <is>
          <t>Yes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Plautus, Titus Maccius.</t>
        </is>
      </c>
      <c r="L431" t="inlineStr">
        <is>
          <t>New York : G. P. Putnam's Sons ; London : W. Heinemann, 1916-38.</t>
        </is>
      </c>
      <c r="M431" t="inlineStr">
        <is>
          <t>1916</t>
        </is>
      </c>
      <c r="O431" t="inlineStr">
        <is>
          <t>eng</t>
        </is>
      </c>
      <c r="P431" t="inlineStr">
        <is>
          <t>nyu</t>
        </is>
      </c>
      <c r="Q431" t="inlineStr">
        <is>
          <t>The Loeb classical library</t>
        </is>
      </c>
      <c r="R431" t="inlineStr">
        <is>
          <t xml:space="preserve">PA </t>
        </is>
      </c>
      <c r="S431" t="n">
        <v>1</v>
      </c>
      <c r="T431" t="n">
        <v>10</v>
      </c>
      <c r="U431" t="inlineStr">
        <is>
          <t>1994-02-02</t>
        </is>
      </c>
      <c r="V431" t="inlineStr">
        <is>
          <t>2003-10-07</t>
        </is>
      </c>
      <c r="W431" t="inlineStr">
        <is>
          <t>1991-10-16</t>
        </is>
      </c>
      <c r="X431" t="inlineStr">
        <is>
          <t>1991-10-16</t>
        </is>
      </c>
      <c r="Y431" t="n">
        <v>103</v>
      </c>
      <c r="Z431" t="n">
        <v>97</v>
      </c>
      <c r="AA431" t="n">
        <v>237</v>
      </c>
      <c r="AB431" t="n">
        <v>1</v>
      </c>
      <c r="AC431" t="n">
        <v>1</v>
      </c>
      <c r="AD431" t="n">
        <v>4</v>
      </c>
      <c r="AE431" t="n">
        <v>7</v>
      </c>
      <c r="AF431" t="n">
        <v>2</v>
      </c>
      <c r="AG431" t="n">
        <v>3</v>
      </c>
      <c r="AH431" t="n">
        <v>0</v>
      </c>
      <c r="AI431" t="n">
        <v>1</v>
      </c>
      <c r="AJ431" t="n">
        <v>2</v>
      </c>
      <c r="AK431" t="n">
        <v>3</v>
      </c>
      <c r="AL431" t="n">
        <v>0</v>
      </c>
      <c r="AM431" t="n">
        <v>0</v>
      </c>
      <c r="AN431" t="n">
        <v>0</v>
      </c>
      <c r="AO431" t="n">
        <v>0</v>
      </c>
      <c r="AP431" t="inlineStr">
        <is>
          <t>Yes</t>
        </is>
      </c>
      <c r="AQ431" t="inlineStr">
        <is>
          <t>Yes</t>
        </is>
      </c>
      <c r="AR431">
        <f>HYPERLINK("http://catalog.hathitrust.org/Record/006150317","HathiTrust Record")</f>
        <v/>
      </c>
      <c r="AS431">
        <f>HYPERLINK("https://creighton-primo.hosted.exlibrisgroup.com/primo-explore/search?tab=default_tab&amp;search_scope=EVERYTHING&amp;vid=01CRU&amp;lang=en_US&amp;offset=0&amp;query=any,contains,991005072759702656","Catalog Record")</f>
        <v/>
      </c>
      <c r="AT431">
        <f>HYPERLINK("http://www.worldcat.org/oclc/7060631","WorldCat Record")</f>
        <v/>
      </c>
      <c r="AU431" t="inlineStr">
        <is>
          <t>8910147889:eng</t>
        </is>
      </c>
      <c r="AV431" t="inlineStr">
        <is>
          <t>7060631</t>
        </is>
      </c>
      <c r="AW431" t="inlineStr">
        <is>
          <t>991005072759702656</t>
        </is>
      </c>
      <c r="AX431" t="inlineStr">
        <is>
          <t>991005072759702656</t>
        </is>
      </c>
      <c r="AY431" t="inlineStr">
        <is>
          <t>2269609810002656</t>
        </is>
      </c>
      <c r="AZ431" t="inlineStr">
        <is>
          <t>BOOK</t>
        </is>
      </c>
      <c r="BC431" t="inlineStr">
        <is>
          <t>32285000770452</t>
        </is>
      </c>
      <c r="BD431" t="inlineStr">
        <is>
          <t>893412269</t>
        </is>
      </c>
      <c r="BE431" t="inlineStr">
        <is>
          <t>Fajardo Acosta</t>
        </is>
      </c>
    </row>
    <row r="432">
      <c r="A432" t="inlineStr">
        <is>
          <t>No</t>
        </is>
      </c>
      <c r="B432" t="inlineStr">
        <is>
          <t>PA6156 .P5</t>
        </is>
      </c>
      <c r="C432" t="inlineStr">
        <is>
          <t>0                      PA 6156000P  5</t>
        </is>
      </c>
      <c r="D432" t="inlineStr">
        <is>
          <t>Plautus : with an English translation / by Paul Nixon.</t>
        </is>
      </c>
      <c r="E432" t="inlineStr">
        <is>
          <t>V. 5</t>
        </is>
      </c>
      <c r="F432" t="inlineStr">
        <is>
          <t>Yes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Plautus, Titus Maccius.</t>
        </is>
      </c>
      <c r="L432" t="inlineStr">
        <is>
          <t>New York : G. P. Putnam's Sons ; London : W. Heinemann, 1916-38.</t>
        </is>
      </c>
      <c r="M432" t="inlineStr">
        <is>
          <t>1916</t>
        </is>
      </c>
      <c r="O432" t="inlineStr">
        <is>
          <t>eng</t>
        </is>
      </c>
      <c r="P432" t="inlineStr">
        <is>
          <t>nyu</t>
        </is>
      </c>
      <c r="Q432" t="inlineStr">
        <is>
          <t>The Loeb classical library</t>
        </is>
      </c>
      <c r="R432" t="inlineStr">
        <is>
          <t xml:space="preserve">PA </t>
        </is>
      </c>
      <c r="S432" t="n">
        <v>0</v>
      </c>
      <c r="T432" t="n">
        <v>10</v>
      </c>
      <c r="V432" t="inlineStr">
        <is>
          <t>2003-10-07</t>
        </is>
      </c>
      <c r="W432" t="inlineStr">
        <is>
          <t>1991-10-16</t>
        </is>
      </c>
      <c r="X432" t="inlineStr">
        <is>
          <t>1991-10-16</t>
        </is>
      </c>
      <c r="Y432" t="n">
        <v>103</v>
      </c>
      <c r="Z432" t="n">
        <v>97</v>
      </c>
      <c r="AA432" t="n">
        <v>237</v>
      </c>
      <c r="AB432" t="n">
        <v>1</v>
      </c>
      <c r="AC432" t="n">
        <v>1</v>
      </c>
      <c r="AD432" t="n">
        <v>4</v>
      </c>
      <c r="AE432" t="n">
        <v>7</v>
      </c>
      <c r="AF432" t="n">
        <v>2</v>
      </c>
      <c r="AG432" t="n">
        <v>3</v>
      </c>
      <c r="AH432" t="n">
        <v>0</v>
      </c>
      <c r="AI432" t="n">
        <v>1</v>
      </c>
      <c r="AJ432" t="n">
        <v>2</v>
      </c>
      <c r="AK432" t="n">
        <v>3</v>
      </c>
      <c r="AL432" t="n">
        <v>0</v>
      </c>
      <c r="AM432" t="n">
        <v>0</v>
      </c>
      <c r="AN432" t="n">
        <v>0</v>
      </c>
      <c r="AO432" t="n">
        <v>0</v>
      </c>
      <c r="AP432" t="inlineStr">
        <is>
          <t>Yes</t>
        </is>
      </c>
      <c r="AQ432" t="inlineStr">
        <is>
          <t>Yes</t>
        </is>
      </c>
      <c r="AR432">
        <f>HYPERLINK("http://catalog.hathitrust.org/Record/006150317","HathiTrust Record")</f>
        <v/>
      </c>
      <c r="AS432">
        <f>HYPERLINK("https://creighton-primo.hosted.exlibrisgroup.com/primo-explore/search?tab=default_tab&amp;search_scope=EVERYTHING&amp;vid=01CRU&amp;lang=en_US&amp;offset=0&amp;query=any,contains,991005072759702656","Catalog Record")</f>
        <v/>
      </c>
      <c r="AT432">
        <f>HYPERLINK("http://www.worldcat.org/oclc/7060631","WorldCat Record")</f>
        <v/>
      </c>
      <c r="AU432" t="inlineStr">
        <is>
          <t>8910147889:eng</t>
        </is>
      </c>
      <c r="AV432" t="inlineStr">
        <is>
          <t>7060631</t>
        </is>
      </c>
      <c r="AW432" t="inlineStr">
        <is>
          <t>991005072759702656</t>
        </is>
      </c>
      <c r="AX432" t="inlineStr">
        <is>
          <t>991005072759702656</t>
        </is>
      </c>
      <c r="AY432" t="inlineStr">
        <is>
          <t>2269609810002656</t>
        </is>
      </c>
      <c r="AZ432" t="inlineStr">
        <is>
          <t>BOOK</t>
        </is>
      </c>
      <c r="BC432" t="inlineStr">
        <is>
          <t>32285000770494</t>
        </is>
      </c>
      <c r="BD432" t="inlineStr">
        <is>
          <t>893418328</t>
        </is>
      </c>
      <c r="BE432" t="inlineStr">
        <is>
          <t>Fajardo Acosta</t>
        </is>
      </c>
    </row>
    <row r="433">
      <c r="A433" t="inlineStr">
        <is>
          <t>No</t>
        </is>
      </c>
      <c r="B433" t="inlineStr">
        <is>
          <t>PA6156 .P5</t>
        </is>
      </c>
      <c r="C433" t="inlineStr">
        <is>
          <t>0                      PA 6156000P  5</t>
        </is>
      </c>
      <c r="D433" t="inlineStr">
        <is>
          <t>Plautus : with an English translation / by Paul Nixon.</t>
        </is>
      </c>
      <c r="E433" t="inlineStr">
        <is>
          <t>V. 2</t>
        </is>
      </c>
      <c r="F433" t="inlineStr">
        <is>
          <t>Yes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Plautus, Titus Maccius.</t>
        </is>
      </c>
      <c r="L433" t="inlineStr">
        <is>
          <t>New York : G. P. Putnam's Sons ; London : W. Heinemann, 1916-38.</t>
        </is>
      </c>
      <c r="M433" t="inlineStr">
        <is>
          <t>1916</t>
        </is>
      </c>
      <c r="O433" t="inlineStr">
        <is>
          <t>eng</t>
        </is>
      </c>
      <c r="P433" t="inlineStr">
        <is>
          <t>nyu</t>
        </is>
      </c>
      <c r="Q433" t="inlineStr">
        <is>
          <t>The Loeb classical library</t>
        </is>
      </c>
      <c r="R433" t="inlineStr">
        <is>
          <t xml:space="preserve">PA </t>
        </is>
      </c>
      <c r="S433" t="n">
        <v>6</v>
      </c>
      <c r="T433" t="n">
        <v>10</v>
      </c>
      <c r="U433" t="inlineStr">
        <is>
          <t>1998-11-24</t>
        </is>
      </c>
      <c r="V433" t="inlineStr">
        <is>
          <t>2003-10-07</t>
        </is>
      </c>
      <c r="W433" t="inlineStr">
        <is>
          <t>1991-10-16</t>
        </is>
      </c>
      <c r="X433" t="inlineStr">
        <is>
          <t>1991-10-16</t>
        </is>
      </c>
      <c r="Y433" t="n">
        <v>103</v>
      </c>
      <c r="Z433" t="n">
        <v>97</v>
      </c>
      <c r="AA433" t="n">
        <v>237</v>
      </c>
      <c r="AB433" t="n">
        <v>1</v>
      </c>
      <c r="AC433" t="n">
        <v>1</v>
      </c>
      <c r="AD433" t="n">
        <v>4</v>
      </c>
      <c r="AE433" t="n">
        <v>7</v>
      </c>
      <c r="AF433" t="n">
        <v>2</v>
      </c>
      <c r="AG433" t="n">
        <v>3</v>
      </c>
      <c r="AH433" t="n">
        <v>0</v>
      </c>
      <c r="AI433" t="n">
        <v>1</v>
      </c>
      <c r="AJ433" t="n">
        <v>2</v>
      </c>
      <c r="AK433" t="n">
        <v>3</v>
      </c>
      <c r="AL433" t="n">
        <v>0</v>
      </c>
      <c r="AM433" t="n">
        <v>0</v>
      </c>
      <c r="AN433" t="n">
        <v>0</v>
      </c>
      <c r="AO433" t="n">
        <v>0</v>
      </c>
      <c r="AP433" t="inlineStr">
        <is>
          <t>Yes</t>
        </is>
      </c>
      <c r="AQ433" t="inlineStr">
        <is>
          <t>Yes</t>
        </is>
      </c>
      <c r="AR433">
        <f>HYPERLINK("http://catalog.hathitrust.org/Record/006150317","HathiTrust Record")</f>
        <v/>
      </c>
      <c r="AS433">
        <f>HYPERLINK("https://creighton-primo.hosted.exlibrisgroup.com/primo-explore/search?tab=default_tab&amp;search_scope=EVERYTHING&amp;vid=01CRU&amp;lang=en_US&amp;offset=0&amp;query=any,contains,991005072759702656","Catalog Record")</f>
        <v/>
      </c>
      <c r="AT433">
        <f>HYPERLINK("http://www.worldcat.org/oclc/7060631","WorldCat Record")</f>
        <v/>
      </c>
      <c r="AU433" t="inlineStr">
        <is>
          <t>8910147889:eng</t>
        </is>
      </c>
      <c r="AV433" t="inlineStr">
        <is>
          <t>7060631</t>
        </is>
      </c>
      <c r="AW433" t="inlineStr">
        <is>
          <t>991005072759702656</t>
        </is>
      </c>
      <c r="AX433" t="inlineStr">
        <is>
          <t>991005072759702656</t>
        </is>
      </c>
      <c r="AY433" t="inlineStr">
        <is>
          <t>2269609810002656</t>
        </is>
      </c>
      <c r="AZ433" t="inlineStr">
        <is>
          <t>BOOK</t>
        </is>
      </c>
      <c r="BC433" t="inlineStr">
        <is>
          <t>32285000770460</t>
        </is>
      </c>
      <c r="BD433" t="inlineStr">
        <is>
          <t>893418329</t>
        </is>
      </c>
      <c r="BE433" t="inlineStr">
        <is>
          <t>Fajardo Acosta</t>
        </is>
      </c>
    </row>
    <row r="434">
      <c r="A434" t="inlineStr">
        <is>
          <t>No</t>
        </is>
      </c>
      <c r="B434" t="inlineStr">
        <is>
          <t>PA6156 .P5</t>
        </is>
      </c>
      <c r="C434" t="inlineStr">
        <is>
          <t>0                      PA 6156000P  5</t>
        </is>
      </c>
      <c r="D434" t="inlineStr">
        <is>
          <t>Plautus : with an English translation / by Paul Nixon.</t>
        </is>
      </c>
      <c r="E434" t="inlineStr">
        <is>
          <t>V. 4</t>
        </is>
      </c>
      <c r="F434" t="inlineStr">
        <is>
          <t>Yes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K434" t="inlineStr">
        <is>
          <t>Plautus, Titus Maccius.</t>
        </is>
      </c>
      <c r="L434" t="inlineStr">
        <is>
          <t>New York : G. P. Putnam's Sons ; London : W. Heinemann, 1916-38.</t>
        </is>
      </c>
      <c r="M434" t="inlineStr">
        <is>
          <t>1916</t>
        </is>
      </c>
      <c r="O434" t="inlineStr">
        <is>
          <t>eng</t>
        </is>
      </c>
      <c r="P434" t="inlineStr">
        <is>
          <t>nyu</t>
        </is>
      </c>
      <c r="Q434" t="inlineStr">
        <is>
          <t>The Loeb classical library</t>
        </is>
      </c>
      <c r="R434" t="inlineStr">
        <is>
          <t xml:space="preserve">PA </t>
        </is>
      </c>
      <c r="S434" t="n">
        <v>3</v>
      </c>
      <c r="T434" t="n">
        <v>10</v>
      </c>
      <c r="U434" t="inlineStr">
        <is>
          <t>2003-10-07</t>
        </is>
      </c>
      <c r="V434" t="inlineStr">
        <is>
          <t>2003-10-07</t>
        </is>
      </c>
      <c r="W434" t="inlineStr">
        <is>
          <t>1991-10-16</t>
        </is>
      </c>
      <c r="X434" t="inlineStr">
        <is>
          <t>1991-10-16</t>
        </is>
      </c>
      <c r="Y434" t="n">
        <v>103</v>
      </c>
      <c r="Z434" t="n">
        <v>97</v>
      </c>
      <c r="AA434" t="n">
        <v>237</v>
      </c>
      <c r="AB434" t="n">
        <v>1</v>
      </c>
      <c r="AC434" t="n">
        <v>1</v>
      </c>
      <c r="AD434" t="n">
        <v>4</v>
      </c>
      <c r="AE434" t="n">
        <v>7</v>
      </c>
      <c r="AF434" t="n">
        <v>2</v>
      </c>
      <c r="AG434" t="n">
        <v>3</v>
      </c>
      <c r="AH434" t="n">
        <v>0</v>
      </c>
      <c r="AI434" t="n">
        <v>1</v>
      </c>
      <c r="AJ434" t="n">
        <v>2</v>
      </c>
      <c r="AK434" t="n">
        <v>3</v>
      </c>
      <c r="AL434" t="n">
        <v>0</v>
      </c>
      <c r="AM434" t="n">
        <v>0</v>
      </c>
      <c r="AN434" t="n">
        <v>0</v>
      </c>
      <c r="AO434" t="n">
        <v>0</v>
      </c>
      <c r="AP434" t="inlineStr">
        <is>
          <t>Yes</t>
        </is>
      </c>
      <c r="AQ434" t="inlineStr">
        <is>
          <t>Yes</t>
        </is>
      </c>
      <c r="AR434">
        <f>HYPERLINK("http://catalog.hathitrust.org/Record/006150317","HathiTrust Record")</f>
        <v/>
      </c>
      <c r="AS434">
        <f>HYPERLINK("https://creighton-primo.hosted.exlibrisgroup.com/primo-explore/search?tab=default_tab&amp;search_scope=EVERYTHING&amp;vid=01CRU&amp;lang=en_US&amp;offset=0&amp;query=any,contains,991005072759702656","Catalog Record")</f>
        <v/>
      </c>
      <c r="AT434">
        <f>HYPERLINK("http://www.worldcat.org/oclc/7060631","WorldCat Record")</f>
        <v/>
      </c>
      <c r="AU434" t="inlineStr">
        <is>
          <t>8910147889:eng</t>
        </is>
      </c>
      <c r="AV434" t="inlineStr">
        <is>
          <t>7060631</t>
        </is>
      </c>
      <c r="AW434" t="inlineStr">
        <is>
          <t>991005072759702656</t>
        </is>
      </c>
      <c r="AX434" t="inlineStr">
        <is>
          <t>991005072759702656</t>
        </is>
      </c>
      <c r="AY434" t="inlineStr">
        <is>
          <t>2269609810002656</t>
        </is>
      </c>
      <c r="AZ434" t="inlineStr">
        <is>
          <t>BOOK</t>
        </is>
      </c>
      <c r="BC434" t="inlineStr">
        <is>
          <t>32285000770486</t>
        </is>
      </c>
      <c r="BD434" t="inlineStr">
        <is>
          <t>893437093</t>
        </is>
      </c>
      <c r="BE434" t="inlineStr">
        <is>
          <t>Fajardo Acosta</t>
        </is>
      </c>
    </row>
    <row r="435">
      <c r="A435" t="inlineStr">
        <is>
          <t>No</t>
        </is>
      </c>
      <c r="B435" t="inlineStr">
        <is>
          <t>PA6156 .S3 1965b</t>
        </is>
      </c>
      <c r="C435" t="inlineStr">
        <is>
          <t>0                      PA 6156000S  3           1965b</t>
        </is>
      </c>
      <c r="D435" t="inlineStr">
        <is>
          <t>Sallust, with an English translation by J. C. Rolfe.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K435" t="inlineStr">
        <is>
          <t>Sallust, 86 B.C.-34 B.C.</t>
        </is>
      </c>
      <c r="L435" t="inlineStr">
        <is>
          <t>Cambridge, Mass., Harvard University Press, 1965.</t>
        </is>
      </c>
      <c r="M435" t="inlineStr">
        <is>
          <t>1965</t>
        </is>
      </c>
      <c r="N435" t="inlineStr">
        <is>
          <t>[Rev.]</t>
        </is>
      </c>
      <c r="O435" t="inlineStr">
        <is>
          <t>eng</t>
        </is>
      </c>
      <c r="P435" t="inlineStr">
        <is>
          <t xml:space="preserve">xx </t>
        </is>
      </c>
      <c r="Q435" t="inlineStr">
        <is>
          <t>The Loeb classical library</t>
        </is>
      </c>
      <c r="R435" t="inlineStr">
        <is>
          <t xml:space="preserve">PA </t>
        </is>
      </c>
      <c r="S435" t="n">
        <v>1</v>
      </c>
      <c r="T435" t="n">
        <v>1</v>
      </c>
      <c r="U435" t="inlineStr">
        <is>
          <t>1998-04-15</t>
        </is>
      </c>
      <c r="V435" t="inlineStr">
        <is>
          <t>1998-04-15</t>
        </is>
      </c>
      <c r="W435" t="inlineStr">
        <is>
          <t>1992-07-21</t>
        </is>
      </c>
      <c r="X435" t="inlineStr">
        <is>
          <t>1992-07-21</t>
        </is>
      </c>
      <c r="Y435" t="n">
        <v>136</v>
      </c>
      <c r="Z435" t="n">
        <v>123</v>
      </c>
      <c r="AA435" t="n">
        <v>159</v>
      </c>
      <c r="AB435" t="n">
        <v>2</v>
      </c>
      <c r="AC435" t="n">
        <v>2</v>
      </c>
      <c r="AD435" t="n">
        <v>4</v>
      </c>
      <c r="AE435" t="n">
        <v>5</v>
      </c>
      <c r="AF435" t="n">
        <v>0</v>
      </c>
      <c r="AG435" t="n">
        <v>1</v>
      </c>
      <c r="AH435" t="n">
        <v>1</v>
      </c>
      <c r="AI435" t="n">
        <v>1</v>
      </c>
      <c r="AJ435" t="n">
        <v>3</v>
      </c>
      <c r="AK435" t="n">
        <v>4</v>
      </c>
      <c r="AL435" t="n">
        <v>1</v>
      </c>
      <c r="AM435" t="n">
        <v>1</v>
      </c>
      <c r="AN435" t="n">
        <v>0</v>
      </c>
      <c r="AO435" t="n">
        <v>0</v>
      </c>
      <c r="AP435" t="inlineStr">
        <is>
          <t>No</t>
        </is>
      </c>
      <c r="AQ435" t="inlineStr">
        <is>
          <t>No</t>
        </is>
      </c>
      <c r="AS435">
        <f>HYPERLINK("https://creighton-primo.hosted.exlibrisgroup.com/primo-explore/search?tab=default_tab&amp;search_scope=EVERYTHING&amp;vid=01CRU&amp;lang=en_US&amp;offset=0&amp;query=any,contains,991002565189702656","Catalog Record")</f>
        <v/>
      </c>
      <c r="AT435">
        <f>HYPERLINK("http://www.worldcat.org/oclc/372439","WorldCat Record")</f>
        <v/>
      </c>
      <c r="AU435" t="inlineStr">
        <is>
          <t>5578540632:eng</t>
        </is>
      </c>
      <c r="AV435" t="inlineStr">
        <is>
          <t>372439</t>
        </is>
      </c>
      <c r="AW435" t="inlineStr">
        <is>
          <t>991002565189702656</t>
        </is>
      </c>
      <c r="AX435" t="inlineStr">
        <is>
          <t>991002565189702656</t>
        </is>
      </c>
      <c r="AY435" t="inlineStr">
        <is>
          <t>2261829730002656</t>
        </is>
      </c>
      <c r="AZ435" t="inlineStr">
        <is>
          <t>BOOK</t>
        </is>
      </c>
      <c r="BC435" t="inlineStr">
        <is>
          <t>32285001212843</t>
        </is>
      </c>
      <c r="BD435" t="inlineStr">
        <is>
          <t>893704222</t>
        </is>
      </c>
      <c r="BE435" t="inlineStr">
        <is>
          <t>Fajardo Acosta</t>
        </is>
      </c>
    </row>
    <row r="436">
      <c r="A436" t="inlineStr">
        <is>
          <t>No</t>
        </is>
      </c>
      <c r="B436" t="inlineStr">
        <is>
          <t>PA6156 .S58 1936</t>
        </is>
      </c>
      <c r="C436" t="inlineStr">
        <is>
          <t>0                      PA 6156000S  58          1936</t>
        </is>
      </c>
      <c r="D436" t="inlineStr">
        <is>
          <t>Poems and letters, with an English translation, introduction, and notes by W.B. Anderson ...</t>
        </is>
      </c>
      <c r="E436" t="inlineStr">
        <is>
          <t>V. 1</t>
        </is>
      </c>
      <c r="F436" t="inlineStr">
        <is>
          <t>Yes</t>
        </is>
      </c>
      <c r="G436" t="inlineStr">
        <is>
          <t>2</t>
        </is>
      </c>
      <c r="H436" t="inlineStr">
        <is>
          <t>Yes</t>
        </is>
      </c>
      <c r="I436" t="inlineStr">
        <is>
          <t>Yes</t>
        </is>
      </c>
      <c r="J436" t="inlineStr">
        <is>
          <t>0</t>
        </is>
      </c>
      <c r="K436" t="inlineStr">
        <is>
          <t>Sidonius Apollinaris, Saint, 431 or 432-approximately 487.</t>
        </is>
      </c>
      <c r="L436" t="inlineStr">
        <is>
          <t>Cambridge, Mass., Harvard University Press, London, W. Heinemann ltd., 1936.</t>
        </is>
      </c>
      <c r="M436" t="inlineStr">
        <is>
          <t>1936</t>
        </is>
      </c>
      <c r="O436" t="inlineStr">
        <is>
          <t>eng</t>
        </is>
      </c>
      <c r="P436" t="inlineStr">
        <is>
          <t>mau</t>
        </is>
      </c>
      <c r="Q436" t="inlineStr">
        <is>
          <t>The Loeb classical library</t>
        </is>
      </c>
      <c r="R436" t="inlineStr">
        <is>
          <t xml:space="preserve">PA </t>
        </is>
      </c>
      <c r="S436" t="n">
        <v>1</v>
      </c>
      <c r="T436" t="n">
        <v>2</v>
      </c>
      <c r="U436" t="inlineStr">
        <is>
          <t>1996-09-25</t>
        </is>
      </c>
      <c r="V436" t="inlineStr">
        <is>
          <t>1996-09-25</t>
        </is>
      </c>
      <c r="W436" t="inlineStr">
        <is>
          <t>1992-07-21</t>
        </is>
      </c>
      <c r="X436" t="inlineStr">
        <is>
          <t>1992-07-21</t>
        </is>
      </c>
      <c r="Y436" t="n">
        <v>417</v>
      </c>
      <c r="Z436" t="n">
        <v>350</v>
      </c>
      <c r="AA436" t="n">
        <v>727</v>
      </c>
      <c r="AB436" t="n">
        <v>1</v>
      </c>
      <c r="AC436" t="n">
        <v>3</v>
      </c>
      <c r="AD436" t="n">
        <v>18</v>
      </c>
      <c r="AE436" t="n">
        <v>39</v>
      </c>
      <c r="AF436" t="n">
        <v>7</v>
      </c>
      <c r="AG436" t="n">
        <v>16</v>
      </c>
      <c r="AH436" t="n">
        <v>5</v>
      </c>
      <c r="AI436" t="n">
        <v>9</v>
      </c>
      <c r="AJ436" t="n">
        <v>13</v>
      </c>
      <c r="AK436" t="n">
        <v>24</v>
      </c>
      <c r="AL436" t="n">
        <v>0</v>
      </c>
      <c r="AM436" t="n">
        <v>2</v>
      </c>
      <c r="AN436" t="n">
        <v>0</v>
      </c>
      <c r="AO436" t="n">
        <v>0</v>
      </c>
      <c r="AP436" t="inlineStr">
        <is>
          <t>No</t>
        </is>
      </c>
      <c r="AQ436" t="inlineStr">
        <is>
          <t>Yes</t>
        </is>
      </c>
      <c r="AR436">
        <f>HYPERLINK("http://catalog.hathitrust.org/Record/001809940","HathiTrust Record")</f>
        <v/>
      </c>
      <c r="AS436">
        <f>HYPERLINK("https://creighton-primo.hosted.exlibrisgroup.com/primo-explore/search?tab=default_tab&amp;search_scope=EVERYTHING&amp;vid=01CRU&amp;lang=en_US&amp;offset=0&amp;query=any,contains,991004756569702656","Catalog Record")</f>
        <v/>
      </c>
      <c r="AT436">
        <f>HYPERLINK("http://www.worldcat.org/oclc/4969859","WorldCat Record")</f>
        <v/>
      </c>
      <c r="AU436" t="inlineStr">
        <is>
          <t>3276592:eng</t>
        </is>
      </c>
      <c r="AV436" t="inlineStr">
        <is>
          <t>4969859</t>
        </is>
      </c>
      <c r="AW436" t="inlineStr">
        <is>
          <t>991004756569702656</t>
        </is>
      </c>
      <c r="AX436" t="inlineStr">
        <is>
          <t>991004756569702656</t>
        </is>
      </c>
      <c r="AY436" t="inlineStr">
        <is>
          <t>2254889100002656</t>
        </is>
      </c>
      <c r="AZ436" t="inlineStr">
        <is>
          <t>BOOK</t>
        </is>
      </c>
      <c r="BC436" t="inlineStr">
        <is>
          <t>32285001212900</t>
        </is>
      </c>
      <c r="BD436" t="inlineStr">
        <is>
          <t>893325737</t>
        </is>
      </c>
      <c r="BE436" t="inlineStr">
        <is>
          <t>Fajardo Acosta</t>
        </is>
      </c>
    </row>
    <row r="437">
      <c r="A437" t="inlineStr">
        <is>
          <t>No</t>
        </is>
      </c>
      <c r="B437" t="inlineStr">
        <is>
          <t>PA6156 .S58 1936</t>
        </is>
      </c>
      <c r="C437" t="inlineStr">
        <is>
          <t>0                      PA 6156000S  58          1936</t>
        </is>
      </c>
      <c r="D437" t="inlineStr">
        <is>
          <t>Poems and letters, with an English translation, introduction, and notes by W.B. Anderson ...</t>
        </is>
      </c>
      <c r="E437" t="inlineStr">
        <is>
          <t>V. 2</t>
        </is>
      </c>
      <c r="F437" t="inlineStr">
        <is>
          <t>Yes</t>
        </is>
      </c>
      <c r="G437" t="inlineStr">
        <is>
          <t>1</t>
        </is>
      </c>
      <c r="H437" t="inlineStr">
        <is>
          <t>No</t>
        </is>
      </c>
      <c r="I437" t="inlineStr">
        <is>
          <t>Yes</t>
        </is>
      </c>
      <c r="J437" t="inlineStr">
        <is>
          <t>0</t>
        </is>
      </c>
      <c r="K437" t="inlineStr">
        <is>
          <t>Sidonius Apollinaris, Saint, 431 or 432-approximately 487.</t>
        </is>
      </c>
      <c r="L437" t="inlineStr">
        <is>
          <t>Cambridge, Mass., Harvard University Press, London, W. Heinemann ltd., 1936.</t>
        </is>
      </c>
      <c r="M437" t="inlineStr">
        <is>
          <t>1936</t>
        </is>
      </c>
      <c r="O437" t="inlineStr">
        <is>
          <t>eng</t>
        </is>
      </c>
      <c r="P437" t="inlineStr">
        <is>
          <t>mau</t>
        </is>
      </c>
      <c r="Q437" t="inlineStr">
        <is>
          <t>The Loeb classical library</t>
        </is>
      </c>
      <c r="R437" t="inlineStr">
        <is>
          <t xml:space="preserve">PA </t>
        </is>
      </c>
      <c r="S437" t="n">
        <v>0</v>
      </c>
      <c r="T437" t="n">
        <v>2</v>
      </c>
      <c r="V437" t="inlineStr">
        <is>
          <t>1996-09-25</t>
        </is>
      </c>
      <c r="W437" t="inlineStr">
        <is>
          <t>1992-07-21</t>
        </is>
      </c>
      <c r="X437" t="inlineStr">
        <is>
          <t>1992-07-21</t>
        </is>
      </c>
      <c r="Y437" t="n">
        <v>417</v>
      </c>
      <c r="Z437" t="n">
        <v>350</v>
      </c>
      <c r="AA437" t="n">
        <v>727</v>
      </c>
      <c r="AB437" t="n">
        <v>1</v>
      </c>
      <c r="AC437" t="n">
        <v>3</v>
      </c>
      <c r="AD437" t="n">
        <v>18</v>
      </c>
      <c r="AE437" t="n">
        <v>39</v>
      </c>
      <c r="AF437" t="n">
        <v>7</v>
      </c>
      <c r="AG437" t="n">
        <v>16</v>
      </c>
      <c r="AH437" t="n">
        <v>5</v>
      </c>
      <c r="AI437" t="n">
        <v>9</v>
      </c>
      <c r="AJ437" t="n">
        <v>13</v>
      </c>
      <c r="AK437" t="n">
        <v>24</v>
      </c>
      <c r="AL437" t="n">
        <v>0</v>
      </c>
      <c r="AM437" t="n">
        <v>2</v>
      </c>
      <c r="AN437" t="n">
        <v>0</v>
      </c>
      <c r="AO437" t="n">
        <v>0</v>
      </c>
      <c r="AP437" t="inlineStr">
        <is>
          <t>No</t>
        </is>
      </c>
      <c r="AQ437" t="inlineStr">
        <is>
          <t>Yes</t>
        </is>
      </c>
      <c r="AR437">
        <f>HYPERLINK("http://catalog.hathitrust.org/Record/001809940","HathiTrust Record")</f>
        <v/>
      </c>
      <c r="AS437">
        <f>HYPERLINK("https://creighton-primo.hosted.exlibrisgroup.com/primo-explore/search?tab=default_tab&amp;search_scope=EVERYTHING&amp;vid=01CRU&amp;lang=en_US&amp;offset=0&amp;query=any,contains,991004756569702656","Catalog Record")</f>
        <v/>
      </c>
      <c r="AT437">
        <f>HYPERLINK("http://www.worldcat.org/oclc/4969859","WorldCat Record")</f>
        <v/>
      </c>
      <c r="AU437" t="inlineStr">
        <is>
          <t>3276592:eng</t>
        </is>
      </c>
      <c r="AV437" t="inlineStr">
        <is>
          <t>4969859</t>
        </is>
      </c>
      <c r="AW437" t="inlineStr">
        <is>
          <t>991004756569702656</t>
        </is>
      </c>
      <c r="AX437" t="inlineStr">
        <is>
          <t>991004756569702656</t>
        </is>
      </c>
      <c r="AY437" t="inlineStr">
        <is>
          <t>2254889100002656</t>
        </is>
      </c>
      <c r="AZ437" t="inlineStr">
        <is>
          <t>BOOK</t>
        </is>
      </c>
      <c r="BC437" t="inlineStr">
        <is>
          <t>32285001212918</t>
        </is>
      </c>
      <c r="BD437" t="inlineStr">
        <is>
          <t>893325738</t>
        </is>
      </c>
      <c r="BE437" t="inlineStr">
        <is>
          <t>Fajardo Acosta</t>
        </is>
      </c>
    </row>
    <row r="438">
      <c r="A438" t="inlineStr">
        <is>
          <t>No</t>
        </is>
      </c>
      <c r="B438" t="inlineStr">
        <is>
          <t>PA6156 .S58 1936</t>
        </is>
      </c>
      <c r="C438" t="inlineStr">
        <is>
          <t>0                      PA 6156000S  58          1936</t>
        </is>
      </c>
      <c r="D438" t="inlineStr">
        <is>
          <t>Poems and letters, with an English translation, introduction, and notes by W.B. Anderson ...</t>
        </is>
      </c>
      <c r="E438" t="inlineStr">
        <is>
          <t>V. 1</t>
        </is>
      </c>
      <c r="F438" t="inlineStr">
        <is>
          <t>Yes</t>
        </is>
      </c>
      <c r="G438" t="inlineStr">
        <is>
          <t>1</t>
        </is>
      </c>
      <c r="H438" t="inlineStr">
        <is>
          <t>Yes</t>
        </is>
      </c>
      <c r="I438" t="inlineStr">
        <is>
          <t>Yes</t>
        </is>
      </c>
      <c r="J438" t="inlineStr">
        <is>
          <t>0</t>
        </is>
      </c>
      <c r="K438" t="inlineStr">
        <is>
          <t>Sidonius Apollinaris, Saint, 431 or 432-approximately 487.</t>
        </is>
      </c>
      <c r="L438" t="inlineStr">
        <is>
          <t>Cambridge, Mass., Harvard University Press, London, W. Heinemann ltd., 1936.</t>
        </is>
      </c>
      <c r="M438" t="inlineStr">
        <is>
          <t>1936</t>
        </is>
      </c>
      <c r="O438" t="inlineStr">
        <is>
          <t>eng</t>
        </is>
      </c>
      <c r="P438" t="inlineStr">
        <is>
          <t>mau</t>
        </is>
      </c>
      <c r="Q438" t="inlineStr">
        <is>
          <t>The Loeb classical library</t>
        </is>
      </c>
      <c r="R438" t="inlineStr">
        <is>
          <t xml:space="preserve">PA </t>
        </is>
      </c>
      <c r="S438" t="n">
        <v>1</v>
      </c>
      <c r="T438" t="n">
        <v>2</v>
      </c>
      <c r="U438" t="inlineStr">
        <is>
          <t>1996-09-25</t>
        </is>
      </c>
      <c r="V438" t="inlineStr">
        <is>
          <t>1996-09-25</t>
        </is>
      </c>
      <c r="W438" t="inlineStr">
        <is>
          <t>1992-07-21</t>
        </is>
      </c>
      <c r="X438" t="inlineStr">
        <is>
          <t>1992-07-21</t>
        </is>
      </c>
      <c r="Y438" t="n">
        <v>417</v>
      </c>
      <c r="Z438" t="n">
        <v>350</v>
      </c>
      <c r="AA438" t="n">
        <v>727</v>
      </c>
      <c r="AB438" t="n">
        <v>1</v>
      </c>
      <c r="AC438" t="n">
        <v>3</v>
      </c>
      <c r="AD438" t="n">
        <v>18</v>
      </c>
      <c r="AE438" t="n">
        <v>39</v>
      </c>
      <c r="AF438" t="n">
        <v>7</v>
      </c>
      <c r="AG438" t="n">
        <v>16</v>
      </c>
      <c r="AH438" t="n">
        <v>5</v>
      </c>
      <c r="AI438" t="n">
        <v>9</v>
      </c>
      <c r="AJ438" t="n">
        <v>13</v>
      </c>
      <c r="AK438" t="n">
        <v>24</v>
      </c>
      <c r="AL438" t="n">
        <v>0</v>
      </c>
      <c r="AM438" t="n">
        <v>2</v>
      </c>
      <c r="AN438" t="n">
        <v>0</v>
      </c>
      <c r="AO438" t="n">
        <v>0</v>
      </c>
      <c r="AP438" t="inlineStr">
        <is>
          <t>No</t>
        </is>
      </c>
      <c r="AQ438" t="inlineStr">
        <is>
          <t>Yes</t>
        </is>
      </c>
      <c r="AR438">
        <f>HYPERLINK("http://catalog.hathitrust.org/Record/001809940","HathiTrust Record")</f>
        <v/>
      </c>
      <c r="AS438">
        <f>HYPERLINK("https://creighton-primo.hosted.exlibrisgroup.com/primo-explore/search?tab=default_tab&amp;search_scope=EVERYTHING&amp;vid=01CRU&amp;lang=en_US&amp;offset=0&amp;query=any,contains,991004756569702656","Catalog Record")</f>
        <v/>
      </c>
      <c r="AT438">
        <f>HYPERLINK("http://www.worldcat.org/oclc/4969859","WorldCat Record")</f>
        <v/>
      </c>
      <c r="AU438" t="inlineStr">
        <is>
          <t>3276592:eng</t>
        </is>
      </c>
      <c r="AV438" t="inlineStr">
        <is>
          <t>4969859</t>
        </is>
      </c>
      <c r="AW438" t="inlineStr">
        <is>
          <t>991004756569702656</t>
        </is>
      </c>
      <c r="AX438" t="inlineStr">
        <is>
          <t>991004756569702656</t>
        </is>
      </c>
      <c r="AY438" t="inlineStr">
        <is>
          <t>2254889100002656</t>
        </is>
      </c>
      <c r="AZ438" t="inlineStr">
        <is>
          <t>BOOK</t>
        </is>
      </c>
      <c r="BC438" t="inlineStr">
        <is>
          <t>32285001212892</t>
        </is>
      </c>
      <c r="BD438" t="inlineStr">
        <is>
          <t>893319590</t>
        </is>
      </c>
      <c r="BE438" t="inlineStr">
        <is>
          <t>Fajardo Acosta</t>
        </is>
      </c>
    </row>
    <row r="439">
      <c r="A439" t="inlineStr">
        <is>
          <t>No</t>
        </is>
      </c>
      <c r="B439" t="inlineStr">
        <is>
          <t>PA6156 .S58 1936a</t>
        </is>
      </c>
      <c r="C439" t="inlineStr">
        <is>
          <t>0                      PA 6156000S  58          1936a</t>
        </is>
      </c>
      <c r="D439" t="inlineStr">
        <is>
          <t>Poems and letters / with an English translation, introduction, and notes by W.B. Anderson.</t>
        </is>
      </c>
      <c r="E439" t="inlineStr">
        <is>
          <t>V. 1</t>
        </is>
      </c>
      <c r="F439" t="inlineStr">
        <is>
          <t>Yes</t>
        </is>
      </c>
      <c r="G439" t="inlineStr">
        <is>
          <t>1</t>
        </is>
      </c>
      <c r="H439" t="inlineStr">
        <is>
          <t>No</t>
        </is>
      </c>
      <c r="I439" t="inlineStr">
        <is>
          <t>Yes</t>
        </is>
      </c>
      <c r="J439" t="inlineStr">
        <is>
          <t>0</t>
        </is>
      </c>
      <c r="K439" t="inlineStr">
        <is>
          <t>Sidonius Apollinaris, Saint, 431 or 432-approximately 487.</t>
        </is>
      </c>
      <c r="L439" t="inlineStr">
        <is>
          <t>London : W. Heinemann ; Cambridge, Mass. : Harvard University Press, 1936-65.</t>
        </is>
      </c>
      <c r="M439" t="inlineStr">
        <is>
          <t>1936</t>
        </is>
      </c>
      <c r="O439" t="inlineStr">
        <is>
          <t>eng</t>
        </is>
      </c>
      <c r="P439" t="inlineStr">
        <is>
          <t>enk</t>
        </is>
      </c>
      <c r="Q439" t="inlineStr">
        <is>
          <t>The Loeb classical library</t>
        </is>
      </c>
      <c r="R439" t="inlineStr">
        <is>
          <t xml:space="preserve">PA </t>
        </is>
      </c>
      <c r="S439" t="n">
        <v>3</v>
      </c>
      <c r="T439" t="n">
        <v>4</v>
      </c>
      <c r="U439" t="inlineStr">
        <is>
          <t>1996-09-25</t>
        </is>
      </c>
      <c r="V439" t="inlineStr">
        <is>
          <t>1996-09-25</t>
        </is>
      </c>
      <c r="W439" t="inlineStr">
        <is>
          <t>1992-07-21</t>
        </is>
      </c>
      <c r="X439" t="inlineStr">
        <is>
          <t>1992-07-21</t>
        </is>
      </c>
      <c r="Y439" t="n">
        <v>293</v>
      </c>
      <c r="Z439" t="n">
        <v>233</v>
      </c>
      <c r="AA439" t="n">
        <v>727</v>
      </c>
      <c r="AB439" t="n">
        <v>3</v>
      </c>
      <c r="AC439" t="n">
        <v>3</v>
      </c>
      <c r="AD439" t="n">
        <v>17</v>
      </c>
      <c r="AE439" t="n">
        <v>39</v>
      </c>
      <c r="AF439" t="n">
        <v>5</v>
      </c>
      <c r="AG439" t="n">
        <v>16</v>
      </c>
      <c r="AH439" t="n">
        <v>4</v>
      </c>
      <c r="AI439" t="n">
        <v>9</v>
      </c>
      <c r="AJ439" t="n">
        <v>10</v>
      </c>
      <c r="AK439" t="n">
        <v>24</v>
      </c>
      <c r="AL439" t="n">
        <v>2</v>
      </c>
      <c r="AM439" t="n">
        <v>2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HYPERLINK("http://catalog.hathitrust.org/Record/007126023","HathiTrust Record")</f>
        <v/>
      </c>
      <c r="AS439">
        <f>HYPERLINK("https://creighton-primo.hosted.exlibrisgroup.com/primo-explore/search?tab=default_tab&amp;search_scope=EVERYTHING&amp;vid=01CRU&amp;lang=en_US&amp;offset=0&amp;query=any,contains,991005121189702656","Catalog Record")</f>
        <v/>
      </c>
      <c r="AT439">
        <f>HYPERLINK("http://www.worldcat.org/oclc/7517135","WorldCat Record")</f>
        <v/>
      </c>
      <c r="AU439" t="inlineStr">
        <is>
          <t>3276592:eng</t>
        </is>
      </c>
      <c r="AV439" t="inlineStr">
        <is>
          <t>7517135</t>
        </is>
      </c>
      <c r="AW439" t="inlineStr">
        <is>
          <t>991005121189702656</t>
        </is>
      </c>
      <c r="AX439" t="inlineStr">
        <is>
          <t>991005121189702656</t>
        </is>
      </c>
      <c r="AY439" t="inlineStr">
        <is>
          <t>2266517320002656</t>
        </is>
      </c>
      <c r="AZ439" t="inlineStr">
        <is>
          <t>BOOK</t>
        </is>
      </c>
      <c r="BC439" t="inlineStr">
        <is>
          <t>32285001212926</t>
        </is>
      </c>
      <c r="BD439" t="inlineStr">
        <is>
          <t>893260587</t>
        </is>
      </c>
      <c r="BE439" t="inlineStr">
        <is>
          <t>Fajardo Acosta</t>
        </is>
      </c>
    </row>
    <row r="440">
      <c r="A440" t="inlineStr">
        <is>
          <t>No</t>
        </is>
      </c>
      <c r="B440" t="inlineStr">
        <is>
          <t>PA6156 .S58 1936a</t>
        </is>
      </c>
      <c r="C440" t="inlineStr">
        <is>
          <t>0                      PA 6156000S  58          1936a</t>
        </is>
      </c>
      <c r="D440" t="inlineStr">
        <is>
          <t>Poems and letters / with an English translation, introduction, and notes by W.B. Anderson.</t>
        </is>
      </c>
      <c r="E440" t="inlineStr">
        <is>
          <t>V. 2</t>
        </is>
      </c>
      <c r="F440" t="inlineStr">
        <is>
          <t>Yes</t>
        </is>
      </c>
      <c r="G440" t="inlineStr">
        <is>
          <t>1</t>
        </is>
      </c>
      <c r="H440" t="inlineStr">
        <is>
          <t>No</t>
        </is>
      </c>
      <c r="I440" t="inlineStr">
        <is>
          <t>Yes</t>
        </is>
      </c>
      <c r="J440" t="inlineStr">
        <is>
          <t>0</t>
        </is>
      </c>
      <c r="K440" t="inlineStr">
        <is>
          <t>Sidonius Apollinaris, Saint, 431 or 432-approximately 487.</t>
        </is>
      </c>
      <c r="L440" t="inlineStr">
        <is>
          <t>London : W. Heinemann ; Cambridge, Mass. : Harvard University Press, 1936-65.</t>
        </is>
      </c>
      <c r="M440" t="inlineStr">
        <is>
          <t>1936</t>
        </is>
      </c>
      <c r="O440" t="inlineStr">
        <is>
          <t>eng</t>
        </is>
      </c>
      <c r="P440" t="inlineStr">
        <is>
          <t>enk</t>
        </is>
      </c>
      <c r="Q440" t="inlineStr">
        <is>
          <t>The Loeb classical library</t>
        </is>
      </c>
      <c r="R440" t="inlineStr">
        <is>
          <t xml:space="preserve">PA </t>
        </is>
      </c>
      <c r="S440" t="n">
        <v>1</v>
      </c>
      <c r="T440" t="n">
        <v>4</v>
      </c>
      <c r="U440" t="inlineStr">
        <is>
          <t>1996-09-25</t>
        </is>
      </c>
      <c r="V440" t="inlineStr">
        <is>
          <t>1996-09-25</t>
        </is>
      </c>
      <c r="W440" t="inlineStr">
        <is>
          <t>1992-07-21</t>
        </is>
      </c>
      <c r="X440" t="inlineStr">
        <is>
          <t>1992-07-21</t>
        </is>
      </c>
      <c r="Y440" t="n">
        <v>293</v>
      </c>
      <c r="Z440" t="n">
        <v>233</v>
      </c>
      <c r="AA440" t="n">
        <v>727</v>
      </c>
      <c r="AB440" t="n">
        <v>3</v>
      </c>
      <c r="AC440" t="n">
        <v>3</v>
      </c>
      <c r="AD440" t="n">
        <v>17</v>
      </c>
      <c r="AE440" t="n">
        <v>39</v>
      </c>
      <c r="AF440" t="n">
        <v>5</v>
      </c>
      <c r="AG440" t="n">
        <v>16</v>
      </c>
      <c r="AH440" t="n">
        <v>4</v>
      </c>
      <c r="AI440" t="n">
        <v>9</v>
      </c>
      <c r="AJ440" t="n">
        <v>10</v>
      </c>
      <c r="AK440" t="n">
        <v>24</v>
      </c>
      <c r="AL440" t="n">
        <v>2</v>
      </c>
      <c r="AM440" t="n">
        <v>2</v>
      </c>
      <c r="AN440" t="n">
        <v>0</v>
      </c>
      <c r="AO440" t="n">
        <v>0</v>
      </c>
      <c r="AP440" t="inlineStr">
        <is>
          <t>No</t>
        </is>
      </c>
      <c r="AQ440" t="inlineStr">
        <is>
          <t>Yes</t>
        </is>
      </c>
      <c r="AR440">
        <f>HYPERLINK("http://catalog.hathitrust.org/Record/007126023","HathiTrust Record")</f>
        <v/>
      </c>
      <c r="AS440">
        <f>HYPERLINK("https://creighton-primo.hosted.exlibrisgroup.com/primo-explore/search?tab=default_tab&amp;search_scope=EVERYTHING&amp;vid=01CRU&amp;lang=en_US&amp;offset=0&amp;query=any,contains,991005121189702656","Catalog Record")</f>
        <v/>
      </c>
      <c r="AT440">
        <f>HYPERLINK("http://www.worldcat.org/oclc/7517135","WorldCat Record")</f>
        <v/>
      </c>
      <c r="AU440" t="inlineStr">
        <is>
          <t>3276592:eng</t>
        </is>
      </c>
      <c r="AV440" t="inlineStr">
        <is>
          <t>7517135</t>
        </is>
      </c>
      <c r="AW440" t="inlineStr">
        <is>
          <t>991005121189702656</t>
        </is>
      </c>
      <c r="AX440" t="inlineStr">
        <is>
          <t>991005121189702656</t>
        </is>
      </c>
      <c r="AY440" t="inlineStr">
        <is>
          <t>2266517320002656</t>
        </is>
      </c>
      <c r="AZ440" t="inlineStr">
        <is>
          <t>BOOK</t>
        </is>
      </c>
      <c r="BC440" t="inlineStr">
        <is>
          <t>32285001212934</t>
        </is>
      </c>
      <c r="BD440" t="inlineStr">
        <is>
          <t>893260586</t>
        </is>
      </c>
      <c r="BE440" t="inlineStr">
        <is>
          <t>Fajardo Acosta</t>
        </is>
      </c>
    </row>
    <row r="441">
      <c r="A441" t="inlineStr">
        <is>
          <t>No</t>
        </is>
      </c>
      <c r="B441" t="inlineStr">
        <is>
          <t>PA6156 .S8 1928</t>
        </is>
      </c>
      <c r="C441" t="inlineStr">
        <is>
          <t>0                      PA 6156000S  8           1928</t>
        </is>
      </c>
      <c r="D441" t="inlineStr">
        <is>
          <t>Statius, with an English translation by J.H. Mozley ... in two volumes ...</t>
        </is>
      </c>
      <c r="E441" t="inlineStr">
        <is>
          <t>V. 2</t>
        </is>
      </c>
      <c r="F441" t="inlineStr">
        <is>
          <t>Yes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Statius, P. Papinius (Publius Papinius)</t>
        </is>
      </c>
      <c r="L441" t="inlineStr">
        <is>
          <t>London, W. Heinemann; ltd.; New York, G.P. Putnam's Sons, 1928.</t>
        </is>
      </c>
      <c r="M441" t="inlineStr">
        <is>
          <t>1928</t>
        </is>
      </c>
      <c r="O441" t="inlineStr">
        <is>
          <t>eng</t>
        </is>
      </c>
      <c r="P441" t="inlineStr">
        <is>
          <t>enk</t>
        </is>
      </c>
      <c r="Q441" t="inlineStr">
        <is>
          <t>The Loeb classical library</t>
        </is>
      </c>
      <c r="R441" t="inlineStr">
        <is>
          <t xml:space="preserve">PA </t>
        </is>
      </c>
      <c r="S441" t="n">
        <v>3</v>
      </c>
      <c r="T441" t="n">
        <v>7</v>
      </c>
      <c r="U441" t="inlineStr">
        <is>
          <t>1997-04-07</t>
        </is>
      </c>
      <c r="V441" t="inlineStr">
        <is>
          <t>2004-10-21</t>
        </is>
      </c>
      <c r="W441" t="inlineStr">
        <is>
          <t>1992-07-21</t>
        </is>
      </c>
      <c r="X441" t="inlineStr">
        <is>
          <t>1992-07-21</t>
        </is>
      </c>
      <c r="Y441" t="n">
        <v>439</v>
      </c>
      <c r="Z441" t="n">
        <v>360</v>
      </c>
      <c r="AA441" t="n">
        <v>575</v>
      </c>
      <c r="AB441" t="n">
        <v>2</v>
      </c>
      <c r="AC441" t="n">
        <v>4</v>
      </c>
      <c r="AD441" t="n">
        <v>24</v>
      </c>
      <c r="AE441" t="n">
        <v>34</v>
      </c>
      <c r="AF441" t="n">
        <v>9</v>
      </c>
      <c r="AG441" t="n">
        <v>16</v>
      </c>
      <c r="AH441" t="n">
        <v>8</v>
      </c>
      <c r="AI441" t="n">
        <v>8</v>
      </c>
      <c r="AJ441" t="n">
        <v>14</v>
      </c>
      <c r="AK441" t="n">
        <v>17</v>
      </c>
      <c r="AL441" t="n">
        <v>1</v>
      </c>
      <c r="AM441" t="n">
        <v>3</v>
      </c>
      <c r="AN441" t="n">
        <v>0</v>
      </c>
      <c r="AO441" t="n">
        <v>0</v>
      </c>
      <c r="AP441" t="inlineStr">
        <is>
          <t>No</t>
        </is>
      </c>
      <c r="AQ441" t="inlineStr">
        <is>
          <t>Yes</t>
        </is>
      </c>
      <c r="AR441">
        <f>HYPERLINK("http://catalog.hathitrust.org/Record/001182040","HathiTrust Record")</f>
        <v/>
      </c>
      <c r="AS441">
        <f>HYPERLINK("https://creighton-primo.hosted.exlibrisgroup.com/primo-explore/search?tab=default_tab&amp;search_scope=EVERYTHING&amp;vid=01CRU&amp;lang=en_US&amp;offset=0&amp;query=any,contains,991003360179702656","Catalog Record")</f>
        <v/>
      </c>
      <c r="AT441">
        <f>HYPERLINK("http://www.worldcat.org/oclc/896480","WorldCat Record")</f>
        <v/>
      </c>
      <c r="AU441" t="inlineStr">
        <is>
          <t>3314630604:eng</t>
        </is>
      </c>
      <c r="AV441" t="inlineStr">
        <is>
          <t>896480</t>
        </is>
      </c>
      <c r="AW441" t="inlineStr">
        <is>
          <t>991003360179702656</t>
        </is>
      </c>
      <c r="AX441" t="inlineStr">
        <is>
          <t>991003360179702656</t>
        </is>
      </c>
      <c r="AY441" t="inlineStr">
        <is>
          <t>2261369020002656</t>
        </is>
      </c>
      <c r="AZ441" t="inlineStr">
        <is>
          <t>BOOK</t>
        </is>
      </c>
      <c r="BC441" t="inlineStr">
        <is>
          <t>32285001212975</t>
        </is>
      </c>
      <c r="BD441" t="inlineStr">
        <is>
          <t>893887409</t>
        </is>
      </c>
      <c r="BE441" t="inlineStr">
        <is>
          <t>Fajardo Acosta</t>
        </is>
      </c>
    </row>
    <row r="442">
      <c r="A442" t="inlineStr">
        <is>
          <t>No</t>
        </is>
      </c>
      <c r="B442" t="inlineStr">
        <is>
          <t>PA6156 .S8 1928</t>
        </is>
      </c>
      <c r="C442" t="inlineStr">
        <is>
          <t>0                      PA 6156000S  8           1928</t>
        </is>
      </c>
      <c r="D442" t="inlineStr">
        <is>
          <t>Statius, with an English translation by J.H. Mozley ... in two volumes ...</t>
        </is>
      </c>
      <c r="E442" t="inlineStr">
        <is>
          <t>V. 1</t>
        </is>
      </c>
      <c r="F442" t="inlineStr">
        <is>
          <t>Yes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Statius, P. Papinius (Publius Papinius)</t>
        </is>
      </c>
      <c r="L442" t="inlineStr">
        <is>
          <t>London, W. Heinemann; ltd.; New York, G.P. Putnam's Sons, 1928.</t>
        </is>
      </c>
      <c r="M442" t="inlineStr">
        <is>
          <t>1928</t>
        </is>
      </c>
      <c r="O442" t="inlineStr">
        <is>
          <t>eng</t>
        </is>
      </c>
      <c r="P442" t="inlineStr">
        <is>
          <t>enk</t>
        </is>
      </c>
      <c r="Q442" t="inlineStr">
        <is>
          <t>The Loeb classical library</t>
        </is>
      </c>
      <c r="R442" t="inlineStr">
        <is>
          <t xml:space="preserve">PA </t>
        </is>
      </c>
      <c r="S442" t="n">
        <v>4</v>
      </c>
      <c r="T442" t="n">
        <v>7</v>
      </c>
      <c r="U442" t="inlineStr">
        <is>
          <t>2004-10-21</t>
        </is>
      </c>
      <c r="V442" t="inlineStr">
        <is>
          <t>2004-10-21</t>
        </is>
      </c>
      <c r="W442" t="inlineStr">
        <is>
          <t>1992-07-21</t>
        </is>
      </c>
      <c r="X442" t="inlineStr">
        <is>
          <t>1992-07-21</t>
        </is>
      </c>
      <c r="Y442" t="n">
        <v>439</v>
      </c>
      <c r="Z442" t="n">
        <v>360</v>
      </c>
      <c r="AA442" t="n">
        <v>575</v>
      </c>
      <c r="AB442" t="n">
        <v>2</v>
      </c>
      <c r="AC442" t="n">
        <v>4</v>
      </c>
      <c r="AD442" t="n">
        <v>24</v>
      </c>
      <c r="AE442" t="n">
        <v>34</v>
      </c>
      <c r="AF442" t="n">
        <v>9</v>
      </c>
      <c r="AG442" t="n">
        <v>16</v>
      </c>
      <c r="AH442" t="n">
        <v>8</v>
      </c>
      <c r="AI442" t="n">
        <v>8</v>
      </c>
      <c r="AJ442" t="n">
        <v>14</v>
      </c>
      <c r="AK442" t="n">
        <v>17</v>
      </c>
      <c r="AL442" t="n">
        <v>1</v>
      </c>
      <c r="AM442" t="n">
        <v>3</v>
      </c>
      <c r="AN442" t="n">
        <v>0</v>
      </c>
      <c r="AO442" t="n">
        <v>0</v>
      </c>
      <c r="AP442" t="inlineStr">
        <is>
          <t>No</t>
        </is>
      </c>
      <c r="AQ442" t="inlineStr">
        <is>
          <t>Yes</t>
        </is>
      </c>
      <c r="AR442">
        <f>HYPERLINK("http://catalog.hathitrust.org/Record/001182040","HathiTrust Record")</f>
        <v/>
      </c>
      <c r="AS442">
        <f>HYPERLINK("https://creighton-primo.hosted.exlibrisgroup.com/primo-explore/search?tab=default_tab&amp;search_scope=EVERYTHING&amp;vid=01CRU&amp;lang=en_US&amp;offset=0&amp;query=any,contains,991003360179702656","Catalog Record")</f>
        <v/>
      </c>
      <c r="AT442">
        <f>HYPERLINK("http://www.worldcat.org/oclc/896480","WorldCat Record")</f>
        <v/>
      </c>
      <c r="AU442" t="inlineStr">
        <is>
          <t>3314630604:eng</t>
        </is>
      </c>
      <c r="AV442" t="inlineStr">
        <is>
          <t>896480</t>
        </is>
      </c>
      <c r="AW442" t="inlineStr">
        <is>
          <t>991003360179702656</t>
        </is>
      </c>
      <c r="AX442" t="inlineStr">
        <is>
          <t>991003360179702656</t>
        </is>
      </c>
      <c r="AY442" t="inlineStr">
        <is>
          <t>2261369020002656</t>
        </is>
      </c>
      <c r="AZ442" t="inlineStr">
        <is>
          <t>BOOK</t>
        </is>
      </c>
      <c r="BC442" t="inlineStr">
        <is>
          <t>32285001212967</t>
        </is>
      </c>
      <c r="BD442" t="inlineStr">
        <is>
          <t>893893663</t>
        </is>
      </c>
      <c r="BE442" t="inlineStr">
        <is>
          <t>Fajardo Acosta</t>
        </is>
      </c>
    </row>
    <row r="443">
      <c r="A443" t="inlineStr">
        <is>
          <t>No</t>
        </is>
      </c>
      <c r="B443" t="inlineStr">
        <is>
          <t>PA6156 .T4 1912</t>
        </is>
      </c>
      <c r="C443" t="inlineStr">
        <is>
          <t>0                      PA 6156000T  4           1912</t>
        </is>
      </c>
      <c r="D443" t="inlineStr">
        <is>
          <t>Terence / with an English translation by John Sargeaunt.</t>
        </is>
      </c>
      <c r="F443" t="inlineStr">
        <is>
          <t>Yes</t>
        </is>
      </c>
      <c r="G443" t="inlineStr">
        <is>
          <t>1</t>
        </is>
      </c>
      <c r="H443" t="inlineStr">
        <is>
          <t>No</t>
        </is>
      </c>
      <c r="I443" t="inlineStr">
        <is>
          <t>Yes</t>
        </is>
      </c>
      <c r="J443" t="inlineStr">
        <is>
          <t>0</t>
        </is>
      </c>
      <c r="K443" t="inlineStr">
        <is>
          <t>Terence.</t>
        </is>
      </c>
      <c r="L443" t="inlineStr">
        <is>
          <t>London : W. Heineman ; New York : The Macmillan Co., 1912.</t>
        </is>
      </c>
      <c r="M443" t="inlineStr">
        <is>
          <t>1912</t>
        </is>
      </c>
      <c r="O443" t="inlineStr">
        <is>
          <t>eng</t>
        </is>
      </c>
      <c r="P443" t="inlineStr">
        <is>
          <t>enk</t>
        </is>
      </c>
      <c r="Q443" t="inlineStr">
        <is>
          <t>The Loeb classical library</t>
        </is>
      </c>
      <c r="R443" t="inlineStr">
        <is>
          <t xml:space="preserve">PA </t>
        </is>
      </c>
      <c r="S443" t="n">
        <v>2</v>
      </c>
      <c r="T443" t="n">
        <v>2</v>
      </c>
      <c r="U443" t="inlineStr">
        <is>
          <t>1993-11-01</t>
        </is>
      </c>
      <c r="V443" t="inlineStr">
        <is>
          <t>1993-11-01</t>
        </is>
      </c>
      <c r="W443" t="inlineStr">
        <is>
          <t>1991-09-16</t>
        </is>
      </c>
      <c r="X443" t="inlineStr">
        <is>
          <t>1991-09-16</t>
        </is>
      </c>
      <c r="Y443" t="n">
        <v>448</v>
      </c>
      <c r="Z443" t="n">
        <v>380</v>
      </c>
      <c r="AA443" t="n">
        <v>778</v>
      </c>
      <c r="AB443" t="n">
        <v>3</v>
      </c>
      <c r="AC443" t="n">
        <v>4</v>
      </c>
      <c r="AD443" t="n">
        <v>18</v>
      </c>
      <c r="AE443" t="n">
        <v>39</v>
      </c>
      <c r="AF443" t="n">
        <v>8</v>
      </c>
      <c r="AG443" t="n">
        <v>19</v>
      </c>
      <c r="AH443" t="n">
        <v>3</v>
      </c>
      <c r="AI443" t="n">
        <v>7</v>
      </c>
      <c r="AJ443" t="n">
        <v>11</v>
      </c>
      <c r="AK443" t="n">
        <v>19</v>
      </c>
      <c r="AL443" t="n">
        <v>2</v>
      </c>
      <c r="AM443" t="n">
        <v>3</v>
      </c>
      <c r="AN443" t="n">
        <v>0</v>
      </c>
      <c r="AO443" t="n">
        <v>0</v>
      </c>
      <c r="AP443" t="inlineStr">
        <is>
          <t>Yes</t>
        </is>
      </c>
      <c r="AQ443" t="inlineStr">
        <is>
          <t>No</t>
        </is>
      </c>
      <c r="AR443">
        <f>HYPERLINK("http://catalog.hathitrust.org/Record/005758235","HathiTrust Record")</f>
        <v/>
      </c>
      <c r="AS443">
        <f>HYPERLINK("https://creighton-primo.hosted.exlibrisgroup.com/primo-explore/search?tab=default_tab&amp;search_scope=EVERYTHING&amp;vid=01CRU&amp;lang=en_US&amp;offset=0&amp;query=any,contains,991005023799702656","Catalog Record")</f>
        <v/>
      </c>
      <c r="AT443">
        <f>HYPERLINK("http://www.worldcat.org/oclc/6671094","WorldCat Record")</f>
        <v/>
      </c>
      <c r="AU443" t="inlineStr">
        <is>
          <t>3376891506:eng</t>
        </is>
      </c>
      <c r="AV443" t="inlineStr">
        <is>
          <t>6671094</t>
        </is>
      </c>
      <c r="AW443" t="inlineStr">
        <is>
          <t>991005023799702656</t>
        </is>
      </c>
      <c r="AX443" t="inlineStr">
        <is>
          <t>991005023799702656</t>
        </is>
      </c>
      <c r="AY443" t="inlineStr">
        <is>
          <t>2256593640002656</t>
        </is>
      </c>
      <c r="AZ443" t="inlineStr">
        <is>
          <t>BOOK</t>
        </is>
      </c>
      <c r="BC443" t="inlineStr">
        <is>
          <t>32285000737980</t>
        </is>
      </c>
      <c r="BD443" t="inlineStr">
        <is>
          <t>893628470</t>
        </is>
      </c>
      <c r="BE443" t="inlineStr">
        <is>
          <t>Fajardo Acosta</t>
        </is>
      </c>
    </row>
    <row r="444">
      <c r="A444" t="inlineStr">
        <is>
          <t>No</t>
        </is>
      </c>
      <c r="B444" t="inlineStr">
        <is>
          <t>PA6156.C5 P4 1926</t>
        </is>
      </c>
      <c r="C444" t="inlineStr">
        <is>
          <t>0                      PA 6156000C  5                  P  4           1926</t>
        </is>
      </c>
      <c r="D444" t="inlineStr">
        <is>
          <t>Philippics, with an English translation by Walter C.A. Ker.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Cicero, Marcus Tullius.</t>
        </is>
      </c>
      <c r="L444" t="inlineStr">
        <is>
          <t>London, W. Heinemann; New York, G.P. Putnam's Sons, 1926.</t>
        </is>
      </c>
      <c r="M444" t="inlineStr">
        <is>
          <t>1926</t>
        </is>
      </c>
      <c r="O444" t="inlineStr">
        <is>
          <t>eng</t>
        </is>
      </c>
      <c r="P444" t="inlineStr">
        <is>
          <t>enk</t>
        </is>
      </c>
      <c r="Q444" t="inlineStr">
        <is>
          <t>The Loeb classical library</t>
        </is>
      </c>
      <c r="R444" t="inlineStr">
        <is>
          <t xml:space="preserve">PA </t>
        </is>
      </c>
      <c r="S444" t="n">
        <v>4</v>
      </c>
      <c r="T444" t="n">
        <v>4</v>
      </c>
      <c r="U444" t="inlineStr">
        <is>
          <t>2000-03-18</t>
        </is>
      </c>
      <c r="V444" t="inlineStr">
        <is>
          <t>2000-03-18</t>
        </is>
      </c>
      <c r="W444" t="inlineStr">
        <is>
          <t>1992-07-20</t>
        </is>
      </c>
      <c r="X444" t="inlineStr">
        <is>
          <t>1992-07-20</t>
        </is>
      </c>
      <c r="Y444" t="n">
        <v>337</v>
      </c>
      <c r="Z444" t="n">
        <v>300</v>
      </c>
      <c r="AA444" t="n">
        <v>433</v>
      </c>
      <c r="AB444" t="n">
        <v>1</v>
      </c>
      <c r="AC444" t="n">
        <v>1</v>
      </c>
      <c r="AD444" t="n">
        <v>19</v>
      </c>
      <c r="AE444" t="n">
        <v>28</v>
      </c>
      <c r="AF444" t="n">
        <v>7</v>
      </c>
      <c r="AG444" t="n">
        <v>12</v>
      </c>
      <c r="AH444" t="n">
        <v>3</v>
      </c>
      <c r="AI444" t="n">
        <v>6</v>
      </c>
      <c r="AJ444" t="n">
        <v>13</v>
      </c>
      <c r="AK444" t="n">
        <v>15</v>
      </c>
      <c r="AL444" t="n">
        <v>0</v>
      </c>
      <c r="AM444" t="n">
        <v>0</v>
      </c>
      <c r="AN444" t="n">
        <v>0</v>
      </c>
      <c r="AO444" t="n">
        <v>0</v>
      </c>
      <c r="AP444" t="inlineStr">
        <is>
          <t>No</t>
        </is>
      </c>
      <c r="AQ444" t="inlineStr">
        <is>
          <t>No</t>
        </is>
      </c>
      <c r="AS444">
        <f>HYPERLINK("https://creighton-primo.hosted.exlibrisgroup.com/primo-explore/search?tab=default_tab&amp;search_scope=EVERYTHING&amp;vid=01CRU&amp;lang=en_US&amp;offset=0&amp;query=any,contains,991003144839702656","Catalog Record")</f>
        <v/>
      </c>
      <c r="AT444">
        <f>HYPERLINK("http://www.worldcat.org/oclc/685530","WorldCat Record")</f>
        <v/>
      </c>
      <c r="AU444" t="inlineStr">
        <is>
          <t>5616973170:eng</t>
        </is>
      </c>
      <c r="AV444" t="inlineStr">
        <is>
          <t>685530</t>
        </is>
      </c>
      <c r="AW444" t="inlineStr">
        <is>
          <t>991003144839702656</t>
        </is>
      </c>
      <c r="AX444" t="inlineStr">
        <is>
          <t>991003144839702656</t>
        </is>
      </c>
      <c r="AY444" t="inlineStr">
        <is>
          <t>2264523300002656</t>
        </is>
      </c>
      <c r="AZ444" t="inlineStr">
        <is>
          <t>BOOK</t>
        </is>
      </c>
      <c r="BC444" t="inlineStr">
        <is>
          <t>32285001212116</t>
        </is>
      </c>
      <c r="BD444" t="inlineStr">
        <is>
          <t>893422224</t>
        </is>
      </c>
      <c r="BE444" t="inlineStr">
        <is>
          <t>Fajardo Acosta</t>
        </is>
      </c>
    </row>
    <row r="445">
      <c r="A445" t="inlineStr">
        <is>
          <t>No</t>
        </is>
      </c>
      <c r="B445" t="inlineStr">
        <is>
          <t>PA6156.C6 B7 1939</t>
        </is>
      </c>
      <c r="C445" t="inlineStr">
        <is>
          <t>0                      PA 6156000C  6                  B  7           1939</t>
        </is>
      </c>
      <c r="D445" t="inlineStr">
        <is>
          <t>Brutus, with an English translation by G.L. Hendrickson ... Orator, with an English translation by H.M. Hubbell ...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K445" t="inlineStr">
        <is>
          <t>Cicero, Marcus Tullius.</t>
        </is>
      </c>
      <c r="L445" t="inlineStr">
        <is>
          <t>London, W. Heinemann, ltd.; Cambridge, Mass., Harvard University Press, 1939.</t>
        </is>
      </c>
      <c r="M445" t="inlineStr">
        <is>
          <t>1939</t>
        </is>
      </c>
      <c r="O445" t="inlineStr">
        <is>
          <t>eng</t>
        </is>
      </c>
      <c r="P445" t="inlineStr">
        <is>
          <t>enk</t>
        </is>
      </c>
      <c r="Q445" t="inlineStr">
        <is>
          <t>The Loeb classical library</t>
        </is>
      </c>
      <c r="R445" t="inlineStr">
        <is>
          <t xml:space="preserve">PA </t>
        </is>
      </c>
      <c r="S445" t="n">
        <v>7</v>
      </c>
      <c r="T445" t="n">
        <v>7</v>
      </c>
      <c r="U445" t="inlineStr">
        <is>
          <t>1997-12-19</t>
        </is>
      </c>
      <c r="V445" t="inlineStr">
        <is>
          <t>1997-12-19</t>
        </is>
      </c>
      <c r="W445" t="inlineStr">
        <is>
          <t>1992-07-20</t>
        </is>
      </c>
      <c r="X445" t="inlineStr">
        <is>
          <t>1992-07-20</t>
        </is>
      </c>
      <c r="Y445" t="n">
        <v>358</v>
      </c>
      <c r="Z445" t="n">
        <v>297</v>
      </c>
      <c r="AA445" t="n">
        <v>862</v>
      </c>
      <c r="AB445" t="n">
        <v>2</v>
      </c>
      <c r="AC445" t="n">
        <v>4</v>
      </c>
      <c r="AD445" t="n">
        <v>18</v>
      </c>
      <c r="AE445" t="n">
        <v>38</v>
      </c>
      <c r="AF445" t="n">
        <v>4</v>
      </c>
      <c r="AG445" t="n">
        <v>17</v>
      </c>
      <c r="AH445" t="n">
        <v>7</v>
      </c>
      <c r="AI445" t="n">
        <v>10</v>
      </c>
      <c r="AJ445" t="n">
        <v>12</v>
      </c>
      <c r="AK445" t="n">
        <v>20</v>
      </c>
      <c r="AL445" t="n">
        <v>1</v>
      </c>
      <c r="AM445" t="n">
        <v>2</v>
      </c>
      <c r="AN445" t="n">
        <v>0</v>
      </c>
      <c r="AO445" t="n">
        <v>0</v>
      </c>
      <c r="AP445" t="inlineStr">
        <is>
          <t>No</t>
        </is>
      </c>
      <c r="AQ445" t="inlineStr">
        <is>
          <t>Yes</t>
        </is>
      </c>
      <c r="AR445">
        <f>HYPERLINK("http://catalog.hathitrust.org/Record/001220847","HathiTrust Record")</f>
        <v/>
      </c>
      <c r="AS445">
        <f>HYPERLINK("https://creighton-primo.hosted.exlibrisgroup.com/primo-explore/search?tab=default_tab&amp;search_scope=EVERYTHING&amp;vid=01CRU&amp;lang=en_US&amp;offset=0&amp;query=any,contains,991004228109702656","Catalog Record")</f>
        <v/>
      </c>
      <c r="AT445">
        <f>HYPERLINK("http://www.worldcat.org/oclc/2737199","WorldCat Record")</f>
        <v/>
      </c>
      <c r="AU445" t="inlineStr">
        <is>
          <t>4757641268:eng</t>
        </is>
      </c>
      <c r="AV445" t="inlineStr">
        <is>
          <t>2737199</t>
        </is>
      </c>
      <c r="AW445" t="inlineStr">
        <is>
          <t>991004228109702656</t>
        </is>
      </c>
      <c r="AX445" t="inlineStr">
        <is>
          <t>991004228109702656</t>
        </is>
      </c>
      <c r="AY445" t="inlineStr">
        <is>
          <t>2256461730002656</t>
        </is>
      </c>
      <c r="AZ445" t="inlineStr">
        <is>
          <t>BOOK</t>
        </is>
      </c>
      <c r="BC445" t="inlineStr">
        <is>
          <t>32285001212199</t>
        </is>
      </c>
      <c r="BD445" t="inlineStr">
        <is>
          <t>893337468</t>
        </is>
      </c>
      <c r="BE445" t="inlineStr">
        <is>
          <t>Fajardo Acosta</t>
        </is>
      </c>
    </row>
    <row r="446">
      <c r="A446" t="inlineStr">
        <is>
          <t>No</t>
        </is>
      </c>
      <c r="B446" t="inlineStr">
        <is>
          <t>PA6156.C6 D8 1928</t>
        </is>
      </c>
      <c r="C446" t="inlineStr">
        <is>
          <t>0                      PA 6156000C  6                  D  8           1928</t>
        </is>
      </c>
      <c r="D446" t="inlineStr">
        <is>
          <t>De re publica, De legibus / with an English translation by Clinton Walker Keyes.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K446" t="inlineStr">
        <is>
          <t>Cicero, Marcus Tullius.</t>
        </is>
      </c>
      <c r="L446" t="inlineStr">
        <is>
          <t>London : W. Heineman ; New York : G.P. Putnam's Sons, 1928.</t>
        </is>
      </c>
      <c r="M446" t="inlineStr">
        <is>
          <t>1928</t>
        </is>
      </c>
      <c r="O446" t="inlineStr">
        <is>
          <t>lat</t>
        </is>
      </c>
      <c r="P446" t="inlineStr">
        <is>
          <t>enk</t>
        </is>
      </c>
      <c r="Q446" t="inlineStr">
        <is>
          <t>The Loeb classical library. [Latin authors]</t>
        </is>
      </c>
      <c r="R446" t="inlineStr">
        <is>
          <t xml:space="preserve">PA </t>
        </is>
      </c>
      <c r="S446" t="n">
        <v>12</v>
      </c>
      <c r="T446" t="n">
        <v>12</v>
      </c>
      <c r="U446" t="inlineStr">
        <is>
          <t>2000-04-02</t>
        </is>
      </c>
      <c r="V446" t="inlineStr">
        <is>
          <t>2000-04-02</t>
        </is>
      </c>
      <c r="W446" t="inlineStr">
        <is>
          <t>1991-10-08</t>
        </is>
      </c>
      <c r="X446" t="inlineStr">
        <is>
          <t>1991-10-08</t>
        </is>
      </c>
      <c r="Y446" t="n">
        <v>399</v>
      </c>
      <c r="Z446" t="n">
        <v>326</v>
      </c>
      <c r="AA446" t="n">
        <v>752</v>
      </c>
      <c r="AB446" t="n">
        <v>2</v>
      </c>
      <c r="AC446" t="n">
        <v>2</v>
      </c>
      <c r="AD446" t="n">
        <v>14</v>
      </c>
      <c r="AE446" t="n">
        <v>28</v>
      </c>
      <c r="AF446" t="n">
        <v>4</v>
      </c>
      <c r="AG446" t="n">
        <v>11</v>
      </c>
      <c r="AH446" t="n">
        <v>4</v>
      </c>
      <c r="AI446" t="n">
        <v>6</v>
      </c>
      <c r="AJ446" t="n">
        <v>7</v>
      </c>
      <c r="AK446" t="n">
        <v>13</v>
      </c>
      <c r="AL446" t="n">
        <v>1</v>
      </c>
      <c r="AM446" t="n">
        <v>1</v>
      </c>
      <c r="AN446" t="n">
        <v>0</v>
      </c>
      <c r="AO446" t="n">
        <v>2</v>
      </c>
      <c r="AP446" t="inlineStr">
        <is>
          <t>No</t>
        </is>
      </c>
      <c r="AQ446" t="inlineStr">
        <is>
          <t>Yes</t>
        </is>
      </c>
      <c r="AR446">
        <f>HYPERLINK("http://catalog.hathitrust.org/Record/001808290","HathiTrust Record")</f>
        <v/>
      </c>
      <c r="AS446">
        <f>HYPERLINK("https://creighton-primo.hosted.exlibrisgroup.com/primo-explore/search?tab=default_tab&amp;search_scope=EVERYTHING&amp;vid=01CRU&amp;lang=en_US&amp;offset=0&amp;query=any,contains,991004432549702656","Catalog Record")</f>
        <v/>
      </c>
      <c r="AT446">
        <f>HYPERLINK("http://www.worldcat.org/oclc/50273215","WorldCat Record")</f>
        <v/>
      </c>
      <c r="AU446" t="inlineStr">
        <is>
          <t>10568559765:eng</t>
        </is>
      </c>
      <c r="AV446" t="inlineStr">
        <is>
          <t>50273215</t>
        </is>
      </c>
      <c r="AW446" t="inlineStr">
        <is>
          <t>991004432549702656</t>
        </is>
      </c>
      <c r="AX446" t="inlineStr">
        <is>
          <t>991004432549702656</t>
        </is>
      </c>
      <c r="AY446" t="inlineStr">
        <is>
          <t>2261466280002656</t>
        </is>
      </c>
      <c r="AZ446" t="inlineStr">
        <is>
          <t>BOOK</t>
        </is>
      </c>
      <c r="BC446" t="inlineStr">
        <is>
          <t>32285000772458</t>
        </is>
      </c>
      <c r="BD446" t="inlineStr">
        <is>
          <t>893343829</t>
        </is>
      </c>
      <c r="BE446" t="inlineStr">
        <is>
          <t>Fajardo Acosta</t>
        </is>
      </c>
    </row>
    <row r="447">
      <c r="A447" t="inlineStr">
        <is>
          <t>No</t>
        </is>
      </c>
      <c r="B447" t="inlineStr">
        <is>
          <t>PA6393 .C43 1969</t>
        </is>
      </c>
      <c r="C447" t="inlineStr">
        <is>
          <t>0                      PA 6393000C  43          1969</t>
        </is>
      </c>
      <c r="D447" t="inlineStr">
        <is>
          <t>The third book of Horace's 'Odes' / edited with translation and running commentary, by Gordon Williams.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K447" t="inlineStr">
        <is>
          <t>Horace.</t>
        </is>
      </c>
      <c r="L447" t="inlineStr">
        <is>
          <t>Oxford : Clarendon P., c1969, 1979 printing.</t>
        </is>
      </c>
      <c r="M447" t="inlineStr">
        <is>
          <t>1969</t>
        </is>
      </c>
      <c r="O447" t="inlineStr">
        <is>
          <t>eng</t>
        </is>
      </c>
      <c r="P447" t="inlineStr">
        <is>
          <t>enk</t>
        </is>
      </c>
      <c r="R447" t="inlineStr">
        <is>
          <t xml:space="preserve">PA </t>
        </is>
      </c>
      <c r="S447" t="n">
        <v>7</v>
      </c>
      <c r="T447" t="n">
        <v>7</v>
      </c>
      <c r="U447" t="inlineStr">
        <is>
          <t>2004-12-14</t>
        </is>
      </c>
      <c r="V447" t="inlineStr">
        <is>
          <t>2004-12-14</t>
        </is>
      </c>
      <c r="W447" t="inlineStr">
        <is>
          <t>1991-06-18</t>
        </is>
      </c>
      <c r="X447" t="inlineStr">
        <is>
          <t>1991-06-18</t>
        </is>
      </c>
      <c r="Y447" t="n">
        <v>509</v>
      </c>
      <c r="Z447" t="n">
        <v>397</v>
      </c>
      <c r="AA447" t="n">
        <v>397</v>
      </c>
      <c r="AB447" t="n">
        <v>2</v>
      </c>
      <c r="AC447" t="n">
        <v>2</v>
      </c>
      <c r="AD447" t="n">
        <v>24</v>
      </c>
      <c r="AE447" t="n">
        <v>24</v>
      </c>
      <c r="AF447" t="n">
        <v>7</v>
      </c>
      <c r="AG447" t="n">
        <v>7</v>
      </c>
      <c r="AH447" t="n">
        <v>6</v>
      </c>
      <c r="AI447" t="n">
        <v>6</v>
      </c>
      <c r="AJ447" t="n">
        <v>16</v>
      </c>
      <c r="AK447" t="n">
        <v>16</v>
      </c>
      <c r="AL447" t="n">
        <v>1</v>
      </c>
      <c r="AM447" t="n">
        <v>1</v>
      </c>
      <c r="AN447" t="n">
        <v>0</v>
      </c>
      <c r="AO447" t="n">
        <v>0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HYPERLINK("http://catalog.hathitrust.org/Record/001181973","HathiTrust Record")</f>
        <v/>
      </c>
      <c r="AS447">
        <f>HYPERLINK("https://creighton-primo.hosted.exlibrisgroup.com/primo-explore/search?tab=default_tab&amp;search_scope=EVERYTHING&amp;vid=01CRU&amp;lang=en_US&amp;offset=0&amp;query=any,contains,991000066029702656","Catalog Record")</f>
        <v/>
      </c>
      <c r="AT447">
        <f>HYPERLINK("http://www.worldcat.org/oclc/26728","WorldCat Record")</f>
        <v/>
      </c>
      <c r="AU447" t="inlineStr">
        <is>
          <t>36938345:lat</t>
        </is>
      </c>
      <c r="AV447" t="inlineStr">
        <is>
          <t>26728</t>
        </is>
      </c>
      <c r="AW447" t="inlineStr">
        <is>
          <t>991000066029702656</t>
        </is>
      </c>
      <c r="AX447" t="inlineStr">
        <is>
          <t>991000066029702656</t>
        </is>
      </c>
      <c r="AY447" t="inlineStr">
        <is>
          <t>2265708770002656</t>
        </is>
      </c>
      <c r="AZ447" t="inlineStr">
        <is>
          <t>BOOK</t>
        </is>
      </c>
      <c r="BB447" t="inlineStr">
        <is>
          <t>9780199120017</t>
        </is>
      </c>
      <c r="BC447" t="inlineStr">
        <is>
          <t>32285000630714</t>
        </is>
      </c>
      <c r="BD447" t="inlineStr">
        <is>
          <t>893601419</t>
        </is>
      </c>
      <c r="BE447" t="inlineStr">
        <is>
          <t>Fajardo Acosta</t>
        </is>
      </c>
    </row>
    <row r="448">
      <c r="A448" t="inlineStr">
        <is>
          <t>No</t>
        </is>
      </c>
      <c r="B448" t="inlineStr">
        <is>
          <t>PA6393 .E4 1989</t>
        </is>
      </c>
      <c r="C448" t="inlineStr">
        <is>
          <t>0                      PA 6393000E  4           1989</t>
        </is>
      </c>
      <c r="D448" t="inlineStr">
        <is>
          <t>Epistles, book II; and, Epistle to the Pisones (Ars poetica) / Horace ; edited by Niall Rudd.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Horace.</t>
        </is>
      </c>
      <c r="L448" t="inlineStr">
        <is>
          <t>Cambridge ; New York : Cambridge University Press, 1989.</t>
        </is>
      </c>
      <c r="M448" t="inlineStr">
        <is>
          <t>1989</t>
        </is>
      </c>
      <c r="O448" t="inlineStr">
        <is>
          <t>lat</t>
        </is>
      </c>
      <c r="P448" t="inlineStr">
        <is>
          <t>enk</t>
        </is>
      </c>
      <c r="Q448" t="inlineStr">
        <is>
          <t>Cambridge Greek and Latin classics</t>
        </is>
      </c>
      <c r="R448" t="inlineStr">
        <is>
          <t xml:space="preserve">PA </t>
        </is>
      </c>
      <c r="S448" t="n">
        <v>2</v>
      </c>
      <c r="T448" t="n">
        <v>2</v>
      </c>
      <c r="U448" t="inlineStr">
        <is>
          <t>1992-12-07</t>
        </is>
      </c>
      <c r="V448" t="inlineStr">
        <is>
          <t>1992-12-07</t>
        </is>
      </c>
      <c r="W448" t="inlineStr">
        <is>
          <t>1990-07-19</t>
        </is>
      </c>
      <c r="X448" t="inlineStr">
        <is>
          <t>1990-07-19</t>
        </is>
      </c>
      <c r="Y448" t="n">
        <v>357</v>
      </c>
      <c r="Z448" t="n">
        <v>257</v>
      </c>
      <c r="AA448" t="n">
        <v>263</v>
      </c>
      <c r="AB448" t="n">
        <v>2</v>
      </c>
      <c r="AC448" t="n">
        <v>2</v>
      </c>
      <c r="AD448" t="n">
        <v>20</v>
      </c>
      <c r="AE448" t="n">
        <v>20</v>
      </c>
      <c r="AF448" t="n">
        <v>6</v>
      </c>
      <c r="AG448" t="n">
        <v>6</v>
      </c>
      <c r="AH448" t="n">
        <v>6</v>
      </c>
      <c r="AI448" t="n">
        <v>6</v>
      </c>
      <c r="AJ448" t="n">
        <v>17</v>
      </c>
      <c r="AK448" t="n">
        <v>17</v>
      </c>
      <c r="AL448" t="n">
        <v>1</v>
      </c>
      <c r="AM448" t="n">
        <v>1</v>
      </c>
      <c r="AN448" t="n">
        <v>0</v>
      </c>
      <c r="AO448" t="n">
        <v>0</v>
      </c>
      <c r="AP448" t="inlineStr">
        <is>
          <t>No</t>
        </is>
      </c>
      <c r="AQ448" t="inlineStr">
        <is>
          <t>No</t>
        </is>
      </c>
      <c r="AS448">
        <f>HYPERLINK("https://creighton-primo.hosted.exlibrisgroup.com/primo-explore/search?tab=default_tab&amp;search_scope=EVERYTHING&amp;vid=01CRU&amp;lang=en_US&amp;offset=0&amp;query=any,contains,991001469239702656","Catalog Record")</f>
        <v/>
      </c>
      <c r="AT448">
        <f>HYPERLINK("http://www.worldcat.org/oclc/19518564","WorldCat Record")</f>
        <v/>
      </c>
      <c r="AU448" t="inlineStr">
        <is>
          <t>10596807817:lat</t>
        </is>
      </c>
      <c r="AV448" t="inlineStr">
        <is>
          <t>19518564</t>
        </is>
      </c>
      <c r="AW448" t="inlineStr">
        <is>
          <t>991001469239702656</t>
        </is>
      </c>
      <c r="AX448" t="inlineStr">
        <is>
          <t>991001469239702656</t>
        </is>
      </c>
      <c r="AY448" t="inlineStr">
        <is>
          <t>2264165220002656</t>
        </is>
      </c>
      <c r="AZ448" t="inlineStr">
        <is>
          <t>BOOK</t>
        </is>
      </c>
      <c r="BB448" t="inlineStr">
        <is>
          <t>9780521312929</t>
        </is>
      </c>
      <c r="BC448" t="inlineStr">
        <is>
          <t>32285000209766</t>
        </is>
      </c>
      <c r="BD448" t="inlineStr">
        <is>
          <t>893534559</t>
        </is>
      </c>
      <c r="BE448" t="inlineStr">
        <is>
          <t>Fajardo Acosta</t>
        </is>
      </c>
    </row>
    <row r="449">
      <c r="A449" t="inlineStr">
        <is>
          <t>No</t>
        </is>
      </c>
      <c r="B449" t="inlineStr">
        <is>
          <t>PA6393 .E6 1974</t>
        </is>
      </c>
      <c r="C449" t="inlineStr">
        <is>
          <t>0                      PA 6393000E  6           1974</t>
        </is>
      </c>
      <c r="D449" t="inlineStr">
        <is>
          <t>The art of poetry. A verse translation with an introd. by Burton Raffel. With the original Latin text, a prose translation and biographical note by James Hynd, notes by David Armstrong, and an afterword by W. R. Johnson.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K449" t="inlineStr">
        <is>
          <t>Horace.</t>
        </is>
      </c>
      <c r="L449" t="inlineStr">
        <is>
          <t>Albany, State University of New York Press, 1974.</t>
        </is>
      </c>
      <c r="M449" t="inlineStr">
        <is>
          <t>1974</t>
        </is>
      </c>
      <c r="O449" t="inlineStr">
        <is>
          <t>eng</t>
        </is>
      </c>
      <c r="P449" t="inlineStr">
        <is>
          <t>nyu</t>
        </is>
      </c>
      <c r="R449" t="inlineStr">
        <is>
          <t xml:space="preserve">PA </t>
        </is>
      </c>
      <c r="S449" t="n">
        <v>1</v>
      </c>
      <c r="T449" t="n">
        <v>1</v>
      </c>
      <c r="U449" t="inlineStr">
        <is>
          <t>2004-01-08</t>
        </is>
      </c>
      <c r="V449" t="inlineStr">
        <is>
          <t>2004-01-08</t>
        </is>
      </c>
      <c r="W449" t="inlineStr">
        <is>
          <t>1997-09-05</t>
        </is>
      </c>
      <c r="X449" t="inlineStr">
        <is>
          <t>1997-09-05</t>
        </is>
      </c>
      <c r="Y449" t="n">
        <v>253</v>
      </c>
      <c r="Z449" t="n">
        <v>226</v>
      </c>
      <c r="AA449" t="n">
        <v>241</v>
      </c>
      <c r="AB449" t="n">
        <v>2</v>
      </c>
      <c r="AC449" t="n">
        <v>2</v>
      </c>
      <c r="AD449" t="n">
        <v>12</v>
      </c>
      <c r="AE449" t="n">
        <v>13</v>
      </c>
      <c r="AF449" t="n">
        <v>2</v>
      </c>
      <c r="AG449" t="n">
        <v>3</v>
      </c>
      <c r="AH449" t="n">
        <v>5</v>
      </c>
      <c r="AI449" t="n">
        <v>5</v>
      </c>
      <c r="AJ449" t="n">
        <v>7</v>
      </c>
      <c r="AK449" t="n">
        <v>8</v>
      </c>
      <c r="AL449" t="n">
        <v>1</v>
      </c>
      <c r="AM449" t="n">
        <v>1</v>
      </c>
      <c r="AN449" t="n">
        <v>0</v>
      </c>
      <c r="AO449" t="n">
        <v>0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HYPERLINK("http://catalog.hathitrust.org/Record/001220953","HathiTrust Record")</f>
        <v/>
      </c>
      <c r="AS449">
        <f>HYPERLINK("https://creighton-primo.hosted.exlibrisgroup.com/primo-explore/search?tab=default_tab&amp;search_scope=EVERYTHING&amp;vid=01CRU&amp;lang=en_US&amp;offset=0&amp;query=any,contains,991003221839702656","Catalog Record")</f>
        <v/>
      </c>
      <c r="AT449">
        <f>HYPERLINK("http://www.worldcat.org/oclc/746899","WorldCat Record")</f>
        <v/>
      </c>
      <c r="AU449" t="inlineStr">
        <is>
          <t>5573144637:eng</t>
        </is>
      </c>
      <c r="AV449" t="inlineStr">
        <is>
          <t>746899</t>
        </is>
      </c>
      <c r="AW449" t="inlineStr">
        <is>
          <t>991003221839702656</t>
        </is>
      </c>
      <c r="AX449" t="inlineStr">
        <is>
          <t>991003221839702656</t>
        </is>
      </c>
      <c r="AY449" t="inlineStr">
        <is>
          <t>2255538250002656</t>
        </is>
      </c>
      <c r="AZ449" t="inlineStr">
        <is>
          <t>BOOK</t>
        </is>
      </c>
      <c r="BB449" t="inlineStr">
        <is>
          <t>9780873952408</t>
        </is>
      </c>
      <c r="BC449" t="inlineStr">
        <is>
          <t>32285003203097</t>
        </is>
      </c>
      <c r="BD449" t="inlineStr">
        <is>
          <t>893323885</t>
        </is>
      </c>
      <c r="BE449" t="inlineStr">
        <is>
          <t>Fajardo Acosta</t>
        </is>
      </c>
    </row>
    <row r="450">
      <c r="A450" t="inlineStr">
        <is>
          <t>No</t>
        </is>
      </c>
      <c r="B450" t="inlineStr">
        <is>
          <t>PA6393.C21 B4 1901</t>
        </is>
      </c>
      <c r="C450" t="inlineStr">
        <is>
          <t>0                      PA 6393000C  21                 B  4           1901</t>
        </is>
      </c>
      <c r="D450" t="inlineStr">
        <is>
          <t>Horace, Odes and epodes / with introduction and notes by Charles E. Bennett.</t>
        </is>
      </c>
      <c r="F450" t="inlineStr">
        <is>
          <t>No</t>
        </is>
      </c>
      <c r="G450" t="inlineStr">
        <is>
          <t>1</t>
        </is>
      </c>
      <c r="H450" t="inlineStr">
        <is>
          <t>Yes</t>
        </is>
      </c>
      <c r="I450" t="inlineStr">
        <is>
          <t>Yes</t>
        </is>
      </c>
      <c r="J450" t="inlineStr">
        <is>
          <t>0</t>
        </is>
      </c>
      <c r="K450" t="inlineStr">
        <is>
          <t>Horace.</t>
        </is>
      </c>
      <c r="L450" t="inlineStr">
        <is>
          <t>Boston : Allyn and Bacon, 1901.</t>
        </is>
      </c>
      <c r="M450" t="inlineStr">
        <is>
          <t>1901</t>
        </is>
      </c>
      <c r="O450" t="inlineStr">
        <is>
          <t>eng</t>
        </is>
      </c>
      <c r="P450" t="inlineStr">
        <is>
          <t xml:space="preserve">xx </t>
        </is>
      </c>
      <c r="Q450" t="inlineStr">
        <is>
          <t>Allyn and Bacon's college Latin series</t>
        </is>
      </c>
      <c r="R450" t="inlineStr">
        <is>
          <t xml:space="preserve">PA </t>
        </is>
      </c>
      <c r="S450" t="n">
        <v>1</v>
      </c>
      <c r="T450" t="n">
        <v>4</v>
      </c>
      <c r="U450" t="inlineStr">
        <is>
          <t>2000-12-14</t>
        </is>
      </c>
      <c r="V450" t="inlineStr">
        <is>
          <t>2000-12-14</t>
        </is>
      </c>
      <c r="W450" t="inlineStr">
        <is>
          <t>1991-05-16</t>
        </is>
      </c>
      <c r="X450" t="inlineStr">
        <is>
          <t>1993-04-14</t>
        </is>
      </c>
      <c r="Y450" t="n">
        <v>159</v>
      </c>
      <c r="Z450" t="n">
        <v>152</v>
      </c>
      <c r="AA450" t="n">
        <v>592</v>
      </c>
      <c r="AB450" t="n">
        <v>2</v>
      </c>
      <c r="AC450" t="n">
        <v>3</v>
      </c>
      <c r="AD450" t="n">
        <v>9</v>
      </c>
      <c r="AE450" t="n">
        <v>32</v>
      </c>
      <c r="AF450" t="n">
        <v>3</v>
      </c>
      <c r="AG450" t="n">
        <v>14</v>
      </c>
      <c r="AH450" t="n">
        <v>3</v>
      </c>
      <c r="AI450" t="n">
        <v>7</v>
      </c>
      <c r="AJ450" t="n">
        <v>6</v>
      </c>
      <c r="AK450" t="n">
        <v>21</v>
      </c>
      <c r="AL450" t="n">
        <v>0</v>
      </c>
      <c r="AM450" t="n">
        <v>1</v>
      </c>
      <c r="AN450" t="n">
        <v>0</v>
      </c>
      <c r="AO450" t="n">
        <v>0</v>
      </c>
      <c r="AP450" t="inlineStr">
        <is>
          <t>Yes</t>
        </is>
      </c>
      <c r="AQ450" t="inlineStr">
        <is>
          <t>No</t>
        </is>
      </c>
      <c r="AR450">
        <f>HYPERLINK("http://catalog.hathitrust.org/Record/001808563","HathiTrust Record")</f>
        <v/>
      </c>
      <c r="AS450">
        <f>HYPERLINK("https://creighton-primo.hosted.exlibrisgroup.com/primo-explore/search?tab=default_tab&amp;search_scope=EVERYTHING&amp;vid=01CRU&amp;lang=en_US&amp;offset=0&amp;query=any,contains,991004461969702656","Catalog Record")</f>
        <v/>
      </c>
      <c r="AT450">
        <f>HYPERLINK("http://www.worldcat.org/oclc/3546069","WorldCat Record")</f>
        <v/>
      </c>
      <c r="AU450" t="inlineStr">
        <is>
          <t>4756441309:eng</t>
        </is>
      </c>
      <c r="AV450" t="inlineStr">
        <is>
          <t>3546069</t>
        </is>
      </c>
      <c r="AW450" t="inlineStr">
        <is>
          <t>991004461969702656</t>
        </is>
      </c>
      <c r="AX450" t="inlineStr">
        <is>
          <t>991004461969702656</t>
        </is>
      </c>
      <c r="AY450" t="inlineStr">
        <is>
          <t>2262448310002656</t>
        </is>
      </c>
      <c r="AZ450" t="inlineStr">
        <is>
          <t>BOOK</t>
        </is>
      </c>
      <c r="BC450" t="inlineStr">
        <is>
          <t>32285000604974</t>
        </is>
      </c>
      <c r="BD450" t="inlineStr">
        <is>
          <t>893500599</t>
        </is>
      </c>
      <c r="BE450" t="inlineStr">
        <is>
          <t>Fajardo Acosta</t>
        </is>
      </c>
    </row>
    <row r="451">
      <c r="A451" t="inlineStr">
        <is>
          <t>No</t>
        </is>
      </c>
      <c r="B451" t="inlineStr">
        <is>
          <t>PA6393.C21 B4 1901</t>
        </is>
      </c>
      <c r="C451" t="inlineStr">
        <is>
          <t>0                      PA 6393000C  21                 B  4           1901</t>
        </is>
      </c>
      <c r="D451" t="inlineStr">
        <is>
          <t>Horace, Odes and epodes / with introduction and notes by Charles E. Bennett.</t>
        </is>
      </c>
      <c r="F451" t="inlineStr">
        <is>
          <t>No</t>
        </is>
      </c>
      <c r="G451" t="inlineStr">
        <is>
          <t>1</t>
        </is>
      </c>
      <c r="H451" t="inlineStr">
        <is>
          <t>Yes</t>
        </is>
      </c>
      <c r="I451" t="inlineStr">
        <is>
          <t>Yes</t>
        </is>
      </c>
      <c r="J451" t="inlineStr">
        <is>
          <t>0</t>
        </is>
      </c>
      <c r="K451" t="inlineStr">
        <is>
          <t>Horace.</t>
        </is>
      </c>
      <c r="L451" t="inlineStr">
        <is>
          <t>Boston : Allyn and Bacon, 1901.</t>
        </is>
      </c>
      <c r="M451" t="inlineStr">
        <is>
          <t>1901</t>
        </is>
      </c>
      <c r="O451" t="inlineStr">
        <is>
          <t>eng</t>
        </is>
      </c>
      <c r="P451" t="inlineStr">
        <is>
          <t xml:space="preserve">xx </t>
        </is>
      </c>
      <c r="Q451" t="inlineStr">
        <is>
          <t>Allyn and Bacon's college Latin series</t>
        </is>
      </c>
      <c r="R451" t="inlineStr">
        <is>
          <t xml:space="preserve">PA </t>
        </is>
      </c>
      <c r="S451" t="n">
        <v>2</v>
      </c>
      <c r="T451" t="n">
        <v>4</v>
      </c>
      <c r="U451" t="inlineStr">
        <is>
          <t>1995-02-21</t>
        </is>
      </c>
      <c r="V451" t="inlineStr">
        <is>
          <t>2000-12-14</t>
        </is>
      </c>
      <c r="W451" t="inlineStr">
        <is>
          <t>1992-09-29</t>
        </is>
      </c>
      <c r="X451" t="inlineStr">
        <is>
          <t>1993-04-14</t>
        </is>
      </c>
      <c r="Y451" t="n">
        <v>159</v>
      </c>
      <c r="Z451" t="n">
        <v>152</v>
      </c>
      <c r="AA451" t="n">
        <v>592</v>
      </c>
      <c r="AB451" t="n">
        <v>2</v>
      </c>
      <c r="AC451" t="n">
        <v>3</v>
      </c>
      <c r="AD451" t="n">
        <v>9</v>
      </c>
      <c r="AE451" t="n">
        <v>32</v>
      </c>
      <c r="AF451" t="n">
        <v>3</v>
      </c>
      <c r="AG451" t="n">
        <v>14</v>
      </c>
      <c r="AH451" t="n">
        <v>3</v>
      </c>
      <c r="AI451" t="n">
        <v>7</v>
      </c>
      <c r="AJ451" t="n">
        <v>6</v>
      </c>
      <c r="AK451" t="n">
        <v>21</v>
      </c>
      <c r="AL451" t="n">
        <v>0</v>
      </c>
      <c r="AM451" t="n">
        <v>1</v>
      </c>
      <c r="AN451" t="n">
        <v>0</v>
      </c>
      <c r="AO451" t="n">
        <v>0</v>
      </c>
      <c r="AP451" t="inlineStr">
        <is>
          <t>Yes</t>
        </is>
      </c>
      <c r="AQ451" t="inlineStr">
        <is>
          <t>No</t>
        </is>
      </c>
      <c r="AR451">
        <f>HYPERLINK("http://catalog.hathitrust.org/Record/001808563","HathiTrust Record")</f>
        <v/>
      </c>
      <c r="AS451">
        <f>HYPERLINK("https://creighton-primo.hosted.exlibrisgroup.com/primo-explore/search?tab=default_tab&amp;search_scope=EVERYTHING&amp;vid=01CRU&amp;lang=en_US&amp;offset=0&amp;query=any,contains,991004461969702656","Catalog Record")</f>
        <v/>
      </c>
      <c r="AT451">
        <f>HYPERLINK("http://www.worldcat.org/oclc/3546069","WorldCat Record")</f>
        <v/>
      </c>
      <c r="AU451" t="inlineStr">
        <is>
          <t>4756441309:eng</t>
        </is>
      </c>
      <c r="AV451" t="inlineStr">
        <is>
          <t>3546069</t>
        </is>
      </c>
      <c r="AW451" t="inlineStr">
        <is>
          <t>991004461969702656</t>
        </is>
      </c>
      <c r="AX451" t="inlineStr">
        <is>
          <t>991004461969702656</t>
        </is>
      </c>
      <c r="AY451" t="inlineStr">
        <is>
          <t>2262448310002656</t>
        </is>
      </c>
      <c r="AZ451" t="inlineStr">
        <is>
          <t>BOOK</t>
        </is>
      </c>
      <c r="BC451" t="inlineStr">
        <is>
          <t>32285001323186</t>
        </is>
      </c>
      <c r="BD451" t="inlineStr">
        <is>
          <t>893506878</t>
        </is>
      </c>
      <c r="BE451" t="inlineStr">
        <is>
          <t>Fajardo Acosta</t>
        </is>
      </c>
    </row>
    <row r="452">
      <c r="A452" t="inlineStr">
        <is>
          <t>No</t>
        </is>
      </c>
      <c r="B452" t="inlineStr">
        <is>
          <t>PA6393.C21 B4 1901</t>
        </is>
      </c>
      <c r="C452" t="inlineStr">
        <is>
          <t>0                      PA 6393000C  21                 B  4           1901</t>
        </is>
      </c>
      <c r="D452" t="inlineStr">
        <is>
          <t>Horace, Odes and epodes / with introduction and notes by Charles E. Bennett.</t>
        </is>
      </c>
      <c r="F452" t="inlineStr">
        <is>
          <t>No</t>
        </is>
      </c>
      <c r="G452" t="inlineStr">
        <is>
          <t>1</t>
        </is>
      </c>
      <c r="H452" t="inlineStr">
        <is>
          <t>Yes</t>
        </is>
      </c>
      <c r="I452" t="inlineStr">
        <is>
          <t>Yes</t>
        </is>
      </c>
      <c r="J452" t="inlineStr">
        <is>
          <t>0</t>
        </is>
      </c>
      <c r="K452" t="inlineStr">
        <is>
          <t>Horace.</t>
        </is>
      </c>
      <c r="L452" t="inlineStr">
        <is>
          <t>Boston : Allyn and Bacon, 1901.</t>
        </is>
      </c>
      <c r="M452" t="inlineStr">
        <is>
          <t>1901</t>
        </is>
      </c>
      <c r="O452" t="inlineStr">
        <is>
          <t>eng</t>
        </is>
      </c>
      <c r="P452" t="inlineStr">
        <is>
          <t xml:space="preserve">xx </t>
        </is>
      </c>
      <c r="Q452" t="inlineStr">
        <is>
          <t>Allyn and Bacon's college Latin series</t>
        </is>
      </c>
      <c r="R452" t="inlineStr">
        <is>
          <t xml:space="preserve">PA </t>
        </is>
      </c>
      <c r="S452" t="n">
        <v>1</v>
      </c>
      <c r="T452" t="n">
        <v>4</v>
      </c>
      <c r="U452" t="inlineStr">
        <is>
          <t>1997-11-20</t>
        </is>
      </c>
      <c r="V452" t="inlineStr">
        <is>
          <t>2000-12-14</t>
        </is>
      </c>
      <c r="W452" t="inlineStr">
        <is>
          <t>1993-04-14</t>
        </is>
      </c>
      <c r="X452" t="inlineStr">
        <is>
          <t>1993-04-14</t>
        </is>
      </c>
      <c r="Y452" t="n">
        <v>159</v>
      </c>
      <c r="Z452" t="n">
        <v>152</v>
      </c>
      <c r="AA452" t="n">
        <v>592</v>
      </c>
      <c r="AB452" t="n">
        <v>2</v>
      </c>
      <c r="AC452" t="n">
        <v>3</v>
      </c>
      <c r="AD452" t="n">
        <v>9</v>
      </c>
      <c r="AE452" t="n">
        <v>32</v>
      </c>
      <c r="AF452" t="n">
        <v>3</v>
      </c>
      <c r="AG452" t="n">
        <v>14</v>
      </c>
      <c r="AH452" t="n">
        <v>3</v>
      </c>
      <c r="AI452" t="n">
        <v>7</v>
      </c>
      <c r="AJ452" t="n">
        <v>6</v>
      </c>
      <c r="AK452" t="n">
        <v>21</v>
      </c>
      <c r="AL452" t="n">
        <v>0</v>
      </c>
      <c r="AM452" t="n">
        <v>1</v>
      </c>
      <c r="AN452" t="n">
        <v>0</v>
      </c>
      <c r="AO452" t="n">
        <v>0</v>
      </c>
      <c r="AP452" t="inlineStr">
        <is>
          <t>Yes</t>
        </is>
      </c>
      <c r="AQ452" t="inlineStr">
        <is>
          <t>No</t>
        </is>
      </c>
      <c r="AR452">
        <f>HYPERLINK("http://catalog.hathitrust.org/Record/001808563","HathiTrust Record")</f>
        <v/>
      </c>
      <c r="AS452">
        <f>HYPERLINK("https://creighton-primo.hosted.exlibrisgroup.com/primo-explore/search?tab=default_tab&amp;search_scope=EVERYTHING&amp;vid=01CRU&amp;lang=en_US&amp;offset=0&amp;query=any,contains,991004461969702656","Catalog Record")</f>
        <v/>
      </c>
      <c r="AT452">
        <f>HYPERLINK("http://www.worldcat.org/oclc/3546069","WorldCat Record")</f>
        <v/>
      </c>
      <c r="AU452" t="inlineStr">
        <is>
          <t>4756441309:eng</t>
        </is>
      </c>
      <c r="AV452" t="inlineStr">
        <is>
          <t>3546069</t>
        </is>
      </c>
      <c r="AW452" t="inlineStr">
        <is>
          <t>991004461969702656</t>
        </is>
      </c>
      <c r="AX452" t="inlineStr">
        <is>
          <t>991004461969702656</t>
        </is>
      </c>
      <c r="AY452" t="inlineStr">
        <is>
          <t>2262448310002656</t>
        </is>
      </c>
      <c r="AZ452" t="inlineStr">
        <is>
          <t>BOOK</t>
        </is>
      </c>
      <c r="BC452" t="inlineStr">
        <is>
          <t>32285001638526</t>
        </is>
      </c>
      <c r="BD452" t="inlineStr">
        <is>
          <t>893506877</t>
        </is>
      </c>
      <c r="BE452" t="inlineStr">
        <is>
          <t>Fajardo Acosta</t>
        </is>
      </c>
    </row>
    <row r="453">
      <c r="A453" t="inlineStr">
        <is>
          <t>No</t>
        </is>
      </c>
      <c r="B453" t="inlineStr">
        <is>
          <t>PA6393.C21 S5 1898</t>
        </is>
      </c>
      <c r="C453" t="inlineStr">
        <is>
          <t>0                      PA 6393000C  21                 S  5           1898</t>
        </is>
      </c>
      <c r="D453" t="inlineStr">
        <is>
          <t>Horace, odes and epodes / edited, with introduction and notes, by Paul Shorey.</t>
        </is>
      </c>
      <c r="F453" t="inlineStr">
        <is>
          <t>No</t>
        </is>
      </c>
      <c r="G453" t="inlineStr">
        <is>
          <t>1</t>
        </is>
      </c>
      <c r="H453" t="inlineStr">
        <is>
          <t>Yes</t>
        </is>
      </c>
      <c r="I453" t="inlineStr">
        <is>
          <t>Yes</t>
        </is>
      </c>
      <c r="J453" t="inlineStr">
        <is>
          <t>0</t>
        </is>
      </c>
      <c r="K453" t="inlineStr">
        <is>
          <t>Horace.</t>
        </is>
      </c>
      <c r="L453" t="inlineStr">
        <is>
          <t>Boston, B. H. Sanborn &amp; co. [1898]</t>
        </is>
      </c>
      <c r="M453" t="inlineStr">
        <is>
          <t>1898</t>
        </is>
      </c>
      <c r="O453" t="inlineStr">
        <is>
          <t>eng</t>
        </is>
      </c>
      <c r="P453" t="inlineStr">
        <is>
          <t xml:space="preserve">xx </t>
        </is>
      </c>
      <c r="Q453" t="inlineStr">
        <is>
          <t>The students ̓series of Latin classics</t>
        </is>
      </c>
      <c r="R453" t="inlineStr">
        <is>
          <t xml:space="preserve">PA </t>
        </is>
      </c>
      <c r="S453" t="n">
        <v>1</v>
      </c>
      <c r="T453" t="n">
        <v>1</v>
      </c>
      <c r="U453" t="inlineStr">
        <is>
          <t>2003-04-02</t>
        </is>
      </c>
      <c r="V453" t="inlineStr">
        <is>
          <t>2003-04-02</t>
        </is>
      </c>
      <c r="W453" t="inlineStr">
        <is>
          <t>1997-09-08</t>
        </is>
      </c>
      <c r="X453" t="inlineStr">
        <is>
          <t>1997-09-08</t>
        </is>
      </c>
      <c r="Y453" t="n">
        <v>68</v>
      </c>
      <c r="Z453" t="n">
        <v>65</v>
      </c>
      <c r="AA453" t="n">
        <v>592</v>
      </c>
      <c r="AB453" t="n">
        <v>1</v>
      </c>
      <c r="AC453" t="n">
        <v>3</v>
      </c>
      <c r="AD453" t="n">
        <v>7</v>
      </c>
      <c r="AE453" t="n">
        <v>32</v>
      </c>
      <c r="AF453" t="n">
        <v>3</v>
      </c>
      <c r="AG453" t="n">
        <v>14</v>
      </c>
      <c r="AH453" t="n">
        <v>2</v>
      </c>
      <c r="AI453" t="n">
        <v>7</v>
      </c>
      <c r="AJ453" t="n">
        <v>5</v>
      </c>
      <c r="AK453" t="n">
        <v>21</v>
      </c>
      <c r="AL453" t="n">
        <v>0</v>
      </c>
      <c r="AM453" t="n">
        <v>1</v>
      </c>
      <c r="AN453" t="n">
        <v>0</v>
      </c>
      <c r="AO453" t="n">
        <v>0</v>
      </c>
      <c r="AP453" t="inlineStr">
        <is>
          <t>Yes</t>
        </is>
      </c>
      <c r="AQ453" t="inlineStr">
        <is>
          <t>No</t>
        </is>
      </c>
      <c r="AR453">
        <f>HYPERLINK("http://catalog.hathitrust.org/Record/006529594","HathiTrust Record")</f>
        <v/>
      </c>
      <c r="AS453">
        <f>HYPERLINK("https://creighton-primo.hosted.exlibrisgroup.com/primo-explore/search?tab=default_tab&amp;search_scope=EVERYTHING&amp;vid=01CRU&amp;lang=en_US&amp;offset=0&amp;query=any,contains,991003795559702656","Catalog Record")</f>
        <v/>
      </c>
      <c r="AT453">
        <f>HYPERLINK("http://www.worldcat.org/oclc/1516719","WorldCat Record")</f>
        <v/>
      </c>
      <c r="AU453" t="inlineStr">
        <is>
          <t>4756441309:eng</t>
        </is>
      </c>
      <c r="AV453" t="inlineStr">
        <is>
          <t>1516719</t>
        </is>
      </c>
      <c r="AW453" t="inlineStr">
        <is>
          <t>991003795559702656</t>
        </is>
      </c>
      <c r="AX453" t="inlineStr">
        <is>
          <t>991003795559702656</t>
        </is>
      </c>
      <c r="AY453" t="inlineStr">
        <is>
          <t>2262108880002656</t>
        </is>
      </c>
      <c r="AZ453" t="inlineStr">
        <is>
          <t>BOOK</t>
        </is>
      </c>
      <c r="BC453" t="inlineStr">
        <is>
          <t>32285003203014</t>
        </is>
      </c>
      <c r="BD453" t="inlineStr">
        <is>
          <t>893441758</t>
        </is>
      </c>
      <c r="BE453" t="inlineStr">
        <is>
          <t>Fajardo Acosta</t>
        </is>
      </c>
    </row>
    <row r="454">
      <c r="A454" t="inlineStr">
        <is>
          <t>No</t>
        </is>
      </c>
      <c r="B454" t="inlineStr">
        <is>
          <t>PA6393.C21 S5 1898</t>
        </is>
      </c>
      <c r="C454" t="inlineStr">
        <is>
          <t>0                      PA 6393000C  21                 S  5           1898</t>
        </is>
      </c>
      <c r="D454" t="inlineStr">
        <is>
          <t>Horace, odes and epodes / edited, with introduction and notes, by Paul Shorey.</t>
        </is>
      </c>
      <c r="F454" t="inlineStr">
        <is>
          <t>No</t>
        </is>
      </c>
      <c r="G454" t="inlineStr">
        <is>
          <t>1</t>
        </is>
      </c>
      <c r="H454" t="inlineStr">
        <is>
          <t>Yes</t>
        </is>
      </c>
      <c r="I454" t="inlineStr">
        <is>
          <t>Yes</t>
        </is>
      </c>
      <c r="J454" t="inlineStr">
        <is>
          <t>0</t>
        </is>
      </c>
      <c r="K454" t="inlineStr">
        <is>
          <t>Horace.</t>
        </is>
      </c>
      <c r="L454" t="inlineStr">
        <is>
          <t>Boston, B. H. Sanborn &amp; co. [1898]</t>
        </is>
      </c>
      <c r="M454" t="inlineStr">
        <is>
          <t>1898</t>
        </is>
      </c>
      <c r="O454" t="inlineStr">
        <is>
          <t>eng</t>
        </is>
      </c>
      <c r="P454" t="inlineStr">
        <is>
          <t xml:space="preserve">xx </t>
        </is>
      </c>
      <c r="Q454" t="inlineStr">
        <is>
          <t>The students ̓series of Latin classics</t>
        </is>
      </c>
      <c r="R454" t="inlineStr">
        <is>
          <t xml:space="preserve">PA </t>
        </is>
      </c>
      <c r="S454" t="n">
        <v>0</v>
      </c>
      <c r="T454" t="n">
        <v>1</v>
      </c>
      <c r="V454" t="inlineStr">
        <is>
          <t>2003-04-02</t>
        </is>
      </c>
      <c r="W454" t="inlineStr">
        <is>
          <t>1997-09-08</t>
        </is>
      </c>
      <c r="X454" t="inlineStr">
        <is>
          <t>1997-09-08</t>
        </is>
      </c>
      <c r="Y454" t="n">
        <v>68</v>
      </c>
      <c r="Z454" t="n">
        <v>65</v>
      </c>
      <c r="AA454" t="n">
        <v>592</v>
      </c>
      <c r="AB454" t="n">
        <v>1</v>
      </c>
      <c r="AC454" t="n">
        <v>3</v>
      </c>
      <c r="AD454" t="n">
        <v>7</v>
      </c>
      <c r="AE454" t="n">
        <v>32</v>
      </c>
      <c r="AF454" t="n">
        <v>3</v>
      </c>
      <c r="AG454" t="n">
        <v>14</v>
      </c>
      <c r="AH454" t="n">
        <v>2</v>
      </c>
      <c r="AI454" t="n">
        <v>7</v>
      </c>
      <c r="AJ454" t="n">
        <v>5</v>
      </c>
      <c r="AK454" t="n">
        <v>21</v>
      </c>
      <c r="AL454" t="n">
        <v>0</v>
      </c>
      <c r="AM454" t="n">
        <v>1</v>
      </c>
      <c r="AN454" t="n">
        <v>0</v>
      </c>
      <c r="AO454" t="n">
        <v>0</v>
      </c>
      <c r="AP454" t="inlineStr">
        <is>
          <t>Yes</t>
        </is>
      </c>
      <c r="AQ454" t="inlineStr">
        <is>
          <t>No</t>
        </is>
      </c>
      <c r="AR454">
        <f>HYPERLINK("http://catalog.hathitrust.org/Record/006529594","HathiTrust Record")</f>
        <v/>
      </c>
      <c r="AS454">
        <f>HYPERLINK("https://creighton-primo.hosted.exlibrisgroup.com/primo-explore/search?tab=default_tab&amp;search_scope=EVERYTHING&amp;vid=01CRU&amp;lang=en_US&amp;offset=0&amp;query=any,contains,991003795559702656","Catalog Record")</f>
        <v/>
      </c>
      <c r="AT454">
        <f>HYPERLINK("http://www.worldcat.org/oclc/1516719","WorldCat Record")</f>
        <v/>
      </c>
      <c r="AU454" t="inlineStr">
        <is>
          <t>4756441309:eng</t>
        </is>
      </c>
      <c r="AV454" t="inlineStr">
        <is>
          <t>1516719</t>
        </is>
      </c>
      <c r="AW454" t="inlineStr">
        <is>
          <t>991003795559702656</t>
        </is>
      </c>
      <c r="AX454" t="inlineStr">
        <is>
          <t>991003795559702656</t>
        </is>
      </c>
      <c r="AY454" t="inlineStr">
        <is>
          <t>2262108880002656</t>
        </is>
      </c>
      <c r="AZ454" t="inlineStr">
        <is>
          <t>BOOK</t>
        </is>
      </c>
      <c r="BC454" t="inlineStr">
        <is>
          <t>32285003203006</t>
        </is>
      </c>
      <c r="BD454" t="inlineStr">
        <is>
          <t>893429238</t>
        </is>
      </c>
      <c r="BE454" t="inlineStr">
        <is>
          <t>Fajardo Acosta</t>
        </is>
      </c>
    </row>
    <row r="455">
      <c r="A455" t="inlineStr">
        <is>
          <t>No</t>
        </is>
      </c>
      <c r="B455" t="inlineStr">
        <is>
          <t>PA6558.E5 B8 1964b</t>
        </is>
      </c>
      <c r="C455" t="inlineStr">
        <is>
          <t>0                      PA 6558000E  5                  B  8           1964b</t>
        </is>
      </c>
      <c r="D455" t="inlineStr">
        <is>
          <t>The Satyricon of Petronius / the translation by William Burnaby. Rev. for the present ed., with an introd., by Gilbert Bagnani and illustrated by Antonio Sotomayor.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K455" t="inlineStr">
        <is>
          <t>Petronius Arbiter.</t>
        </is>
      </c>
      <c r="L455" t="inlineStr">
        <is>
          <t>New York : Heritage Press, [1964]</t>
        </is>
      </c>
      <c r="M455" t="inlineStr">
        <is>
          <t>1964</t>
        </is>
      </c>
      <c r="O455" t="inlineStr">
        <is>
          <t>eng</t>
        </is>
      </c>
      <c r="P455" t="inlineStr">
        <is>
          <t xml:space="preserve">xx </t>
        </is>
      </c>
      <c r="R455" t="inlineStr">
        <is>
          <t xml:space="preserve">PA </t>
        </is>
      </c>
      <c r="S455" t="n">
        <v>13</v>
      </c>
      <c r="T455" t="n">
        <v>13</v>
      </c>
      <c r="U455" t="inlineStr">
        <is>
          <t>2002-02-22</t>
        </is>
      </c>
      <c r="V455" t="inlineStr">
        <is>
          <t>2002-02-22</t>
        </is>
      </c>
      <c r="W455" t="inlineStr">
        <is>
          <t>1990-03-07</t>
        </is>
      </c>
      <c r="X455" t="inlineStr">
        <is>
          <t>1990-03-07</t>
        </is>
      </c>
      <c r="Y455" t="n">
        <v>234</v>
      </c>
      <c r="Z455" t="n">
        <v>232</v>
      </c>
      <c r="AA455" t="n">
        <v>908</v>
      </c>
      <c r="AB455" t="n">
        <v>2</v>
      </c>
      <c r="AC455" t="n">
        <v>8</v>
      </c>
      <c r="AD455" t="n">
        <v>10</v>
      </c>
      <c r="AE455" t="n">
        <v>38</v>
      </c>
      <c r="AF455" t="n">
        <v>6</v>
      </c>
      <c r="AG455" t="n">
        <v>15</v>
      </c>
      <c r="AH455" t="n">
        <v>3</v>
      </c>
      <c r="AI455" t="n">
        <v>8</v>
      </c>
      <c r="AJ455" t="n">
        <v>4</v>
      </c>
      <c r="AK455" t="n">
        <v>18</v>
      </c>
      <c r="AL455" t="n">
        <v>1</v>
      </c>
      <c r="AM455" t="n">
        <v>6</v>
      </c>
      <c r="AN455" t="n">
        <v>0</v>
      </c>
      <c r="AO455" t="n">
        <v>0</v>
      </c>
      <c r="AP455" t="inlineStr">
        <is>
          <t>No</t>
        </is>
      </c>
      <c r="AQ455" t="inlineStr">
        <is>
          <t>Yes</t>
        </is>
      </c>
      <c r="AR455">
        <f>HYPERLINK("http://catalog.hathitrust.org/Record/002876192","HathiTrust Record")</f>
        <v/>
      </c>
      <c r="AS455">
        <f>HYPERLINK("https://creighton-primo.hosted.exlibrisgroup.com/primo-explore/search?tab=default_tab&amp;search_scope=EVERYTHING&amp;vid=01CRU&amp;lang=en_US&amp;offset=0&amp;query=any,contains,991005370149702656","Catalog Record")</f>
        <v/>
      </c>
      <c r="AT455">
        <f>HYPERLINK("http://www.worldcat.org/oclc/2727596","WorldCat Record")</f>
        <v/>
      </c>
      <c r="AU455" t="inlineStr">
        <is>
          <t>3855322042:eng</t>
        </is>
      </c>
      <c r="AV455" t="inlineStr">
        <is>
          <t>2727596</t>
        </is>
      </c>
      <c r="AW455" t="inlineStr">
        <is>
          <t>991005370149702656</t>
        </is>
      </c>
      <c r="AX455" t="inlineStr">
        <is>
          <t>991005370149702656</t>
        </is>
      </c>
      <c r="AY455" t="inlineStr">
        <is>
          <t>2270342650002656</t>
        </is>
      </c>
      <c r="AZ455" t="inlineStr">
        <is>
          <t>BOOK</t>
        </is>
      </c>
      <c r="BC455" t="inlineStr">
        <is>
          <t>32285000080290</t>
        </is>
      </c>
      <c r="BD455" t="inlineStr">
        <is>
          <t>893261038</t>
        </is>
      </c>
      <c r="BE455" t="inlineStr">
        <is>
          <t>Fajardo Acosta</t>
        </is>
      </c>
    </row>
    <row r="456">
      <c r="A456" t="inlineStr">
        <is>
          <t>No</t>
        </is>
      </c>
      <c r="B456" t="inlineStr">
        <is>
          <t>PA6563 .A2 1919</t>
        </is>
      </c>
      <c r="C456" t="inlineStr">
        <is>
          <t>0                      PA 6563000A  2           1919</t>
        </is>
      </c>
      <c r="D456" t="inlineStr">
        <is>
          <t>Phaedri fabvlae Aesopiae, cvm Nicolai Perotti prologo et decem novis fabvlis; recognovit breviqve adnotatione critica instrvxit Iohannes Percival Postgate.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K456" t="inlineStr">
        <is>
          <t>Phaedrus.</t>
        </is>
      </c>
      <c r="L456" t="inlineStr">
        <is>
          <t>Oxonii, e typographeo Clarendoniano [pref. 1919]</t>
        </is>
      </c>
      <c r="M456" t="inlineStr">
        <is>
          <t>1919</t>
        </is>
      </c>
      <c r="O456" t="inlineStr">
        <is>
          <t>lat</t>
        </is>
      </c>
      <c r="P456" t="inlineStr">
        <is>
          <t>enk</t>
        </is>
      </c>
      <c r="Q456" t="inlineStr">
        <is>
          <t>Scriptorum classicorum bibliotheca Oxoniensis</t>
        </is>
      </c>
      <c r="R456" t="inlineStr">
        <is>
          <t xml:space="preserve">PA </t>
        </is>
      </c>
      <c r="S456" t="n">
        <v>4</v>
      </c>
      <c r="T456" t="n">
        <v>4</v>
      </c>
      <c r="U456" t="inlineStr">
        <is>
          <t>2000-01-19</t>
        </is>
      </c>
      <c r="V456" t="inlineStr">
        <is>
          <t>2000-01-19</t>
        </is>
      </c>
      <c r="W456" t="inlineStr">
        <is>
          <t>1997-09-24</t>
        </is>
      </c>
      <c r="X456" t="inlineStr">
        <is>
          <t>1997-09-24</t>
        </is>
      </c>
      <c r="Y456" t="n">
        <v>92</v>
      </c>
      <c r="Z456" t="n">
        <v>87</v>
      </c>
      <c r="AA456" t="n">
        <v>97</v>
      </c>
      <c r="AB456" t="n">
        <v>2</v>
      </c>
      <c r="AC456" t="n">
        <v>2</v>
      </c>
      <c r="AD456" t="n">
        <v>5</v>
      </c>
      <c r="AE456" t="n">
        <v>5</v>
      </c>
      <c r="AF456" t="n">
        <v>0</v>
      </c>
      <c r="AG456" t="n">
        <v>0</v>
      </c>
      <c r="AH456" t="n">
        <v>0</v>
      </c>
      <c r="AI456" t="n">
        <v>0</v>
      </c>
      <c r="AJ456" t="n">
        <v>4</v>
      </c>
      <c r="AK456" t="n">
        <v>4</v>
      </c>
      <c r="AL456" t="n">
        <v>1</v>
      </c>
      <c r="AM456" t="n">
        <v>1</v>
      </c>
      <c r="AN456" t="n">
        <v>0</v>
      </c>
      <c r="AO456" t="n">
        <v>0</v>
      </c>
      <c r="AP456" t="inlineStr">
        <is>
          <t>Yes</t>
        </is>
      </c>
      <c r="AQ456" t="inlineStr">
        <is>
          <t>No</t>
        </is>
      </c>
      <c r="AR456">
        <f>HYPERLINK("http://catalog.hathitrust.org/Record/001221231","HathiTrust Record")</f>
        <v/>
      </c>
      <c r="AS456">
        <f>HYPERLINK("https://creighton-primo.hosted.exlibrisgroup.com/primo-explore/search?tab=default_tab&amp;search_scope=EVERYTHING&amp;vid=01CRU&amp;lang=en_US&amp;offset=0&amp;query=any,contains,991004279789702656","Catalog Record")</f>
        <v/>
      </c>
      <c r="AT456">
        <f>HYPERLINK("http://www.worldcat.org/oclc/2906240","WorldCat Record")</f>
        <v/>
      </c>
      <c r="AU456" t="inlineStr">
        <is>
          <t>4482187517:lat</t>
        </is>
      </c>
      <c r="AV456" t="inlineStr">
        <is>
          <t>2906240</t>
        </is>
      </c>
      <c r="AW456" t="inlineStr">
        <is>
          <t>991004279789702656</t>
        </is>
      </c>
      <c r="AX456" t="inlineStr">
        <is>
          <t>991004279789702656</t>
        </is>
      </c>
      <c r="AY456" t="inlineStr">
        <is>
          <t>2269473180002656</t>
        </is>
      </c>
      <c r="AZ456" t="inlineStr">
        <is>
          <t>BOOK</t>
        </is>
      </c>
      <c r="BC456" t="inlineStr">
        <is>
          <t>32285003210381</t>
        </is>
      </c>
      <c r="BD456" t="inlineStr">
        <is>
          <t>893331399</t>
        </is>
      </c>
      <c r="BE456" t="inlineStr">
        <is>
          <t>Fajardo Acosta</t>
        </is>
      </c>
    </row>
    <row r="457">
      <c r="A457" t="inlineStr">
        <is>
          <t>No</t>
        </is>
      </c>
      <c r="B457" t="inlineStr">
        <is>
          <t>PA6569 .S55 1995</t>
        </is>
      </c>
      <c r="C457" t="inlineStr">
        <is>
          <t>0                      PA 6569000S  55          1995</t>
        </is>
      </c>
      <c r="D457" t="inlineStr">
        <is>
          <t>Plautus : the comedies / edited by David R. Slavitt and Palmer Bovie.</t>
        </is>
      </c>
      <c r="F457" t="inlineStr">
        <is>
          <t>Yes</t>
        </is>
      </c>
      <c r="G457" t="inlineStr">
        <is>
          <t>1</t>
        </is>
      </c>
      <c r="H457" t="inlineStr">
        <is>
          <t>Yes</t>
        </is>
      </c>
      <c r="I457" t="inlineStr">
        <is>
          <t>No</t>
        </is>
      </c>
      <c r="J457" t="inlineStr">
        <is>
          <t>0</t>
        </is>
      </c>
      <c r="K457" t="inlineStr">
        <is>
          <t>Plautus, Titus Maccius.</t>
        </is>
      </c>
      <c r="L457" t="inlineStr">
        <is>
          <t>Baltimore, Md. : Johns Hopkins University Press, c1995.</t>
        </is>
      </c>
      <c r="M457" t="inlineStr">
        <is>
          <t>1995</t>
        </is>
      </c>
      <c r="O457" t="inlineStr">
        <is>
          <t>eng</t>
        </is>
      </c>
      <c r="P457" t="inlineStr">
        <is>
          <t>mdu</t>
        </is>
      </c>
      <c r="Q457" t="inlineStr">
        <is>
          <t>Complete Roman drama in translation</t>
        </is>
      </c>
      <c r="R457" t="inlineStr">
        <is>
          <t xml:space="preserve">PA </t>
        </is>
      </c>
      <c r="S457" t="n">
        <v>7</v>
      </c>
      <c r="T457" t="n">
        <v>12</v>
      </c>
      <c r="U457" t="inlineStr">
        <is>
          <t>2005-11-04</t>
        </is>
      </c>
      <c r="V457" t="inlineStr">
        <is>
          <t>2005-11-04</t>
        </is>
      </c>
      <c r="W457" t="inlineStr">
        <is>
          <t>1996-05-16</t>
        </is>
      </c>
      <c r="X457" t="inlineStr">
        <is>
          <t>1996-05-16</t>
        </is>
      </c>
      <c r="Y457" t="n">
        <v>483</v>
      </c>
      <c r="Z457" t="n">
        <v>423</v>
      </c>
      <c r="AA457" t="n">
        <v>425</v>
      </c>
      <c r="AB457" t="n">
        <v>5</v>
      </c>
      <c r="AC457" t="n">
        <v>5</v>
      </c>
      <c r="AD457" t="n">
        <v>28</v>
      </c>
      <c r="AE457" t="n">
        <v>28</v>
      </c>
      <c r="AF457" t="n">
        <v>10</v>
      </c>
      <c r="AG457" t="n">
        <v>10</v>
      </c>
      <c r="AH457" t="n">
        <v>7</v>
      </c>
      <c r="AI457" t="n">
        <v>7</v>
      </c>
      <c r="AJ457" t="n">
        <v>14</v>
      </c>
      <c r="AK457" t="n">
        <v>14</v>
      </c>
      <c r="AL457" t="n">
        <v>4</v>
      </c>
      <c r="AM457" t="n">
        <v>4</v>
      </c>
      <c r="AN457" t="n">
        <v>0</v>
      </c>
      <c r="AO457" t="n">
        <v>0</v>
      </c>
      <c r="AP457" t="inlineStr">
        <is>
          <t>No</t>
        </is>
      </c>
      <c r="AQ457" t="inlineStr">
        <is>
          <t>Yes</t>
        </is>
      </c>
      <c r="AR457">
        <f>HYPERLINK("http://catalog.hathitrust.org/Record/003008980","HathiTrust Record")</f>
        <v/>
      </c>
      <c r="AS457">
        <f>HYPERLINK("https://creighton-primo.hosted.exlibrisgroup.com/primo-explore/search?tab=default_tab&amp;search_scope=EVERYTHING&amp;vid=01CRU&amp;lang=en_US&amp;offset=0&amp;query=any,contains,991002435959702656","Catalog Record")</f>
        <v/>
      </c>
      <c r="AT457">
        <f>HYPERLINK("http://www.worldcat.org/oclc/31753961","WorldCat Record")</f>
        <v/>
      </c>
      <c r="AU457" t="inlineStr">
        <is>
          <t>4915264460:eng</t>
        </is>
      </c>
      <c r="AV457" t="inlineStr">
        <is>
          <t>31753961</t>
        </is>
      </c>
      <c r="AW457" t="inlineStr">
        <is>
          <t>991002435959702656</t>
        </is>
      </c>
      <c r="AX457" t="inlineStr">
        <is>
          <t>991002435959702656</t>
        </is>
      </c>
      <c r="AY457" t="inlineStr">
        <is>
          <t>2272273350002656</t>
        </is>
      </c>
      <c r="AZ457" t="inlineStr">
        <is>
          <t>BOOK</t>
        </is>
      </c>
      <c r="BB457" t="inlineStr">
        <is>
          <t>9780801850561</t>
        </is>
      </c>
      <c r="BC457" t="inlineStr">
        <is>
          <t>32285002168994</t>
        </is>
      </c>
      <c r="BD457" t="inlineStr">
        <is>
          <t>893421361</t>
        </is>
      </c>
      <c r="BE457" t="inlineStr">
        <is>
          <t>Fajardo Acosta</t>
        </is>
      </c>
    </row>
    <row r="458">
      <c r="A458" t="inlineStr">
        <is>
          <t>No</t>
        </is>
      </c>
      <c r="B458" t="inlineStr">
        <is>
          <t>PA6569 .S55 1995 V4</t>
        </is>
      </c>
      <c r="C458" t="inlineStr">
        <is>
          <t>0                      PA 6569000S  55          1995   V  4</t>
        </is>
      </c>
      <c r="D458" t="inlineStr">
        <is>
          <t>Plautus : the comedies / edited by David R. Slavitt and Palmer Bovie.</t>
        </is>
      </c>
      <c r="F458" t="inlineStr">
        <is>
          <t>Yes</t>
        </is>
      </c>
      <c r="G458" t="inlineStr">
        <is>
          <t>1</t>
        </is>
      </c>
      <c r="H458" t="inlineStr">
        <is>
          <t>Yes</t>
        </is>
      </c>
      <c r="I458" t="inlineStr">
        <is>
          <t>No</t>
        </is>
      </c>
      <c r="J458" t="inlineStr">
        <is>
          <t>0</t>
        </is>
      </c>
      <c r="K458" t="inlineStr">
        <is>
          <t>Plautus, Titus Maccius.</t>
        </is>
      </c>
      <c r="L458" t="inlineStr">
        <is>
          <t>Baltimore, Md. : Johns Hopkins University Press, c1995.</t>
        </is>
      </c>
      <c r="M458" t="inlineStr">
        <is>
          <t>1995</t>
        </is>
      </c>
      <c r="O458" t="inlineStr">
        <is>
          <t>eng</t>
        </is>
      </c>
      <c r="P458" t="inlineStr">
        <is>
          <t>mdu</t>
        </is>
      </c>
      <c r="Q458" t="inlineStr">
        <is>
          <t>Complete Roman drama in translation</t>
        </is>
      </c>
      <c r="R458" t="inlineStr">
        <is>
          <t xml:space="preserve">PA </t>
        </is>
      </c>
      <c r="S458" t="n">
        <v>5</v>
      </c>
      <c r="T458" t="n">
        <v>12</v>
      </c>
      <c r="U458" t="inlineStr">
        <is>
          <t>2002-09-22</t>
        </is>
      </c>
      <c r="V458" t="inlineStr">
        <is>
          <t>2005-11-04</t>
        </is>
      </c>
      <c r="W458" t="inlineStr">
        <is>
          <t>1996-05-16</t>
        </is>
      </c>
      <c r="X458" t="inlineStr">
        <is>
          <t>1996-05-16</t>
        </is>
      </c>
      <c r="Y458" t="n">
        <v>483</v>
      </c>
      <c r="Z458" t="n">
        <v>423</v>
      </c>
      <c r="AA458" t="n">
        <v>425</v>
      </c>
      <c r="AB458" t="n">
        <v>5</v>
      </c>
      <c r="AC458" t="n">
        <v>5</v>
      </c>
      <c r="AD458" t="n">
        <v>28</v>
      </c>
      <c r="AE458" t="n">
        <v>28</v>
      </c>
      <c r="AF458" t="n">
        <v>10</v>
      </c>
      <c r="AG458" t="n">
        <v>10</v>
      </c>
      <c r="AH458" t="n">
        <v>7</v>
      </c>
      <c r="AI458" t="n">
        <v>7</v>
      </c>
      <c r="AJ458" t="n">
        <v>14</v>
      </c>
      <c r="AK458" t="n">
        <v>14</v>
      </c>
      <c r="AL458" t="n">
        <v>4</v>
      </c>
      <c r="AM458" t="n">
        <v>4</v>
      </c>
      <c r="AN458" t="n">
        <v>0</v>
      </c>
      <c r="AO458" t="n">
        <v>0</v>
      </c>
      <c r="AP458" t="inlineStr">
        <is>
          <t>No</t>
        </is>
      </c>
      <c r="AQ458" t="inlineStr">
        <is>
          <t>Yes</t>
        </is>
      </c>
      <c r="AR458">
        <f>HYPERLINK("http://catalog.hathitrust.org/Record/003008980","HathiTrust Record")</f>
        <v/>
      </c>
      <c r="AS458">
        <f>HYPERLINK("https://creighton-primo.hosted.exlibrisgroup.com/primo-explore/search?tab=default_tab&amp;search_scope=EVERYTHING&amp;vid=01CRU&amp;lang=en_US&amp;offset=0&amp;query=any,contains,991002435959702656","Catalog Record")</f>
        <v/>
      </c>
      <c r="AT458">
        <f>HYPERLINK("http://www.worldcat.org/oclc/31753961","WorldCat Record")</f>
        <v/>
      </c>
      <c r="AU458" t="inlineStr">
        <is>
          <t>4915264460:eng</t>
        </is>
      </c>
      <c r="AV458" t="inlineStr">
        <is>
          <t>31753961</t>
        </is>
      </c>
      <c r="AW458" t="inlineStr">
        <is>
          <t>991002435959702656</t>
        </is>
      </c>
      <c r="AX458" t="inlineStr">
        <is>
          <t>991002435959702656</t>
        </is>
      </c>
      <c r="AY458" t="inlineStr">
        <is>
          <t>2272273350002656</t>
        </is>
      </c>
      <c r="AZ458" t="inlineStr">
        <is>
          <t>BOOK</t>
        </is>
      </c>
      <c r="BB458" t="inlineStr">
        <is>
          <t>9780801850561</t>
        </is>
      </c>
      <c r="BC458" t="inlineStr">
        <is>
          <t>32285002169372</t>
        </is>
      </c>
      <c r="BD458" t="inlineStr">
        <is>
          <t>893440146</t>
        </is>
      </c>
      <c r="BE458" t="inlineStr">
        <is>
          <t>Fajardo Acosta</t>
        </is>
      </c>
    </row>
    <row r="459">
      <c r="A459" t="inlineStr">
        <is>
          <t>No</t>
        </is>
      </c>
      <c r="B459" t="inlineStr">
        <is>
          <t>PA6570 .A3 1983</t>
        </is>
      </c>
      <c r="C459" t="inlineStr">
        <is>
          <t>0                      PA 6570000A  3           1983</t>
        </is>
      </c>
      <c r="D459" t="inlineStr">
        <is>
          <t>Plautus, the darker comedies / translated from the Latin, with introduction and notes, by James Tatum.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K459" t="inlineStr">
        <is>
          <t>Plautus, Titus Maccius.</t>
        </is>
      </c>
      <c r="L459" t="inlineStr">
        <is>
          <t>Baltimore : Johns Hopkins University Press, c1983.</t>
        </is>
      </c>
      <c r="M459" t="inlineStr">
        <is>
          <t>1983</t>
        </is>
      </c>
      <c r="O459" t="inlineStr">
        <is>
          <t>eng</t>
        </is>
      </c>
      <c r="P459" t="inlineStr">
        <is>
          <t>mdu</t>
        </is>
      </c>
      <c r="R459" t="inlineStr">
        <is>
          <t xml:space="preserve">PA </t>
        </is>
      </c>
      <c r="S459" t="n">
        <v>3</v>
      </c>
      <c r="T459" t="n">
        <v>3</v>
      </c>
      <c r="U459" t="inlineStr">
        <is>
          <t>1994-11-30</t>
        </is>
      </c>
      <c r="V459" t="inlineStr">
        <is>
          <t>1994-11-30</t>
        </is>
      </c>
      <c r="W459" t="inlineStr">
        <is>
          <t>1991-09-09</t>
        </is>
      </c>
      <c r="X459" t="inlineStr">
        <is>
          <t>1991-09-09</t>
        </is>
      </c>
      <c r="Y459" t="n">
        <v>519</v>
      </c>
      <c r="Z459" t="n">
        <v>443</v>
      </c>
      <c r="AA459" t="n">
        <v>449</v>
      </c>
      <c r="AB459" t="n">
        <v>3</v>
      </c>
      <c r="AC459" t="n">
        <v>3</v>
      </c>
      <c r="AD459" t="n">
        <v>25</v>
      </c>
      <c r="AE459" t="n">
        <v>25</v>
      </c>
      <c r="AF459" t="n">
        <v>8</v>
      </c>
      <c r="AG459" t="n">
        <v>8</v>
      </c>
      <c r="AH459" t="n">
        <v>8</v>
      </c>
      <c r="AI459" t="n">
        <v>8</v>
      </c>
      <c r="AJ459" t="n">
        <v>14</v>
      </c>
      <c r="AK459" t="n">
        <v>14</v>
      </c>
      <c r="AL459" t="n">
        <v>2</v>
      </c>
      <c r="AM459" t="n">
        <v>2</v>
      </c>
      <c r="AN459" t="n">
        <v>0</v>
      </c>
      <c r="AO459" t="n">
        <v>0</v>
      </c>
      <c r="AP459" t="inlineStr">
        <is>
          <t>No</t>
        </is>
      </c>
      <c r="AQ459" t="inlineStr">
        <is>
          <t>Yes</t>
        </is>
      </c>
      <c r="AR459">
        <f>HYPERLINK("http://catalog.hathitrust.org/Record/000236843","HathiTrust Record")</f>
        <v/>
      </c>
      <c r="AS459">
        <f>HYPERLINK("https://creighton-primo.hosted.exlibrisgroup.com/primo-explore/search?tab=default_tab&amp;search_scope=EVERYTHING&amp;vid=01CRU&amp;lang=en_US&amp;offset=0&amp;query=any,contains,991000094519702656","Catalog Record")</f>
        <v/>
      </c>
      <c r="AT459">
        <f>HYPERLINK("http://www.worldcat.org/oclc/8927991","WorldCat Record")</f>
        <v/>
      </c>
      <c r="AU459" t="inlineStr">
        <is>
          <t>5621569379:eng</t>
        </is>
      </c>
      <c r="AV459" t="inlineStr">
        <is>
          <t>8927991</t>
        </is>
      </c>
      <c r="AW459" t="inlineStr">
        <is>
          <t>991000094519702656</t>
        </is>
      </c>
      <c r="AX459" t="inlineStr">
        <is>
          <t>991000094519702656</t>
        </is>
      </c>
      <c r="AY459" t="inlineStr">
        <is>
          <t>2265078360002656</t>
        </is>
      </c>
      <c r="AZ459" t="inlineStr">
        <is>
          <t>BOOK</t>
        </is>
      </c>
      <c r="BB459" t="inlineStr">
        <is>
          <t>9780801829017</t>
        </is>
      </c>
      <c r="BC459" t="inlineStr">
        <is>
          <t>32285000737956</t>
        </is>
      </c>
      <c r="BD459" t="inlineStr">
        <is>
          <t>893333205</t>
        </is>
      </c>
      <c r="BE459" t="inlineStr">
        <is>
          <t>Fajardo Acosta</t>
        </is>
      </c>
    </row>
    <row r="460">
      <c r="A460" t="inlineStr">
        <is>
          <t>No</t>
        </is>
      </c>
      <c r="B460" t="inlineStr">
        <is>
          <t>PA6650.E5 W3</t>
        </is>
      </c>
      <c r="C460" t="inlineStr">
        <is>
          <t>0                      PA 6650000E  5                  W  3</t>
        </is>
      </c>
      <c r="D460" t="inlineStr">
        <is>
          <t>Quintilian's Institutes of oratory ; or, Education of an orator / In twelve books. Literally tr. with notes, by the Rev. John Selby Watson.</t>
        </is>
      </c>
      <c r="E460" t="inlineStr">
        <is>
          <t>V.1</t>
        </is>
      </c>
      <c r="F460" t="inlineStr">
        <is>
          <t>Yes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K460" t="inlineStr">
        <is>
          <t>Quintilian.</t>
        </is>
      </c>
      <c r="L460" t="inlineStr">
        <is>
          <t>London, Bell, 1875-76.</t>
        </is>
      </c>
      <c r="M460" t="inlineStr">
        <is>
          <t>1875</t>
        </is>
      </c>
      <c r="O460" t="inlineStr">
        <is>
          <t>eng</t>
        </is>
      </c>
      <c r="P460" t="inlineStr">
        <is>
          <t xml:space="preserve">xx </t>
        </is>
      </c>
      <c r="Q460" t="inlineStr">
        <is>
          <t>Bohn's classical library</t>
        </is>
      </c>
      <c r="R460" t="inlineStr">
        <is>
          <t xml:space="preserve">PA </t>
        </is>
      </c>
      <c r="S460" t="n">
        <v>6</v>
      </c>
      <c r="T460" t="n">
        <v>7</v>
      </c>
      <c r="U460" t="inlineStr">
        <is>
          <t>2003-06-09</t>
        </is>
      </c>
      <c r="V460" t="inlineStr">
        <is>
          <t>2003-06-09</t>
        </is>
      </c>
      <c r="W460" t="inlineStr">
        <is>
          <t>1997-08-29</t>
        </is>
      </c>
      <c r="X460" t="inlineStr">
        <is>
          <t>1997-08-29</t>
        </is>
      </c>
      <c r="Y460" t="n">
        <v>69</v>
      </c>
      <c r="Z460" t="n">
        <v>65</v>
      </c>
      <c r="AA460" t="n">
        <v>292</v>
      </c>
      <c r="AB460" t="n">
        <v>1</v>
      </c>
      <c r="AC460" t="n">
        <v>2</v>
      </c>
      <c r="AD460" t="n">
        <v>8</v>
      </c>
      <c r="AE460" t="n">
        <v>18</v>
      </c>
      <c r="AF460" t="n">
        <v>5</v>
      </c>
      <c r="AG460" t="n">
        <v>7</v>
      </c>
      <c r="AH460" t="n">
        <v>1</v>
      </c>
      <c r="AI460" t="n">
        <v>3</v>
      </c>
      <c r="AJ460" t="n">
        <v>5</v>
      </c>
      <c r="AK460" t="n">
        <v>11</v>
      </c>
      <c r="AL460" t="n">
        <v>0</v>
      </c>
      <c r="AM460" t="n">
        <v>1</v>
      </c>
      <c r="AN460" t="n">
        <v>0</v>
      </c>
      <c r="AO460" t="n">
        <v>0</v>
      </c>
      <c r="AP460" t="inlineStr">
        <is>
          <t>Yes</t>
        </is>
      </c>
      <c r="AQ460" t="inlineStr">
        <is>
          <t>No</t>
        </is>
      </c>
      <c r="AR460">
        <f>HYPERLINK("http://catalog.hathitrust.org/Record/001809705","HathiTrust Record")</f>
        <v/>
      </c>
      <c r="AS460">
        <f>HYPERLINK("https://creighton-primo.hosted.exlibrisgroup.com/primo-explore/search?tab=default_tab&amp;search_scope=EVERYTHING&amp;vid=01CRU&amp;lang=en_US&amp;offset=0&amp;query=any,contains,991005354189702656","Catalog Record")</f>
        <v/>
      </c>
      <c r="AT460">
        <f>HYPERLINK("http://www.worldcat.org/oclc/271481","WorldCat Record")</f>
        <v/>
      </c>
      <c r="AU460" t="inlineStr">
        <is>
          <t>3117055046:eng</t>
        </is>
      </c>
      <c r="AV460" t="inlineStr">
        <is>
          <t>271481</t>
        </is>
      </c>
      <c r="AW460" t="inlineStr">
        <is>
          <t>991005354189702656</t>
        </is>
      </c>
      <c r="AX460" t="inlineStr">
        <is>
          <t>991005354189702656</t>
        </is>
      </c>
      <c r="AY460" t="inlineStr">
        <is>
          <t>2262005410002656</t>
        </is>
      </c>
      <c r="AZ460" t="inlineStr">
        <is>
          <t>BOOK</t>
        </is>
      </c>
      <c r="BC460" t="inlineStr">
        <is>
          <t>32285003160909</t>
        </is>
      </c>
      <c r="BD460" t="inlineStr">
        <is>
          <t>893332820</t>
        </is>
      </c>
      <c r="BE460" t="inlineStr">
        <is>
          <t>Fajardo Acosta</t>
        </is>
      </c>
    </row>
    <row r="461">
      <c r="A461" t="inlineStr">
        <is>
          <t>No</t>
        </is>
      </c>
      <c r="B461" t="inlineStr">
        <is>
          <t>PA6650.E5 W3</t>
        </is>
      </c>
      <c r="C461" t="inlineStr">
        <is>
          <t>0                      PA 6650000E  5                  W  3</t>
        </is>
      </c>
      <c r="D461" t="inlineStr">
        <is>
          <t>Quintilian's Institutes of oratory ; or, Education of an orator / In twelve books. Literally tr. with notes, by the Rev. John Selby Watson.</t>
        </is>
      </c>
      <c r="E461" t="inlineStr">
        <is>
          <t>V.2</t>
        </is>
      </c>
      <c r="F461" t="inlineStr">
        <is>
          <t>Yes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K461" t="inlineStr">
        <is>
          <t>Quintilian.</t>
        </is>
      </c>
      <c r="L461" t="inlineStr">
        <is>
          <t>London, Bell, 1875-76.</t>
        </is>
      </c>
      <c r="M461" t="inlineStr">
        <is>
          <t>1875</t>
        </is>
      </c>
      <c r="O461" t="inlineStr">
        <is>
          <t>eng</t>
        </is>
      </c>
      <c r="P461" t="inlineStr">
        <is>
          <t xml:space="preserve">xx </t>
        </is>
      </c>
      <c r="Q461" t="inlineStr">
        <is>
          <t>Bohn's classical library</t>
        </is>
      </c>
      <c r="R461" t="inlineStr">
        <is>
          <t xml:space="preserve">PA </t>
        </is>
      </c>
      <c r="S461" t="n">
        <v>1</v>
      </c>
      <c r="T461" t="n">
        <v>7</v>
      </c>
      <c r="U461" t="inlineStr">
        <is>
          <t>2000-02-25</t>
        </is>
      </c>
      <c r="V461" t="inlineStr">
        <is>
          <t>2003-06-09</t>
        </is>
      </c>
      <c r="W461" t="inlineStr">
        <is>
          <t>1997-08-29</t>
        </is>
      </c>
      <c r="X461" t="inlineStr">
        <is>
          <t>1997-08-29</t>
        </is>
      </c>
      <c r="Y461" t="n">
        <v>69</v>
      </c>
      <c r="Z461" t="n">
        <v>65</v>
      </c>
      <c r="AA461" t="n">
        <v>292</v>
      </c>
      <c r="AB461" t="n">
        <v>1</v>
      </c>
      <c r="AC461" t="n">
        <v>2</v>
      </c>
      <c r="AD461" t="n">
        <v>8</v>
      </c>
      <c r="AE461" t="n">
        <v>18</v>
      </c>
      <c r="AF461" t="n">
        <v>5</v>
      </c>
      <c r="AG461" t="n">
        <v>7</v>
      </c>
      <c r="AH461" t="n">
        <v>1</v>
      </c>
      <c r="AI461" t="n">
        <v>3</v>
      </c>
      <c r="AJ461" t="n">
        <v>5</v>
      </c>
      <c r="AK461" t="n">
        <v>11</v>
      </c>
      <c r="AL461" t="n">
        <v>0</v>
      </c>
      <c r="AM461" t="n">
        <v>1</v>
      </c>
      <c r="AN461" t="n">
        <v>0</v>
      </c>
      <c r="AO461" t="n">
        <v>0</v>
      </c>
      <c r="AP461" t="inlineStr">
        <is>
          <t>Yes</t>
        </is>
      </c>
      <c r="AQ461" t="inlineStr">
        <is>
          <t>No</t>
        </is>
      </c>
      <c r="AR461">
        <f>HYPERLINK("http://catalog.hathitrust.org/Record/001809705","HathiTrust Record")</f>
        <v/>
      </c>
      <c r="AS461">
        <f>HYPERLINK("https://creighton-primo.hosted.exlibrisgroup.com/primo-explore/search?tab=default_tab&amp;search_scope=EVERYTHING&amp;vid=01CRU&amp;lang=en_US&amp;offset=0&amp;query=any,contains,991005354189702656","Catalog Record")</f>
        <v/>
      </c>
      <c r="AT461">
        <f>HYPERLINK("http://www.worldcat.org/oclc/271481","WorldCat Record")</f>
        <v/>
      </c>
      <c r="AU461" t="inlineStr">
        <is>
          <t>3117055046:eng</t>
        </is>
      </c>
      <c r="AV461" t="inlineStr">
        <is>
          <t>271481</t>
        </is>
      </c>
      <c r="AW461" t="inlineStr">
        <is>
          <t>991005354189702656</t>
        </is>
      </c>
      <c r="AX461" t="inlineStr">
        <is>
          <t>991005354189702656</t>
        </is>
      </c>
      <c r="AY461" t="inlineStr">
        <is>
          <t>2262005410002656</t>
        </is>
      </c>
      <c r="AZ461" t="inlineStr">
        <is>
          <t>BOOK</t>
        </is>
      </c>
      <c r="BC461" t="inlineStr">
        <is>
          <t>32285003160917</t>
        </is>
      </c>
      <c r="BD461" t="inlineStr">
        <is>
          <t>893338949</t>
        </is>
      </c>
      <c r="BE461" t="inlineStr">
        <is>
          <t>Fajardo Acosta</t>
        </is>
      </c>
    </row>
    <row r="462">
      <c r="A462" t="inlineStr">
        <is>
          <t>No</t>
        </is>
      </c>
      <c r="B462" t="inlineStr">
        <is>
          <t>PA6756.A1 B36 2001</t>
        </is>
      </c>
      <c r="C462" t="inlineStr">
        <is>
          <t>0                      PA 6756000A  1                  B  36          2001</t>
        </is>
      </c>
      <c r="D462" t="inlineStr">
        <is>
          <t>Terence / edited and translated by John Barsby.</t>
        </is>
      </c>
      <c r="E462" t="inlineStr">
        <is>
          <t>V. 1</t>
        </is>
      </c>
      <c r="F462" t="inlineStr">
        <is>
          <t>Yes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K462" t="inlineStr">
        <is>
          <t>Terence.</t>
        </is>
      </c>
      <c r="L462" t="inlineStr">
        <is>
          <t>Cambridge, Mass. : Harvard University Press, 2001.</t>
        </is>
      </c>
      <c r="M462" t="inlineStr">
        <is>
          <t>2001</t>
        </is>
      </c>
      <c r="O462" t="inlineStr">
        <is>
          <t>eng</t>
        </is>
      </c>
      <c r="P462" t="inlineStr">
        <is>
          <t>mau</t>
        </is>
      </c>
      <c r="Q462" t="inlineStr">
        <is>
          <t>Loeb classical library ; 22-23</t>
        </is>
      </c>
      <c r="R462" t="inlineStr">
        <is>
          <t xml:space="preserve">PA </t>
        </is>
      </c>
      <c r="S462" t="n">
        <v>1</v>
      </c>
      <c r="T462" t="n">
        <v>2</v>
      </c>
      <c r="U462" t="inlineStr">
        <is>
          <t>2002-02-11</t>
        </is>
      </c>
      <c r="V462" t="inlineStr">
        <is>
          <t>2002-04-05</t>
        </is>
      </c>
      <c r="W462" t="inlineStr">
        <is>
          <t>2002-02-11</t>
        </is>
      </c>
      <c r="X462" t="inlineStr">
        <is>
          <t>2002-02-20</t>
        </is>
      </c>
      <c r="Y462" t="n">
        <v>559</v>
      </c>
      <c r="Z462" t="n">
        <v>447</v>
      </c>
      <c r="AA462" t="n">
        <v>553</v>
      </c>
      <c r="AB462" t="n">
        <v>3</v>
      </c>
      <c r="AC462" t="n">
        <v>4</v>
      </c>
      <c r="AD462" t="n">
        <v>28</v>
      </c>
      <c r="AE462" t="n">
        <v>33</v>
      </c>
      <c r="AF462" t="n">
        <v>14</v>
      </c>
      <c r="AG462" t="n">
        <v>16</v>
      </c>
      <c r="AH462" t="n">
        <v>6</v>
      </c>
      <c r="AI462" t="n">
        <v>8</v>
      </c>
      <c r="AJ462" t="n">
        <v>17</v>
      </c>
      <c r="AK462" t="n">
        <v>19</v>
      </c>
      <c r="AL462" t="n">
        <v>2</v>
      </c>
      <c r="AM462" t="n">
        <v>3</v>
      </c>
      <c r="AN462" t="n">
        <v>0</v>
      </c>
      <c r="AO462" t="n">
        <v>0</v>
      </c>
      <c r="AP462" t="inlineStr">
        <is>
          <t>No</t>
        </is>
      </c>
      <c r="AQ462" t="inlineStr">
        <is>
          <t>Yes</t>
        </is>
      </c>
      <c r="AR462">
        <f>HYPERLINK("http://catalog.hathitrust.org/Record/003795145","HathiTrust Record")</f>
        <v/>
      </c>
      <c r="AS462">
        <f>HYPERLINK("https://creighton-primo.hosted.exlibrisgroup.com/primo-explore/search?tab=default_tab&amp;search_scope=EVERYTHING&amp;vid=01CRU&amp;lang=en_US&amp;offset=0&amp;query=any,contains,991003732309702656","Catalog Record")</f>
        <v/>
      </c>
      <c r="AT462">
        <f>HYPERLINK("http://www.worldcat.org/oclc/45963213","WorldCat Record")</f>
        <v/>
      </c>
      <c r="AU462" t="inlineStr">
        <is>
          <t>3768364139:eng</t>
        </is>
      </c>
      <c r="AV462" t="inlineStr">
        <is>
          <t>45963213</t>
        </is>
      </c>
      <c r="AW462" t="inlineStr">
        <is>
          <t>991003732309702656</t>
        </is>
      </c>
      <c r="AX462" t="inlineStr">
        <is>
          <t>991003732309702656</t>
        </is>
      </c>
      <c r="AY462" t="inlineStr">
        <is>
          <t>2258148370002656</t>
        </is>
      </c>
      <c r="AZ462" t="inlineStr">
        <is>
          <t>BOOK</t>
        </is>
      </c>
      <c r="BB462" t="inlineStr">
        <is>
          <t>9780674995970</t>
        </is>
      </c>
      <c r="BC462" t="inlineStr">
        <is>
          <t>32285004453824</t>
        </is>
      </c>
      <c r="BD462" t="inlineStr">
        <is>
          <t>893330714</t>
        </is>
      </c>
      <c r="BE462" t="inlineStr">
        <is>
          <t>Fajardo Acosta</t>
        </is>
      </c>
    </row>
    <row r="463">
      <c r="A463" t="inlineStr">
        <is>
          <t>No</t>
        </is>
      </c>
      <c r="B463" t="inlineStr">
        <is>
          <t>PA6756.A1 B36 2001</t>
        </is>
      </c>
      <c r="C463" t="inlineStr">
        <is>
          <t>0                      PA 6756000A  1                  B  36          2001</t>
        </is>
      </c>
      <c r="D463" t="inlineStr">
        <is>
          <t>Terence / edited and translated by John Barsby.</t>
        </is>
      </c>
      <c r="E463" t="inlineStr">
        <is>
          <t>V. 2</t>
        </is>
      </c>
      <c r="F463" t="inlineStr">
        <is>
          <t>Yes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K463" t="inlineStr">
        <is>
          <t>Terence.</t>
        </is>
      </c>
      <c r="L463" t="inlineStr">
        <is>
          <t>Cambridge, Mass. : Harvard University Press, 2001.</t>
        </is>
      </c>
      <c r="M463" t="inlineStr">
        <is>
          <t>2001</t>
        </is>
      </c>
      <c r="O463" t="inlineStr">
        <is>
          <t>eng</t>
        </is>
      </c>
      <c r="P463" t="inlineStr">
        <is>
          <t>mau</t>
        </is>
      </c>
      <c r="Q463" t="inlineStr">
        <is>
          <t>Loeb classical library ; 22-23</t>
        </is>
      </c>
      <c r="R463" t="inlineStr">
        <is>
          <t xml:space="preserve">PA </t>
        </is>
      </c>
      <c r="S463" t="n">
        <v>1</v>
      </c>
      <c r="T463" t="n">
        <v>2</v>
      </c>
      <c r="U463" t="inlineStr">
        <is>
          <t>2002-04-05</t>
        </is>
      </c>
      <c r="V463" t="inlineStr">
        <is>
          <t>2002-04-05</t>
        </is>
      </c>
      <c r="W463" t="inlineStr">
        <is>
          <t>2002-02-20</t>
        </is>
      </c>
      <c r="X463" t="inlineStr">
        <is>
          <t>2002-02-20</t>
        </is>
      </c>
      <c r="Y463" t="n">
        <v>559</v>
      </c>
      <c r="Z463" t="n">
        <v>447</v>
      </c>
      <c r="AA463" t="n">
        <v>553</v>
      </c>
      <c r="AB463" t="n">
        <v>3</v>
      </c>
      <c r="AC463" t="n">
        <v>4</v>
      </c>
      <c r="AD463" t="n">
        <v>28</v>
      </c>
      <c r="AE463" t="n">
        <v>33</v>
      </c>
      <c r="AF463" t="n">
        <v>14</v>
      </c>
      <c r="AG463" t="n">
        <v>16</v>
      </c>
      <c r="AH463" t="n">
        <v>6</v>
      </c>
      <c r="AI463" t="n">
        <v>8</v>
      </c>
      <c r="AJ463" t="n">
        <v>17</v>
      </c>
      <c r="AK463" t="n">
        <v>19</v>
      </c>
      <c r="AL463" t="n">
        <v>2</v>
      </c>
      <c r="AM463" t="n">
        <v>3</v>
      </c>
      <c r="AN463" t="n">
        <v>0</v>
      </c>
      <c r="AO463" t="n">
        <v>0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HYPERLINK("http://catalog.hathitrust.org/Record/003795145","HathiTrust Record")</f>
        <v/>
      </c>
      <c r="AS463">
        <f>HYPERLINK("https://creighton-primo.hosted.exlibrisgroup.com/primo-explore/search?tab=default_tab&amp;search_scope=EVERYTHING&amp;vid=01CRU&amp;lang=en_US&amp;offset=0&amp;query=any,contains,991003732309702656","Catalog Record")</f>
        <v/>
      </c>
      <c r="AT463">
        <f>HYPERLINK("http://www.worldcat.org/oclc/45963213","WorldCat Record")</f>
        <v/>
      </c>
      <c r="AU463" t="inlineStr">
        <is>
          <t>3768364139:eng</t>
        </is>
      </c>
      <c r="AV463" t="inlineStr">
        <is>
          <t>45963213</t>
        </is>
      </c>
      <c r="AW463" t="inlineStr">
        <is>
          <t>991003732309702656</t>
        </is>
      </c>
      <c r="AX463" t="inlineStr">
        <is>
          <t>991003732309702656</t>
        </is>
      </c>
      <c r="AY463" t="inlineStr">
        <is>
          <t>2258148370002656</t>
        </is>
      </c>
      <c r="AZ463" t="inlineStr">
        <is>
          <t>BOOK</t>
        </is>
      </c>
      <c r="BB463" t="inlineStr">
        <is>
          <t>9780674995970</t>
        </is>
      </c>
      <c r="BC463" t="inlineStr">
        <is>
          <t>32285004465638</t>
        </is>
      </c>
      <c r="BD463" t="inlineStr">
        <is>
          <t>893342938</t>
        </is>
      </c>
      <c r="BE463" t="inlineStr">
        <is>
          <t>Fajardo Acosta</t>
        </is>
      </c>
    </row>
    <row r="464">
      <c r="A464" t="inlineStr">
        <is>
          <t>No</t>
        </is>
      </c>
      <c r="B464" t="inlineStr">
        <is>
          <t>PA6801 .A5 1980</t>
        </is>
      </c>
      <c r="C464" t="inlineStr">
        <is>
          <t>0                      PA 6801000A  5           1980</t>
        </is>
      </c>
      <c r="D464" t="inlineStr">
        <is>
          <t>The Aeneid of Virgil / edited with introduction and notes by R. D. Williams.</t>
        </is>
      </c>
      <c r="F464" t="inlineStr">
        <is>
          <t>No</t>
        </is>
      </c>
      <c r="G464" t="inlineStr">
        <is>
          <t>1</t>
        </is>
      </c>
      <c r="H464" t="inlineStr">
        <is>
          <t>Yes</t>
        </is>
      </c>
      <c r="I464" t="inlineStr">
        <is>
          <t>No</t>
        </is>
      </c>
      <c r="J464" t="inlineStr">
        <is>
          <t>0</t>
        </is>
      </c>
      <c r="K464" t="inlineStr">
        <is>
          <t>Virgil.</t>
        </is>
      </c>
      <c r="L464" t="inlineStr">
        <is>
          <t>London, Macmillan; [New York] St. Martin's Press, 1980-</t>
        </is>
      </c>
      <c r="M464" t="inlineStr">
        <is>
          <t>1972</t>
        </is>
      </c>
      <c r="O464" t="inlineStr">
        <is>
          <t>lat</t>
        </is>
      </c>
      <c r="P464" t="inlineStr">
        <is>
          <t>enk</t>
        </is>
      </c>
      <c r="R464" t="inlineStr">
        <is>
          <t xml:space="preserve">PA </t>
        </is>
      </c>
      <c r="S464" t="n">
        <v>21</v>
      </c>
      <c r="T464" t="n">
        <v>30</v>
      </c>
      <c r="U464" t="inlineStr">
        <is>
          <t>2005-04-06</t>
        </is>
      </c>
      <c r="V464" t="inlineStr">
        <is>
          <t>2005-04-06</t>
        </is>
      </c>
      <c r="W464" t="inlineStr">
        <is>
          <t>1992-10-23</t>
        </is>
      </c>
      <c r="X464" t="inlineStr">
        <is>
          <t>1992-10-23</t>
        </is>
      </c>
      <c r="Y464" t="n">
        <v>329</v>
      </c>
      <c r="Z464" t="n">
        <v>262</v>
      </c>
      <c r="AA464" t="n">
        <v>369</v>
      </c>
      <c r="AB464" t="n">
        <v>3</v>
      </c>
      <c r="AC464" t="n">
        <v>3</v>
      </c>
      <c r="AD464" t="n">
        <v>23</v>
      </c>
      <c r="AE464" t="n">
        <v>26</v>
      </c>
      <c r="AF464" t="n">
        <v>8</v>
      </c>
      <c r="AG464" t="n">
        <v>9</v>
      </c>
      <c r="AH464" t="n">
        <v>5</v>
      </c>
      <c r="AI464" t="n">
        <v>6</v>
      </c>
      <c r="AJ464" t="n">
        <v>17</v>
      </c>
      <c r="AK464" t="n">
        <v>18</v>
      </c>
      <c r="AL464" t="n">
        <v>1</v>
      </c>
      <c r="AM464" t="n">
        <v>1</v>
      </c>
      <c r="AN464" t="n">
        <v>0</v>
      </c>
      <c r="AO464" t="n">
        <v>0</v>
      </c>
      <c r="AP464" t="inlineStr">
        <is>
          <t>No</t>
        </is>
      </c>
      <c r="AQ464" t="inlineStr">
        <is>
          <t>Yes</t>
        </is>
      </c>
      <c r="AR464">
        <f>HYPERLINK("http://catalog.hathitrust.org/Record/009917277","HathiTrust Record")</f>
        <v/>
      </c>
      <c r="AS464">
        <f>HYPERLINK("https://creighton-primo.hosted.exlibrisgroup.com/primo-explore/search?tab=default_tab&amp;search_scope=EVERYTHING&amp;vid=01CRU&amp;lang=en_US&amp;offset=0&amp;query=any,contains,991003387569702656","Catalog Record")</f>
        <v/>
      </c>
      <c r="AT464">
        <f>HYPERLINK("http://www.worldcat.org/oclc/924146","WorldCat Record")</f>
        <v/>
      </c>
      <c r="AU464" t="inlineStr">
        <is>
          <t>9789540515:lat</t>
        </is>
      </c>
      <c r="AV464" t="inlineStr">
        <is>
          <t>924146</t>
        </is>
      </c>
      <c r="AW464" t="inlineStr">
        <is>
          <t>991003387569702656</t>
        </is>
      </c>
      <c r="AX464" t="inlineStr">
        <is>
          <t>991003387569702656</t>
        </is>
      </c>
      <c r="AY464" t="inlineStr">
        <is>
          <t>2264479210002656</t>
        </is>
      </c>
      <c r="AZ464" t="inlineStr">
        <is>
          <t>BOOK</t>
        </is>
      </c>
      <c r="BB464" t="inlineStr">
        <is>
          <t>9780333118733</t>
        </is>
      </c>
      <c r="BC464" t="inlineStr">
        <is>
          <t>32285001378057</t>
        </is>
      </c>
      <c r="BD464" t="inlineStr">
        <is>
          <t>893598544</t>
        </is>
      </c>
      <c r="BE464" t="inlineStr">
        <is>
          <t>Fajardo Acosta</t>
        </is>
      </c>
    </row>
    <row r="465">
      <c r="A465" t="inlineStr">
        <is>
          <t>No</t>
        </is>
      </c>
      <c r="B465" t="inlineStr">
        <is>
          <t>PA6801 .A5 1980 V2</t>
        </is>
      </c>
      <c r="C465" t="inlineStr">
        <is>
          <t>0                      PA 6801000A  5           1980   V  2</t>
        </is>
      </c>
      <c r="D465" t="inlineStr">
        <is>
          <t>The Aeneid of Virgil / edited with introduction and notes by R. D. Williams.</t>
        </is>
      </c>
      <c r="F465" t="inlineStr">
        <is>
          <t>No</t>
        </is>
      </c>
      <c r="G465" t="inlineStr">
        <is>
          <t>1</t>
        </is>
      </c>
      <c r="H465" t="inlineStr">
        <is>
          <t>Yes</t>
        </is>
      </c>
      <c r="I465" t="inlineStr">
        <is>
          <t>No</t>
        </is>
      </c>
      <c r="J465" t="inlineStr">
        <is>
          <t>0</t>
        </is>
      </c>
      <c r="K465" t="inlineStr">
        <is>
          <t>Virgil.</t>
        </is>
      </c>
      <c r="L465" t="inlineStr">
        <is>
          <t>London, Macmillan; [New York] St. Martin's Press, 1980-</t>
        </is>
      </c>
      <c r="M465" t="inlineStr">
        <is>
          <t>1972</t>
        </is>
      </c>
      <c r="O465" t="inlineStr">
        <is>
          <t>lat</t>
        </is>
      </c>
      <c r="P465" t="inlineStr">
        <is>
          <t>enk</t>
        </is>
      </c>
      <c r="R465" t="inlineStr">
        <is>
          <t xml:space="preserve">PA </t>
        </is>
      </c>
      <c r="S465" t="n">
        <v>9</v>
      </c>
      <c r="T465" t="n">
        <v>30</v>
      </c>
      <c r="U465" t="inlineStr">
        <is>
          <t>1997-09-15</t>
        </is>
      </c>
      <c r="V465" t="inlineStr">
        <is>
          <t>2005-04-06</t>
        </is>
      </c>
      <c r="W465" t="inlineStr">
        <is>
          <t>1992-10-23</t>
        </is>
      </c>
      <c r="X465" t="inlineStr">
        <is>
          <t>1992-10-23</t>
        </is>
      </c>
      <c r="Y465" t="n">
        <v>329</v>
      </c>
      <c r="Z465" t="n">
        <v>262</v>
      </c>
      <c r="AA465" t="n">
        <v>369</v>
      </c>
      <c r="AB465" t="n">
        <v>3</v>
      </c>
      <c r="AC465" t="n">
        <v>3</v>
      </c>
      <c r="AD465" t="n">
        <v>23</v>
      </c>
      <c r="AE465" t="n">
        <v>26</v>
      </c>
      <c r="AF465" t="n">
        <v>8</v>
      </c>
      <c r="AG465" t="n">
        <v>9</v>
      </c>
      <c r="AH465" t="n">
        <v>5</v>
      </c>
      <c r="AI465" t="n">
        <v>6</v>
      </c>
      <c r="AJ465" t="n">
        <v>17</v>
      </c>
      <c r="AK465" t="n">
        <v>18</v>
      </c>
      <c r="AL465" t="n">
        <v>1</v>
      </c>
      <c r="AM465" t="n">
        <v>1</v>
      </c>
      <c r="AN465" t="n">
        <v>0</v>
      </c>
      <c r="AO465" t="n">
        <v>0</v>
      </c>
      <c r="AP465" t="inlineStr">
        <is>
          <t>No</t>
        </is>
      </c>
      <c r="AQ465" t="inlineStr">
        <is>
          <t>Yes</t>
        </is>
      </c>
      <c r="AR465">
        <f>HYPERLINK("http://catalog.hathitrust.org/Record/009917277","HathiTrust Record")</f>
        <v/>
      </c>
      <c r="AS465">
        <f>HYPERLINK("https://creighton-primo.hosted.exlibrisgroup.com/primo-explore/search?tab=default_tab&amp;search_scope=EVERYTHING&amp;vid=01CRU&amp;lang=en_US&amp;offset=0&amp;query=any,contains,991003387569702656","Catalog Record")</f>
        <v/>
      </c>
      <c r="AT465">
        <f>HYPERLINK("http://www.worldcat.org/oclc/924146","WorldCat Record")</f>
        <v/>
      </c>
      <c r="AU465" t="inlineStr">
        <is>
          <t>9789540515:lat</t>
        </is>
      </c>
      <c r="AV465" t="inlineStr">
        <is>
          <t>924146</t>
        </is>
      </c>
      <c r="AW465" t="inlineStr">
        <is>
          <t>991003387569702656</t>
        </is>
      </c>
      <c r="AX465" t="inlineStr">
        <is>
          <t>991003387569702656</t>
        </is>
      </c>
      <c r="AY465" t="inlineStr">
        <is>
          <t>2264479210002656</t>
        </is>
      </c>
      <c r="AZ465" t="inlineStr">
        <is>
          <t>BOOK</t>
        </is>
      </c>
      <c r="BB465" t="inlineStr">
        <is>
          <t>9780333118733</t>
        </is>
      </c>
      <c r="BC465" t="inlineStr">
        <is>
          <t>32285001378065</t>
        </is>
      </c>
      <c r="BD465" t="inlineStr">
        <is>
          <t>893610997</t>
        </is>
      </c>
      <c r="BE465" t="inlineStr">
        <is>
          <t>Fajardo Acosta</t>
        </is>
      </c>
    </row>
    <row r="466">
      <c r="A466" t="inlineStr">
        <is>
          <t>No</t>
        </is>
      </c>
      <c r="B466" t="inlineStr">
        <is>
          <t>PA6801.A6 F7 1902</t>
        </is>
      </c>
      <c r="C466" t="inlineStr">
        <is>
          <t>0                      PA 6801000A  6                  F  7           1902</t>
        </is>
      </c>
      <c r="D466" t="inlineStr">
        <is>
          <t>Virgil's Aeneid : books I-XII / with an introduction, notes, and vocabulary by Henry S. Frieze ; rev. by Walter Dennison.</t>
        </is>
      </c>
      <c r="F466" t="inlineStr">
        <is>
          <t>No</t>
        </is>
      </c>
      <c r="G466" t="inlineStr">
        <is>
          <t>1</t>
        </is>
      </c>
      <c r="H466" t="inlineStr">
        <is>
          <t>Yes</t>
        </is>
      </c>
      <c r="I466" t="inlineStr">
        <is>
          <t>No</t>
        </is>
      </c>
      <c r="J466" t="inlineStr">
        <is>
          <t>0</t>
        </is>
      </c>
      <c r="K466" t="inlineStr">
        <is>
          <t>Virgil.</t>
        </is>
      </c>
      <c r="L466" t="inlineStr">
        <is>
          <t>New York ; Cincinnati : American Book Company, [1902]</t>
        </is>
      </c>
      <c r="M466" t="inlineStr">
        <is>
          <t>1902</t>
        </is>
      </c>
      <c r="O466" t="inlineStr">
        <is>
          <t>lat</t>
        </is>
      </c>
      <c r="P466" t="inlineStr">
        <is>
          <t xml:space="preserve">xx </t>
        </is>
      </c>
      <c r="R466" t="inlineStr">
        <is>
          <t xml:space="preserve">PA </t>
        </is>
      </c>
      <c r="S466" t="n">
        <v>27</v>
      </c>
      <c r="T466" t="n">
        <v>31</v>
      </c>
      <c r="V466" t="inlineStr">
        <is>
          <t>1997-10-23</t>
        </is>
      </c>
      <c r="W466" t="inlineStr">
        <is>
          <t>1994-01-06</t>
        </is>
      </c>
      <c r="X466" t="inlineStr">
        <is>
          <t>1994-01-06</t>
        </is>
      </c>
      <c r="Y466" t="n">
        <v>80</v>
      </c>
      <c r="Z466" t="n">
        <v>75</v>
      </c>
      <c r="AA466" t="n">
        <v>84</v>
      </c>
      <c r="AB466" t="n">
        <v>2</v>
      </c>
      <c r="AC466" t="n">
        <v>2</v>
      </c>
      <c r="AD466" t="n">
        <v>6</v>
      </c>
      <c r="AE466" t="n">
        <v>6</v>
      </c>
      <c r="AF466" t="n">
        <v>1</v>
      </c>
      <c r="AG466" t="n">
        <v>1</v>
      </c>
      <c r="AH466" t="n">
        <v>2</v>
      </c>
      <c r="AI466" t="n">
        <v>2</v>
      </c>
      <c r="AJ466" t="n">
        <v>4</v>
      </c>
      <c r="AK466" t="n">
        <v>4</v>
      </c>
      <c r="AL466" t="n">
        <v>1</v>
      </c>
      <c r="AM466" t="n">
        <v>1</v>
      </c>
      <c r="AN466" t="n">
        <v>0</v>
      </c>
      <c r="AO466" t="n">
        <v>0</v>
      </c>
      <c r="AP466" t="inlineStr">
        <is>
          <t>Yes</t>
        </is>
      </c>
      <c r="AQ466" t="inlineStr">
        <is>
          <t>No</t>
        </is>
      </c>
      <c r="AR466">
        <f>HYPERLINK("http://catalog.hathitrust.org/Record/001182062","HathiTrust Record")</f>
        <v/>
      </c>
      <c r="AS466">
        <f>HYPERLINK("https://creighton-primo.hosted.exlibrisgroup.com/primo-explore/search?tab=default_tab&amp;search_scope=EVERYTHING&amp;vid=01CRU&amp;lang=en_US&amp;offset=0&amp;query=any,contains,991003723679702656","Catalog Record")</f>
        <v/>
      </c>
      <c r="AT466">
        <f>HYPERLINK("http://www.worldcat.org/oclc/1368938","WorldCat Record")</f>
        <v/>
      </c>
      <c r="AU466" t="inlineStr">
        <is>
          <t>1150954196:lat</t>
        </is>
      </c>
      <c r="AV466" t="inlineStr">
        <is>
          <t>1368938</t>
        </is>
      </c>
      <c r="AW466" t="inlineStr">
        <is>
          <t>991003723679702656</t>
        </is>
      </c>
      <c r="AX466" t="inlineStr">
        <is>
          <t>991003723679702656</t>
        </is>
      </c>
      <c r="AY466" t="inlineStr">
        <is>
          <t>2272072440002656</t>
        </is>
      </c>
      <c r="AZ466" t="inlineStr">
        <is>
          <t>BOOK</t>
        </is>
      </c>
      <c r="BC466" t="inlineStr">
        <is>
          <t>32285001831493</t>
        </is>
      </c>
      <c r="BD466" t="inlineStr">
        <is>
          <t>893693075</t>
        </is>
      </c>
      <c r="BE466" t="inlineStr">
        <is>
          <t>Fajardo Acosta</t>
        </is>
      </c>
    </row>
    <row r="467">
      <c r="A467" t="inlineStr">
        <is>
          <t>No</t>
        </is>
      </c>
      <c r="B467" t="inlineStr">
        <is>
          <t>PA6801.A6 F7 1902</t>
        </is>
      </c>
      <c r="C467" t="inlineStr">
        <is>
          <t>0                      PA 6801000A  6                  F  7           1902</t>
        </is>
      </c>
      <c r="D467" t="inlineStr">
        <is>
          <t>Virgil's Aeneid : books I-XII / with an introduction, notes, and vocabulary by Henry S. Frieze ; rev. by Walter Dennison.</t>
        </is>
      </c>
      <c r="F467" t="inlineStr">
        <is>
          <t>No</t>
        </is>
      </c>
      <c r="G467" t="inlineStr">
        <is>
          <t>1</t>
        </is>
      </c>
      <c r="H467" t="inlineStr">
        <is>
          <t>Yes</t>
        </is>
      </c>
      <c r="I467" t="inlineStr">
        <is>
          <t>No</t>
        </is>
      </c>
      <c r="J467" t="inlineStr">
        <is>
          <t>0</t>
        </is>
      </c>
      <c r="K467" t="inlineStr">
        <is>
          <t>Virgil.</t>
        </is>
      </c>
      <c r="L467" t="inlineStr">
        <is>
          <t>New York ; Cincinnati : American Book Company, [1902]</t>
        </is>
      </c>
      <c r="M467" t="inlineStr">
        <is>
          <t>1902</t>
        </is>
      </c>
      <c r="O467" t="inlineStr">
        <is>
          <t>lat</t>
        </is>
      </c>
      <c r="P467" t="inlineStr">
        <is>
          <t xml:space="preserve">xx </t>
        </is>
      </c>
      <c r="R467" t="inlineStr">
        <is>
          <t xml:space="preserve">PA </t>
        </is>
      </c>
      <c r="S467" t="n">
        <v>4</v>
      </c>
      <c r="T467" t="n">
        <v>31</v>
      </c>
      <c r="U467" t="inlineStr">
        <is>
          <t>1997-10-23</t>
        </is>
      </c>
      <c r="V467" t="inlineStr">
        <is>
          <t>1997-10-23</t>
        </is>
      </c>
      <c r="W467" t="inlineStr">
        <is>
          <t>1994-01-06</t>
        </is>
      </c>
      <c r="X467" t="inlineStr">
        <is>
          <t>1994-01-06</t>
        </is>
      </c>
      <c r="Y467" t="n">
        <v>80</v>
      </c>
      <c r="Z467" t="n">
        <v>75</v>
      </c>
      <c r="AA467" t="n">
        <v>84</v>
      </c>
      <c r="AB467" t="n">
        <v>2</v>
      </c>
      <c r="AC467" t="n">
        <v>2</v>
      </c>
      <c r="AD467" t="n">
        <v>6</v>
      </c>
      <c r="AE467" t="n">
        <v>6</v>
      </c>
      <c r="AF467" t="n">
        <v>1</v>
      </c>
      <c r="AG467" t="n">
        <v>1</v>
      </c>
      <c r="AH467" t="n">
        <v>2</v>
      </c>
      <c r="AI467" t="n">
        <v>2</v>
      </c>
      <c r="AJ467" t="n">
        <v>4</v>
      </c>
      <c r="AK467" t="n">
        <v>4</v>
      </c>
      <c r="AL467" t="n">
        <v>1</v>
      </c>
      <c r="AM467" t="n">
        <v>1</v>
      </c>
      <c r="AN467" t="n">
        <v>0</v>
      </c>
      <c r="AO467" t="n">
        <v>0</v>
      </c>
      <c r="AP467" t="inlineStr">
        <is>
          <t>Yes</t>
        </is>
      </c>
      <c r="AQ467" t="inlineStr">
        <is>
          <t>No</t>
        </is>
      </c>
      <c r="AR467">
        <f>HYPERLINK("http://catalog.hathitrust.org/Record/001182062","HathiTrust Record")</f>
        <v/>
      </c>
      <c r="AS467">
        <f>HYPERLINK("https://creighton-primo.hosted.exlibrisgroup.com/primo-explore/search?tab=default_tab&amp;search_scope=EVERYTHING&amp;vid=01CRU&amp;lang=en_US&amp;offset=0&amp;query=any,contains,991003723679702656","Catalog Record")</f>
        <v/>
      </c>
      <c r="AT467">
        <f>HYPERLINK("http://www.worldcat.org/oclc/1368938","WorldCat Record")</f>
        <v/>
      </c>
      <c r="AU467" t="inlineStr">
        <is>
          <t>1150954196:lat</t>
        </is>
      </c>
      <c r="AV467" t="inlineStr">
        <is>
          <t>1368938</t>
        </is>
      </c>
      <c r="AW467" t="inlineStr">
        <is>
          <t>991003723679702656</t>
        </is>
      </c>
      <c r="AX467" t="inlineStr">
        <is>
          <t>991003723679702656</t>
        </is>
      </c>
      <c r="AY467" t="inlineStr">
        <is>
          <t>2272072440002656</t>
        </is>
      </c>
      <c r="AZ467" t="inlineStr">
        <is>
          <t>BOOK</t>
        </is>
      </c>
      <c r="BC467" t="inlineStr">
        <is>
          <t>32285001831485</t>
        </is>
      </c>
      <c r="BD467" t="inlineStr">
        <is>
          <t>893711704</t>
        </is>
      </c>
      <c r="BE467" t="inlineStr">
        <is>
          <t>Fajardo Acosta</t>
        </is>
      </c>
    </row>
    <row r="468">
      <c r="A468" t="inlineStr">
        <is>
          <t>No</t>
        </is>
      </c>
      <c r="B468" t="inlineStr">
        <is>
          <t>PA6802.A1 K6 1928</t>
        </is>
      </c>
      <c r="C468" t="inlineStr">
        <is>
          <t>0                      PA 6802000A  1                  K  6           1928</t>
        </is>
      </c>
      <c r="D468" t="inlineStr">
        <is>
          <t>The Aeneid of Vergil, books I-VI, selections VII-XII, with an introduction, notes, and vocabulary by Charles Knapp.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K468" t="inlineStr">
        <is>
          <t>Virgil.</t>
        </is>
      </c>
      <c r="L468" t="inlineStr">
        <is>
          <t>Chicago, Atlanta [etc.] Scott, Foresman and company, 1928.</t>
        </is>
      </c>
      <c r="M468" t="inlineStr">
        <is>
          <t>1928</t>
        </is>
      </c>
      <c r="N468" t="inlineStr">
        <is>
          <t>Rev. ed.</t>
        </is>
      </c>
      <c r="O468" t="inlineStr">
        <is>
          <t>lat</t>
        </is>
      </c>
      <c r="P468" t="inlineStr">
        <is>
          <t>ilu</t>
        </is>
      </c>
      <c r="Q468" t="inlineStr">
        <is>
          <t>The Lake classical series</t>
        </is>
      </c>
      <c r="R468" t="inlineStr">
        <is>
          <t xml:space="preserve">PA </t>
        </is>
      </c>
      <c r="S468" t="n">
        <v>15</v>
      </c>
      <c r="T468" t="n">
        <v>15</v>
      </c>
      <c r="U468" t="inlineStr">
        <is>
          <t>2001-04-17</t>
        </is>
      </c>
      <c r="V468" t="inlineStr">
        <is>
          <t>2001-04-17</t>
        </is>
      </c>
      <c r="W468" t="inlineStr">
        <is>
          <t>1997-09-05</t>
        </is>
      </c>
      <c r="X468" t="inlineStr">
        <is>
          <t>1997-09-05</t>
        </is>
      </c>
      <c r="Y468" t="n">
        <v>66</v>
      </c>
      <c r="Z468" t="n">
        <v>63</v>
      </c>
      <c r="AA468" t="n">
        <v>291</v>
      </c>
      <c r="AB468" t="n">
        <v>1</v>
      </c>
      <c r="AC468" t="n">
        <v>3</v>
      </c>
      <c r="AD468" t="n">
        <v>8</v>
      </c>
      <c r="AE468" t="n">
        <v>22</v>
      </c>
      <c r="AF468" t="n">
        <v>5</v>
      </c>
      <c r="AG468" t="n">
        <v>11</v>
      </c>
      <c r="AH468" t="n">
        <v>2</v>
      </c>
      <c r="AI468" t="n">
        <v>4</v>
      </c>
      <c r="AJ468" t="n">
        <v>3</v>
      </c>
      <c r="AK468" t="n">
        <v>13</v>
      </c>
      <c r="AL468" t="n">
        <v>0</v>
      </c>
      <c r="AM468" t="n">
        <v>0</v>
      </c>
      <c r="AN468" t="n">
        <v>0</v>
      </c>
      <c r="AO468" t="n">
        <v>0</v>
      </c>
      <c r="AP468" t="inlineStr">
        <is>
          <t>No</t>
        </is>
      </c>
      <c r="AQ468" t="inlineStr">
        <is>
          <t>No</t>
        </is>
      </c>
      <c r="AS468">
        <f>HYPERLINK("https://creighton-primo.hosted.exlibrisgroup.com/primo-explore/search?tab=default_tab&amp;search_scope=EVERYTHING&amp;vid=01CRU&amp;lang=en_US&amp;offset=0&amp;query=any,contains,991004439329702656","Catalog Record")</f>
        <v/>
      </c>
      <c r="AT468">
        <f>HYPERLINK("http://www.worldcat.org/oclc/3452132","WorldCat Record")</f>
        <v/>
      </c>
      <c r="AU468" t="inlineStr">
        <is>
          <t>2452537505:lat</t>
        </is>
      </c>
      <c r="AV468" t="inlineStr">
        <is>
          <t>3452132</t>
        </is>
      </c>
      <c r="AW468" t="inlineStr">
        <is>
          <t>991004439329702656</t>
        </is>
      </c>
      <c r="AX468" t="inlineStr">
        <is>
          <t>991004439329702656</t>
        </is>
      </c>
      <c r="AY468" t="inlineStr">
        <is>
          <t>2255749640002656</t>
        </is>
      </c>
      <c r="AZ468" t="inlineStr">
        <is>
          <t>BOOK</t>
        </is>
      </c>
      <c r="BC468" t="inlineStr">
        <is>
          <t>32285003211512</t>
        </is>
      </c>
      <c r="BD468" t="inlineStr">
        <is>
          <t>893411543</t>
        </is>
      </c>
      <c r="BE468" t="inlineStr">
        <is>
          <t>Fajardo Acosta</t>
        </is>
      </c>
    </row>
    <row r="469">
      <c r="A469" t="inlineStr">
        <is>
          <t>No</t>
        </is>
      </c>
      <c r="B469" t="inlineStr">
        <is>
          <t>PA6803.B21 A9</t>
        </is>
      </c>
      <c r="C469" t="inlineStr">
        <is>
          <t>0                      PA 6803000B  21                 A  9</t>
        </is>
      </c>
      <c r="D469" t="inlineStr">
        <is>
          <t>Aeneidos liber primvs / with a commentary by R. G. Austin.</t>
        </is>
      </c>
      <c r="F469" t="inlineStr">
        <is>
          <t>No</t>
        </is>
      </c>
      <c r="G469" t="inlineStr">
        <is>
          <t>1</t>
        </is>
      </c>
      <c r="H469" t="inlineStr">
        <is>
          <t>No</t>
        </is>
      </c>
      <c r="I469" t="inlineStr">
        <is>
          <t>No</t>
        </is>
      </c>
      <c r="J469" t="inlineStr">
        <is>
          <t>0</t>
        </is>
      </c>
      <c r="K469" t="inlineStr">
        <is>
          <t>Virgil.</t>
        </is>
      </c>
      <c r="L469" t="inlineStr">
        <is>
          <t>Oxford, [Eng.] : Clarendon Press, 1971.</t>
        </is>
      </c>
      <c r="M469" t="inlineStr">
        <is>
          <t>1971</t>
        </is>
      </c>
      <c r="O469" t="inlineStr">
        <is>
          <t>eng</t>
        </is>
      </c>
      <c r="P469" t="inlineStr">
        <is>
          <t>enk</t>
        </is>
      </c>
      <c r="R469" t="inlineStr">
        <is>
          <t xml:space="preserve">PA </t>
        </is>
      </c>
      <c r="S469" t="n">
        <v>6</v>
      </c>
      <c r="T469" t="n">
        <v>6</v>
      </c>
      <c r="U469" t="inlineStr">
        <is>
          <t>1999-04-07</t>
        </is>
      </c>
      <c r="V469" t="inlineStr">
        <is>
          <t>1999-04-07</t>
        </is>
      </c>
      <c r="W469" t="inlineStr">
        <is>
          <t>1993-11-30</t>
        </is>
      </c>
      <c r="X469" t="inlineStr">
        <is>
          <t>1993-11-30</t>
        </is>
      </c>
      <c r="Y469" t="n">
        <v>344</v>
      </c>
      <c r="Z469" t="n">
        <v>286</v>
      </c>
      <c r="AA469" t="n">
        <v>323</v>
      </c>
      <c r="AB469" t="n">
        <v>2</v>
      </c>
      <c r="AC469" t="n">
        <v>2</v>
      </c>
      <c r="AD469" t="n">
        <v>16</v>
      </c>
      <c r="AE469" t="n">
        <v>18</v>
      </c>
      <c r="AF469" t="n">
        <v>5</v>
      </c>
      <c r="AG469" t="n">
        <v>6</v>
      </c>
      <c r="AH469" t="n">
        <v>3</v>
      </c>
      <c r="AI469" t="n">
        <v>4</v>
      </c>
      <c r="AJ469" t="n">
        <v>13</v>
      </c>
      <c r="AK469" t="n">
        <v>13</v>
      </c>
      <c r="AL469" t="n">
        <v>1</v>
      </c>
      <c r="AM469" t="n">
        <v>1</v>
      </c>
      <c r="AN469" t="n">
        <v>0</v>
      </c>
      <c r="AO469" t="n">
        <v>0</v>
      </c>
      <c r="AP469" t="inlineStr">
        <is>
          <t>No</t>
        </is>
      </c>
      <c r="AQ469" t="inlineStr">
        <is>
          <t>No</t>
        </is>
      </c>
      <c r="AS469">
        <f>HYPERLINK("https://creighton-primo.hosted.exlibrisgroup.com/primo-explore/search?tab=default_tab&amp;search_scope=EVERYTHING&amp;vid=01CRU&amp;lang=en_US&amp;offset=0&amp;query=any,contains,991002004019702656","Catalog Record")</f>
        <v/>
      </c>
      <c r="AT469">
        <f>HYPERLINK("http://www.worldcat.org/oclc/257584","WorldCat Record")</f>
        <v/>
      </c>
      <c r="AU469" t="inlineStr">
        <is>
          <t>4820504230:eng</t>
        </is>
      </c>
      <c r="AV469" t="inlineStr">
        <is>
          <t>257584</t>
        </is>
      </c>
      <c r="AW469" t="inlineStr">
        <is>
          <t>991002004019702656</t>
        </is>
      </c>
      <c r="AX469" t="inlineStr">
        <is>
          <t>991002004019702656</t>
        </is>
      </c>
      <c r="AY469" t="inlineStr">
        <is>
          <t>2271826370002656</t>
        </is>
      </c>
      <c r="AZ469" t="inlineStr">
        <is>
          <t>BOOK</t>
        </is>
      </c>
      <c r="BC469" t="inlineStr">
        <is>
          <t>32285001689693</t>
        </is>
      </c>
      <c r="BD469" t="inlineStr">
        <is>
          <t>893785606</t>
        </is>
      </c>
      <c r="BE469" t="inlineStr">
        <is>
          <t>Fajardo Acosta</t>
        </is>
      </c>
    </row>
    <row r="470">
      <c r="A470" t="inlineStr">
        <is>
          <t>No</t>
        </is>
      </c>
      <c r="B470" t="inlineStr">
        <is>
          <t>PA6803.B22 A8</t>
        </is>
      </c>
      <c r="C470" t="inlineStr">
        <is>
          <t>0                      PA 6803000B  22                 A  8</t>
        </is>
      </c>
      <c r="D470" t="inlineStr">
        <is>
          <t>Aeneidos Liber secundus / P. Vergili Maronis. With a commentary by R.G. Austin.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K470" t="inlineStr">
        <is>
          <t>Virgil.</t>
        </is>
      </c>
      <c r="L470" t="inlineStr">
        <is>
          <t>Oxford : Clarendon Press, 1964.</t>
        </is>
      </c>
      <c r="M470" t="inlineStr">
        <is>
          <t>1964</t>
        </is>
      </c>
      <c r="O470" t="inlineStr">
        <is>
          <t>eng</t>
        </is>
      </c>
      <c r="P470" t="inlineStr">
        <is>
          <t>enk</t>
        </is>
      </c>
      <c r="R470" t="inlineStr">
        <is>
          <t xml:space="preserve">PA </t>
        </is>
      </c>
      <c r="S470" t="n">
        <v>25</v>
      </c>
      <c r="T470" t="n">
        <v>25</v>
      </c>
      <c r="U470" t="inlineStr">
        <is>
          <t>1999-04-28</t>
        </is>
      </c>
      <c r="V470" t="inlineStr">
        <is>
          <t>1999-04-28</t>
        </is>
      </c>
      <c r="W470" t="inlineStr">
        <is>
          <t>1993-04-14</t>
        </is>
      </c>
      <c r="X470" t="inlineStr">
        <is>
          <t>1993-04-14</t>
        </is>
      </c>
      <c r="Y470" t="n">
        <v>277</v>
      </c>
      <c r="Z470" t="n">
        <v>223</v>
      </c>
      <c r="AA470" t="n">
        <v>302</v>
      </c>
      <c r="AB470" t="n">
        <v>1</v>
      </c>
      <c r="AC470" t="n">
        <v>1</v>
      </c>
      <c r="AD470" t="n">
        <v>15</v>
      </c>
      <c r="AE470" t="n">
        <v>20</v>
      </c>
      <c r="AF470" t="n">
        <v>4</v>
      </c>
      <c r="AG470" t="n">
        <v>8</v>
      </c>
      <c r="AH470" t="n">
        <v>4</v>
      </c>
      <c r="AI470" t="n">
        <v>4</v>
      </c>
      <c r="AJ470" t="n">
        <v>11</v>
      </c>
      <c r="AK470" t="n">
        <v>15</v>
      </c>
      <c r="AL470" t="n">
        <v>0</v>
      </c>
      <c r="AM470" t="n">
        <v>0</v>
      </c>
      <c r="AN470" t="n">
        <v>0</v>
      </c>
      <c r="AO470" t="n">
        <v>0</v>
      </c>
      <c r="AP470" t="inlineStr">
        <is>
          <t>No</t>
        </is>
      </c>
      <c r="AQ470" t="inlineStr">
        <is>
          <t>No</t>
        </is>
      </c>
      <c r="AS470">
        <f>HYPERLINK("https://creighton-primo.hosted.exlibrisgroup.com/primo-explore/search?tab=default_tab&amp;search_scope=EVERYTHING&amp;vid=01CRU&amp;lang=en_US&amp;offset=0&amp;query=any,contains,991002398639702656","Catalog Record")</f>
        <v/>
      </c>
      <c r="AT470">
        <f>HYPERLINK("http://www.worldcat.org/oclc/335823","WorldCat Record")</f>
        <v/>
      </c>
      <c r="AU470" t="inlineStr">
        <is>
          <t>4820872461:eng</t>
        </is>
      </c>
      <c r="AV470" t="inlineStr">
        <is>
          <t>335823</t>
        </is>
      </c>
      <c r="AW470" t="inlineStr">
        <is>
          <t>991002398639702656</t>
        </is>
      </c>
      <c r="AX470" t="inlineStr">
        <is>
          <t>991002398639702656</t>
        </is>
      </c>
      <c r="AY470" t="inlineStr">
        <is>
          <t>2256503790002656</t>
        </is>
      </c>
      <c r="AZ470" t="inlineStr">
        <is>
          <t>BOOK</t>
        </is>
      </c>
      <c r="BC470" t="inlineStr">
        <is>
          <t>32285001638963</t>
        </is>
      </c>
      <c r="BD470" t="inlineStr">
        <is>
          <t>893262258</t>
        </is>
      </c>
      <c r="BE470" t="inlineStr">
        <is>
          <t>Fajardo Acosta</t>
        </is>
      </c>
    </row>
    <row r="471">
      <c r="A471" t="inlineStr">
        <is>
          <t>No</t>
        </is>
      </c>
      <c r="B471" t="inlineStr">
        <is>
          <t>PA6803.B24 P4</t>
        </is>
      </c>
      <c r="C471" t="inlineStr">
        <is>
          <t>0                      PA 6803000B  24                 P  4</t>
        </is>
      </c>
      <c r="D471" t="inlineStr">
        <is>
          <t>Pvbli Vergili Maronis Aeneidos liber qvartvs. edited by Arthur Stanley Pease.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Virgil.</t>
        </is>
      </c>
      <c r="L471" t="inlineStr">
        <is>
          <t>Cambridge, Mass., Harvard university press, 1935.</t>
        </is>
      </c>
      <c r="M471" t="inlineStr">
        <is>
          <t>1935</t>
        </is>
      </c>
      <c r="O471" t="inlineStr">
        <is>
          <t>lat</t>
        </is>
      </c>
      <c r="P471" t="inlineStr">
        <is>
          <t>mau</t>
        </is>
      </c>
      <c r="R471" t="inlineStr">
        <is>
          <t xml:space="preserve">PA </t>
        </is>
      </c>
      <c r="S471" t="n">
        <v>4</v>
      </c>
      <c r="T471" t="n">
        <v>4</v>
      </c>
      <c r="U471" t="inlineStr">
        <is>
          <t>2002-09-26</t>
        </is>
      </c>
      <c r="V471" t="inlineStr">
        <is>
          <t>2002-09-26</t>
        </is>
      </c>
      <c r="W471" t="inlineStr">
        <is>
          <t>1997-11-05</t>
        </is>
      </c>
      <c r="X471" t="inlineStr">
        <is>
          <t>1997-11-05</t>
        </is>
      </c>
      <c r="Y471" t="n">
        <v>114</v>
      </c>
      <c r="Z471" t="n">
        <v>112</v>
      </c>
      <c r="AA471" t="n">
        <v>113</v>
      </c>
      <c r="AB471" t="n">
        <v>2</v>
      </c>
      <c r="AC471" t="n">
        <v>2</v>
      </c>
      <c r="AD471" t="n">
        <v>7</v>
      </c>
      <c r="AE471" t="n">
        <v>7</v>
      </c>
      <c r="AF471" t="n">
        <v>0</v>
      </c>
      <c r="AG471" t="n">
        <v>0</v>
      </c>
      <c r="AH471" t="n">
        <v>2</v>
      </c>
      <c r="AI471" t="n">
        <v>2</v>
      </c>
      <c r="AJ471" t="n">
        <v>5</v>
      </c>
      <c r="AK471" t="n">
        <v>5</v>
      </c>
      <c r="AL471" t="n">
        <v>1</v>
      </c>
      <c r="AM471" t="n">
        <v>1</v>
      </c>
      <c r="AN471" t="n">
        <v>0</v>
      </c>
      <c r="AO471" t="n">
        <v>0</v>
      </c>
      <c r="AP471" t="inlineStr">
        <is>
          <t>No</t>
        </is>
      </c>
      <c r="AQ471" t="inlineStr">
        <is>
          <t>Yes</t>
        </is>
      </c>
      <c r="AR471">
        <f>HYPERLINK("http://catalog.hathitrust.org/Record/001769458","HathiTrust Record")</f>
        <v/>
      </c>
      <c r="AS471">
        <f>HYPERLINK("https://creighton-primo.hosted.exlibrisgroup.com/primo-explore/search?tab=default_tab&amp;search_scope=EVERYTHING&amp;vid=01CRU&amp;lang=en_US&amp;offset=0&amp;query=any,contains,991005025729702656","Catalog Record")</f>
        <v/>
      </c>
      <c r="AT471">
        <f>HYPERLINK("http://www.worldcat.org/oclc/6694433","WorldCat Record")</f>
        <v/>
      </c>
      <c r="AU471" t="inlineStr">
        <is>
          <t>2287377738:lat</t>
        </is>
      </c>
      <c r="AV471" t="inlineStr">
        <is>
          <t>6694433</t>
        </is>
      </c>
      <c r="AW471" t="inlineStr">
        <is>
          <t>991005025729702656</t>
        </is>
      </c>
      <c r="AX471" t="inlineStr">
        <is>
          <t>991005025729702656</t>
        </is>
      </c>
      <c r="AY471" t="inlineStr">
        <is>
          <t>2262909770002656</t>
        </is>
      </c>
      <c r="AZ471" t="inlineStr">
        <is>
          <t>BOOK</t>
        </is>
      </c>
      <c r="BC471" t="inlineStr">
        <is>
          <t>32285003276473</t>
        </is>
      </c>
      <c r="BD471" t="inlineStr">
        <is>
          <t>893332292</t>
        </is>
      </c>
      <c r="BE471" t="inlineStr">
        <is>
          <t>Fajardo Acosta</t>
        </is>
      </c>
    </row>
    <row r="472">
      <c r="A472" t="inlineStr">
        <is>
          <t>No</t>
        </is>
      </c>
      <c r="B472" t="inlineStr">
        <is>
          <t>PA6804 .A2 1963</t>
        </is>
      </c>
      <c r="C472" t="inlineStr">
        <is>
          <t>0                      PA 6804000A  2           1963</t>
        </is>
      </c>
      <c r="D472" t="inlineStr">
        <is>
          <t>Bucolica et Georgica / P. Vergili Maronis ; with introd. and notes by T. E. Page.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Yes</t>
        </is>
      </c>
      <c r="J472" t="inlineStr">
        <is>
          <t>0</t>
        </is>
      </c>
      <c r="K472" t="inlineStr">
        <is>
          <t>Virgil.</t>
        </is>
      </c>
      <c r="L472" t="inlineStr">
        <is>
          <t>London : Macmillan ; New York : St. Martin's Press, 1963.</t>
        </is>
      </c>
      <c r="M472" t="inlineStr">
        <is>
          <t>1963</t>
        </is>
      </c>
      <c r="O472" t="inlineStr">
        <is>
          <t>lat</t>
        </is>
      </c>
      <c r="P472" t="inlineStr">
        <is>
          <t>enk</t>
        </is>
      </c>
      <c r="Q472" t="inlineStr">
        <is>
          <t>Classical series</t>
        </is>
      </c>
      <c r="R472" t="inlineStr">
        <is>
          <t xml:space="preserve">PA </t>
        </is>
      </c>
      <c r="S472" t="n">
        <v>3</v>
      </c>
      <c r="T472" t="n">
        <v>3</v>
      </c>
      <c r="U472" t="inlineStr">
        <is>
          <t>1993-08-24</t>
        </is>
      </c>
      <c r="V472" t="inlineStr">
        <is>
          <t>1993-08-24</t>
        </is>
      </c>
      <c r="W472" t="inlineStr">
        <is>
          <t>1990-02-22</t>
        </is>
      </c>
      <c r="X472" t="inlineStr">
        <is>
          <t>1990-02-22</t>
        </is>
      </c>
      <c r="Y472" t="n">
        <v>70</v>
      </c>
      <c r="Z472" t="n">
        <v>63</v>
      </c>
      <c r="AA472" t="n">
        <v>239</v>
      </c>
      <c r="AB472" t="n">
        <v>1</v>
      </c>
      <c r="AC472" t="n">
        <v>3</v>
      </c>
      <c r="AD472" t="n">
        <v>6</v>
      </c>
      <c r="AE472" t="n">
        <v>24</v>
      </c>
      <c r="AF472" t="n">
        <v>2</v>
      </c>
      <c r="AG472" t="n">
        <v>8</v>
      </c>
      <c r="AH472" t="n">
        <v>1</v>
      </c>
      <c r="AI472" t="n">
        <v>6</v>
      </c>
      <c r="AJ472" t="n">
        <v>4</v>
      </c>
      <c r="AK472" t="n">
        <v>15</v>
      </c>
      <c r="AL472" t="n">
        <v>0</v>
      </c>
      <c r="AM472" t="n">
        <v>2</v>
      </c>
      <c r="AN472" t="n">
        <v>0</v>
      </c>
      <c r="AO472" t="n">
        <v>0</v>
      </c>
      <c r="AP472" t="inlineStr">
        <is>
          <t>No</t>
        </is>
      </c>
      <c r="AQ472" t="inlineStr">
        <is>
          <t>No</t>
        </is>
      </c>
      <c r="AS472">
        <f>HYPERLINK("https://creighton-primo.hosted.exlibrisgroup.com/primo-explore/search?tab=default_tab&amp;search_scope=EVERYTHING&amp;vid=01CRU&amp;lang=en_US&amp;offset=0&amp;query=any,contains,991004469599702656","Catalog Record")</f>
        <v/>
      </c>
      <c r="AT472">
        <f>HYPERLINK("http://www.worldcat.org/oclc/3588884","WorldCat Record")</f>
        <v/>
      </c>
      <c r="AU472" t="inlineStr">
        <is>
          <t>3768360010:lat</t>
        </is>
      </c>
      <c r="AV472" t="inlineStr">
        <is>
          <t>3588884</t>
        </is>
      </c>
      <c r="AW472" t="inlineStr">
        <is>
          <t>991004469599702656</t>
        </is>
      </c>
      <c r="AX472" t="inlineStr">
        <is>
          <t>991004469599702656</t>
        </is>
      </c>
      <c r="AY472" t="inlineStr">
        <is>
          <t>2262902050002656</t>
        </is>
      </c>
      <c r="AZ472" t="inlineStr">
        <is>
          <t>BOOK</t>
        </is>
      </c>
      <c r="BC472" t="inlineStr">
        <is>
          <t>32285000049303</t>
        </is>
      </c>
      <c r="BD472" t="inlineStr">
        <is>
          <t>893519686</t>
        </is>
      </c>
      <c r="BE472" t="inlineStr">
        <is>
          <t>Fajardo Acosta</t>
        </is>
      </c>
    </row>
    <row r="473">
      <c r="A473" t="inlineStr">
        <is>
          <t>No</t>
        </is>
      </c>
      <c r="B473" t="inlineStr">
        <is>
          <t>PA8518 .Z82</t>
        </is>
      </c>
      <c r="C473" t="inlineStr">
        <is>
          <t>0                      PA 8518000Z  82</t>
        </is>
      </c>
      <c r="D473" t="inlineStr">
        <is>
          <t>Erasmus of Rotterdam / by Stefan Zweig ; translated by Eden and and Cedar Paul. --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Zweig, Stefan, 1881-1942.</t>
        </is>
      </c>
      <c r="L473" t="inlineStr">
        <is>
          <t>New York : Viking Press, 1934.</t>
        </is>
      </c>
      <c r="M473" t="inlineStr">
        <is>
          <t>1934</t>
        </is>
      </c>
      <c r="O473" t="inlineStr">
        <is>
          <t>eng</t>
        </is>
      </c>
      <c r="P473" t="inlineStr">
        <is>
          <t>nyu</t>
        </is>
      </c>
      <c r="R473" t="inlineStr">
        <is>
          <t xml:space="preserve">PA </t>
        </is>
      </c>
      <c r="S473" t="n">
        <v>1</v>
      </c>
      <c r="T473" t="n">
        <v>1</v>
      </c>
      <c r="U473" t="inlineStr">
        <is>
          <t>2001-03-17</t>
        </is>
      </c>
      <c r="V473" t="inlineStr">
        <is>
          <t>2001-03-17</t>
        </is>
      </c>
      <c r="W473" t="inlineStr">
        <is>
          <t>1993-04-14</t>
        </is>
      </c>
      <c r="X473" t="inlineStr">
        <is>
          <t>1993-04-14</t>
        </is>
      </c>
      <c r="Y473" t="n">
        <v>757</v>
      </c>
      <c r="Z473" t="n">
        <v>711</v>
      </c>
      <c r="AA473" t="n">
        <v>1186</v>
      </c>
      <c r="AB473" t="n">
        <v>3</v>
      </c>
      <c r="AC473" t="n">
        <v>8</v>
      </c>
      <c r="AD473" t="n">
        <v>24</v>
      </c>
      <c r="AE473" t="n">
        <v>46</v>
      </c>
      <c r="AF473" t="n">
        <v>9</v>
      </c>
      <c r="AG473" t="n">
        <v>19</v>
      </c>
      <c r="AH473" t="n">
        <v>6</v>
      </c>
      <c r="AI473" t="n">
        <v>9</v>
      </c>
      <c r="AJ473" t="n">
        <v>14</v>
      </c>
      <c r="AK473" t="n">
        <v>22</v>
      </c>
      <c r="AL473" t="n">
        <v>2</v>
      </c>
      <c r="AM473" t="n">
        <v>6</v>
      </c>
      <c r="AN473" t="n">
        <v>0</v>
      </c>
      <c r="AO473" t="n">
        <v>1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HYPERLINK("http://catalog.hathitrust.org/Record/001193382","HathiTrust Record")</f>
        <v/>
      </c>
      <c r="AS473">
        <f>HYPERLINK("https://creighton-primo.hosted.exlibrisgroup.com/primo-explore/search?tab=default_tab&amp;search_scope=EVERYTHING&amp;vid=01CRU&amp;lang=en_US&amp;offset=0&amp;query=any,contains,991001406289702656","Catalog Record")</f>
        <v/>
      </c>
      <c r="AT473">
        <f>HYPERLINK("http://www.worldcat.org/oclc/229977","WorldCat Record")</f>
        <v/>
      </c>
      <c r="AU473" t="inlineStr">
        <is>
          <t>2829623003:eng</t>
        </is>
      </c>
      <c r="AV473" t="inlineStr">
        <is>
          <t>229977</t>
        </is>
      </c>
      <c r="AW473" t="inlineStr">
        <is>
          <t>991001406289702656</t>
        </is>
      </c>
      <c r="AX473" t="inlineStr">
        <is>
          <t>991001406289702656</t>
        </is>
      </c>
      <c r="AY473" t="inlineStr">
        <is>
          <t>2255262800002656</t>
        </is>
      </c>
      <c r="AZ473" t="inlineStr">
        <is>
          <t>BOOK</t>
        </is>
      </c>
      <c r="BC473" t="inlineStr">
        <is>
          <t>32285001639508</t>
        </is>
      </c>
      <c r="BD473" t="inlineStr">
        <is>
          <t>893715425</t>
        </is>
      </c>
      <c r="BE473" t="inlineStr">
        <is>
          <t>Fajardo Acosta</t>
        </is>
      </c>
    </row>
    <row r="474">
      <c r="A474" t="inlineStr">
        <is>
          <t>No</t>
        </is>
      </c>
      <c r="B474" t="inlineStr">
        <is>
          <t>PB1421 .G7 1970b</t>
        </is>
      </c>
      <c r="C474" t="inlineStr">
        <is>
          <t>0                      PB 1421000G  7           1970b</t>
        </is>
      </c>
      <c r="D474" t="inlineStr">
        <is>
          <t>Gods and fighting men : the story of the Tuatha de Danaan and of the Fianna of Ireland / arranged and put into English, by Lady Gregory. With a pref. by W. B. Yeats and a foreword by Daniel Murphy.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K474" t="inlineStr">
        <is>
          <t>Gregory, Lady, 1852-1932.</t>
        </is>
      </c>
      <c r="L474" t="inlineStr">
        <is>
          <t>Gerrards Cross, [Eng.] : Colin Smythe, [1970]</t>
        </is>
      </c>
      <c r="M474" t="inlineStr">
        <is>
          <t>1970</t>
        </is>
      </c>
      <c r="N474" t="inlineStr">
        <is>
          <t>[2d ed.]</t>
        </is>
      </c>
      <c r="O474" t="inlineStr">
        <is>
          <t>eng</t>
        </is>
      </c>
      <c r="P474" t="inlineStr">
        <is>
          <t xml:space="preserve">xx </t>
        </is>
      </c>
      <c r="Q474" t="inlineStr">
        <is>
          <t>Coole edition, v. 3</t>
        </is>
      </c>
      <c r="R474" t="inlineStr">
        <is>
          <t xml:space="preserve">PB </t>
        </is>
      </c>
      <c r="S474" t="n">
        <v>7</v>
      </c>
      <c r="T474" t="n">
        <v>7</v>
      </c>
      <c r="U474" t="inlineStr">
        <is>
          <t>1996-10-31</t>
        </is>
      </c>
      <c r="V474" t="inlineStr">
        <is>
          <t>1996-10-31</t>
        </is>
      </c>
      <c r="W474" t="inlineStr">
        <is>
          <t>1993-09-09</t>
        </is>
      </c>
      <c r="X474" t="inlineStr">
        <is>
          <t>1993-09-09</t>
        </is>
      </c>
      <c r="Y474" t="n">
        <v>153</v>
      </c>
      <c r="Z474" t="n">
        <v>73</v>
      </c>
      <c r="AA474" t="n">
        <v>724</v>
      </c>
      <c r="AB474" t="n">
        <v>2</v>
      </c>
      <c r="AC474" t="n">
        <v>6</v>
      </c>
      <c r="AD474" t="n">
        <v>8</v>
      </c>
      <c r="AE474" t="n">
        <v>33</v>
      </c>
      <c r="AF474" t="n">
        <v>0</v>
      </c>
      <c r="AG474" t="n">
        <v>11</v>
      </c>
      <c r="AH474" t="n">
        <v>4</v>
      </c>
      <c r="AI474" t="n">
        <v>8</v>
      </c>
      <c r="AJ474" t="n">
        <v>5</v>
      </c>
      <c r="AK474" t="n">
        <v>17</v>
      </c>
      <c r="AL474" t="n">
        <v>1</v>
      </c>
      <c r="AM474" t="n">
        <v>5</v>
      </c>
      <c r="AN474" t="n">
        <v>0</v>
      </c>
      <c r="AO474" t="n">
        <v>0</v>
      </c>
      <c r="AP474" t="inlineStr">
        <is>
          <t>No</t>
        </is>
      </c>
      <c r="AQ474" t="inlineStr">
        <is>
          <t>No</t>
        </is>
      </c>
      <c r="AS474">
        <f>HYPERLINK("https://creighton-primo.hosted.exlibrisgroup.com/primo-explore/search?tab=default_tab&amp;search_scope=EVERYTHING&amp;vid=01CRU&amp;lang=en_US&amp;offset=0&amp;query=any,contains,991002871209702656","Catalog Record")</f>
        <v/>
      </c>
      <c r="AT474">
        <f>HYPERLINK("http://www.worldcat.org/oclc/499312","WorldCat Record")</f>
        <v/>
      </c>
      <c r="AU474" t="inlineStr">
        <is>
          <t>380462:eng</t>
        </is>
      </c>
      <c r="AV474" t="inlineStr">
        <is>
          <t>499312</t>
        </is>
      </c>
      <c r="AW474" t="inlineStr">
        <is>
          <t>991002871209702656</t>
        </is>
      </c>
      <c r="AX474" t="inlineStr">
        <is>
          <t>991002871209702656</t>
        </is>
      </c>
      <c r="AY474" t="inlineStr">
        <is>
          <t>2271157350002656</t>
        </is>
      </c>
      <c r="AZ474" t="inlineStr">
        <is>
          <t>BOOK</t>
        </is>
      </c>
      <c r="BC474" t="inlineStr">
        <is>
          <t>32285001764298</t>
        </is>
      </c>
      <c r="BD474" t="inlineStr">
        <is>
          <t>893616686</t>
        </is>
      </c>
      <c r="BE474" t="inlineStr">
        <is>
          <t>Fajardo Acosta</t>
        </is>
      </c>
    </row>
    <row r="475">
      <c r="A475" t="inlineStr">
        <is>
          <t>No</t>
        </is>
      </c>
      <c r="B475" t="inlineStr">
        <is>
          <t>PB1421 .Y4</t>
        </is>
      </c>
      <c r="C475" t="inlineStr">
        <is>
          <t>0                      PB 1421000Y  4</t>
        </is>
      </c>
      <c r="D475" t="inlineStr">
        <is>
          <t>Irish fairy and folk tales.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K475" t="inlineStr">
        <is>
          <t>Yeats, W. B. (William Butler), 1865-1939 editor.</t>
        </is>
      </c>
      <c r="L475" t="inlineStr">
        <is>
          <t>New York : Modern Library, [195-]</t>
        </is>
      </c>
      <c r="M475" t="inlineStr">
        <is>
          <t>1950</t>
        </is>
      </c>
      <c r="O475" t="inlineStr">
        <is>
          <t>eng</t>
        </is>
      </c>
      <c r="P475" t="inlineStr">
        <is>
          <t>nyu</t>
        </is>
      </c>
      <c r="Q475" t="inlineStr">
        <is>
          <t>The modern library of the world's best books, 44</t>
        </is>
      </c>
      <c r="R475" t="inlineStr">
        <is>
          <t xml:space="preserve">PB </t>
        </is>
      </c>
      <c r="S475" t="n">
        <v>3</v>
      </c>
      <c r="T475" t="n">
        <v>3</v>
      </c>
      <c r="U475" t="inlineStr">
        <is>
          <t>2007-10-01</t>
        </is>
      </c>
      <c r="V475" t="inlineStr">
        <is>
          <t>2007-10-01</t>
        </is>
      </c>
      <c r="W475" t="inlineStr">
        <is>
          <t>1993-04-15</t>
        </is>
      </c>
      <c r="X475" t="inlineStr">
        <is>
          <t>1993-04-15</t>
        </is>
      </c>
      <c r="Y475" t="n">
        <v>439</v>
      </c>
      <c r="Z475" t="n">
        <v>394</v>
      </c>
      <c r="AA475" t="n">
        <v>1618</v>
      </c>
      <c r="AB475" t="n">
        <v>5</v>
      </c>
      <c r="AC475" t="n">
        <v>13</v>
      </c>
      <c r="AD475" t="n">
        <v>19</v>
      </c>
      <c r="AE475" t="n">
        <v>51</v>
      </c>
      <c r="AF475" t="n">
        <v>6</v>
      </c>
      <c r="AG475" t="n">
        <v>20</v>
      </c>
      <c r="AH475" t="n">
        <v>5</v>
      </c>
      <c r="AI475" t="n">
        <v>11</v>
      </c>
      <c r="AJ475" t="n">
        <v>7</v>
      </c>
      <c r="AK475" t="n">
        <v>25</v>
      </c>
      <c r="AL475" t="n">
        <v>4</v>
      </c>
      <c r="AM475" t="n">
        <v>8</v>
      </c>
      <c r="AN475" t="n">
        <v>0</v>
      </c>
      <c r="AO475" t="n">
        <v>0</v>
      </c>
      <c r="AP475" t="inlineStr">
        <is>
          <t>No</t>
        </is>
      </c>
      <c r="AQ475" t="inlineStr">
        <is>
          <t>Yes</t>
        </is>
      </c>
      <c r="AR475">
        <f>HYPERLINK("http://catalog.hathitrust.org/Record/004539736","HathiTrust Record")</f>
        <v/>
      </c>
      <c r="AS475">
        <f>HYPERLINK("https://creighton-primo.hosted.exlibrisgroup.com/primo-explore/search?tab=default_tab&amp;search_scope=EVERYTHING&amp;vid=01CRU&amp;lang=en_US&amp;offset=0&amp;query=any,contains,991003216059702656","Catalog Record")</f>
        <v/>
      </c>
      <c r="AT475">
        <f>HYPERLINK("http://www.worldcat.org/oclc/12175311","WorldCat Record")</f>
        <v/>
      </c>
      <c r="AU475" t="inlineStr">
        <is>
          <t>3901002645:eng</t>
        </is>
      </c>
      <c r="AV475" t="inlineStr">
        <is>
          <t>12175311</t>
        </is>
      </c>
      <c r="AW475" t="inlineStr">
        <is>
          <t>991003216059702656</t>
        </is>
      </c>
      <c r="AX475" t="inlineStr">
        <is>
          <t>991003216059702656</t>
        </is>
      </c>
      <c r="AY475" t="inlineStr">
        <is>
          <t>2270262040002656</t>
        </is>
      </c>
      <c r="AZ475" t="inlineStr">
        <is>
          <t>BOOK</t>
        </is>
      </c>
      <c r="BC475" t="inlineStr">
        <is>
          <t>32285001639722</t>
        </is>
      </c>
      <c r="BD475" t="inlineStr">
        <is>
          <t>893410025</t>
        </is>
      </c>
      <c r="BE475" t="inlineStr">
        <is>
          <t>Fajardo Acosta</t>
        </is>
      </c>
    </row>
    <row r="476">
      <c r="A476" t="inlineStr">
        <is>
          <t>No</t>
        </is>
      </c>
      <c r="B476" t="inlineStr">
        <is>
          <t>PB1423.C8 G7 1970a</t>
        </is>
      </c>
      <c r="C476" t="inlineStr">
        <is>
          <t>0                      PB 1423000C  8                  G  7           1970a</t>
        </is>
      </c>
      <c r="D476" t="inlineStr">
        <is>
          <t>Cuchulain of Muirthemne : the story of the men of the Red Branch of Ulster. Arr. and put into English by Lady Gregory / with a pref. by W. B. Yeats; and a foreword by Daniel Murphy.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K476" t="inlineStr">
        <is>
          <t>Cuchulain. English.</t>
        </is>
      </c>
      <c r="L476" t="inlineStr">
        <is>
          <t>New York : Oxford University Press ; Gerrards Cross : Colin Smythe, 1970.</t>
        </is>
      </c>
      <c r="M476" t="inlineStr">
        <is>
          <t>1970</t>
        </is>
      </c>
      <c r="N476" t="inlineStr">
        <is>
          <t>[5th ed.]</t>
        </is>
      </c>
      <c r="O476" t="inlineStr">
        <is>
          <t>eng</t>
        </is>
      </c>
      <c r="P476" t="inlineStr">
        <is>
          <t>nyu</t>
        </is>
      </c>
      <c r="Q476" t="inlineStr">
        <is>
          <t>Coole edition, 2</t>
        </is>
      </c>
      <c r="R476" t="inlineStr">
        <is>
          <t xml:space="preserve">PB </t>
        </is>
      </c>
      <c r="S476" t="n">
        <v>16</v>
      </c>
      <c r="T476" t="n">
        <v>16</v>
      </c>
      <c r="U476" t="inlineStr">
        <is>
          <t>2009-09-15</t>
        </is>
      </c>
      <c r="V476" t="inlineStr">
        <is>
          <t>2009-09-15</t>
        </is>
      </c>
      <c r="W476" t="inlineStr">
        <is>
          <t>1991-12-10</t>
        </is>
      </c>
      <c r="X476" t="inlineStr">
        <is>
          <t>1991-12-10</t>
        </is>
      </c>
      <c r="Y476" t="n">
        <v>309</v>
      </c>
      <c r="Z476" t="n">
        <v>292</v>
      </c>
      <c r="AA476" t="n">
        <v>294</v>
      </c>
      <c r="AB476" t="n">
        <v>2</v>
      </c>
      <c r="AC476" t="n">
        <v>2</v>
      </c>
      <c r="AD476" t="n">
        <v>12</v>
      </c>
      <c r="AE476" t="n">
        <v>13</v>
      </c>
      <c r="AF476" t="n">
        <v>7</v>
      </c>
      <c r="AG476" t="n">
        <v>8</v>
      </c>
      <c r="AH476" t="n">
        <v>3</v>
      </c>
      <c r="AI476" t="n">
        <v>3</v>
      </c>
      <c r="AJ476" t="n">
        <v>6</v>
      </c>
      <c r="AK476" t="n">
        <v>6</v>
      </c>
      <c r="AL476" t="n">
        <v>1</v>
      </c>
      <c r="AM476" t="n">
        <v>1</v>
      </c>
      <c r="AN476" t="n">
        <v>0</v>
      </c>
      <c r="AO476" t="n">
        <v>0</v>
      </c>
      <c r="AP476" t="inlineStr">
        <is>
          <t>No</t>
        </is>
      </c>
      <c r="AQ476" t="inlineStr">
        <is>
          <t>No</t>
        </is>
      </c>
      <c r="AS476">
        <f>HYPERLINK("https://creighton-primo.hosted.exlibrisgroup.com/primo-explore/search?tab=default_tab&amp;search_scope=EVERYTHING&amp;vid=01CRU&amp;lang=en_US&amp;offset=0&amp;query=any,contains,991000550069702656","Catalog Record")</f>
        <v/>
      </c>
      <c r="AT476">
        <f>HYPERLINK("http://www.worldcat.org/oclc/92405","WorldCat Record")</f>
        <v/>
      </c>
      <c r="AU476" t="inlineStr">
        <is>
          <t>5619284571:eng</t>
        </is>
      </c>
      <c r="AV476" t="inlineStr">
        <is>
          <t>92405</t>
        </is>
      </c>
      <c r="AW476" t="inlineStr">
        <is>
          <t>991000550069702656</t>
        </is>
      </c>
      <c r="AX476" t="inlineStr">
        <is>
          <t>991000550069702656</t>
        </is>
      </c>
      <c r="AY476" t="inlineStr">
        <is>
          <t>2262590010002656</t>
        </is>
      </c>
      <c r="AZ476" t="inlineStr">
        <is>
          <t>BOOK</t>
        </is>
      </c>
      <c r="BC476" t="inlineStr">
        <is>
          <t>32285000875327</t>
        </is>
      </c>
      <c r="BD476" t="inlineStr">
        <is>
          <t>893315042</t>
        </is>
      </c>
      <c r="BE476" t="inlineStr">
        <is>
          <t>Fajardo Acosta</t>
        </is>
      </c>
    </row>
    <row r="477">
      <c r="A477" t="inlineStr">
        <is>
          <t>No</t>
        </is>
      </c>
      <c r="B477" t="inlineStr">
        <is>
          <t>PB2363.M2 J6 2000</t>
        </is>
      </c>
      <c r="C477" t="inlineStr">
        <is>
          <t>0                      PB 2363000M  2                  J  6           2000</t>
        </is>
      </c>
      <c r="D477" t="inlineStr">
        <is>
          <t>The Mabinogion / translated by Gwyn Jones and Thomas Jones, with an introduction by Gwyn Jones and a preface by John Updike.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K477" t="inlineStr">
        <is>
          <t>Mabinogion. English.</t>
        </is>
      </c>
      <c r="L477" t="inlineStr">
        <is>
          <t>London : Everyman, 2000.</t>
        </is>
      </c>
      <c r="M477" t="inlineStr">
        <is>
          <t>2000</t>
        </is>
      </c>
      <c r="N477" t="inlineStr">
        <is>
          <t>Revised ed. 1993 / revised by Gwyn Jones and Mair Jones, with a new preface (2000)</t>
        </is>
      </c>
      <c r="O477" t="inlineStr">
        <is>
          <t>eng</t>
        </is>
      </c>
      <c r="P477" t="inlineStr">
        <is>
          <t>enk</t>
        </is>
      </c>
      <c r="Q477" t="inlineStr">
        <is>
          <t>Everyman's library ; 168</t>
        </is>
      </c>
      <c r="R477" t="inlineStr">
        <is>
          <t xml:space="preserve">PB </t>
        </is>
      </c>
      <c r="S477" t="n">
        <v>3</v>
      </c>
      <c r="T477" t="n">
        <v>3</v>
      </c>
      <c r="U477" t="inlineStr">
        <is>
          <t>2003-10-16</t>
        </is>
      </c>
      <c r="V477" t="inlineStr">
        <is>
          <t>2003-10-16</t>
        </is>
      </c>
      <c r="W477" t="inlineStr">
        <is>
          <t>2003-10-16</t>
        </is>
      </c>
      <c r="X477" t="inlineStr">
        <is>
          <t>2003-10-16</t>
        </is>
      </c>
      <c r="Y477" t="n">
        <v>67</v>
      </c>
      <c r="Z477" t="n">
        <v>20</v>
      </c>
      <c r="AA477" t="n">
        <v>52</v>
      </c>
      <c r="AB477" t="n">
        <v>3</v>
      </c>
      <c r="AC477" t="n">
        <v>3</v>
      </c>
      <c r="AD477" t="n">
        <v>3</v>
      </c>
      <c r="AE477" t="n">
        <v>3</v>
      </c>
      <c r="AF477" t="n">
        <v>1</v>
      </c>
      <c r="AG477" t="n">
        <v>1</v>
      </c>
      <c r="AH477" t="n">
        <v>0</v>
      </c>
      <c r="AI477" t="n">
        <v>0</v>
      </c>
      <c r="AJ477" t="n">
        <v>0</v>
      </c>
      <c r="AK477" t="n">
        <v>0</v>
      </c>
      <c r="AL477" t="n">
        <v>2</v>
      </c>
      <c r="AM477" t="n">
        <v>2</v>
      </c>
      <c r="AN477" t="n">
        <v>0</v>
      </c>
      <c r="AO477" t="n">
        <v>0</v>
      </c>
      <c r="AP477" t="inlineStr">
        <is>
          <t>No</t>
        </is>
      </c>
      <c r="AQ477" t="inlineStr">
        <is>
          <t>No</t>
        </is>
      </c>
      <c r="AS477">
        <f>HYPERLINK("https://creighton-primo.hosted.exlibrisgroup.com/primo-explore/search?tab=default_tab&amp;search_scope=EVERYTHING&amp;vid=01CRU&amp;lang=en_US&amp;offset=0&amp;query=any,contains,991004153229702656","Catalog Record")</f>
        <v/>
      </c>
      <c r="AT477">
        <f>HYPERLINK("http://www.worldcat.org/oclc/47057050","WorldCat Record")</f>
        <v/>
      </c>
      <c r="AU477" t="inlineStr">
        <is>
          <t>4927275732:eng</t>
        </is>
      </c>
      <c r="AV477" t="inlineStr">
        <is>
          <t>47057050</t>
        </is>
      </c>
      <c r="AW477" t="inlineStr">
        <is>
          <t>991004153229702656</t>
        </is>
      </c>
      <c r="AX477" t="inlineStr">
        <is>
          <t>991004153229702656</t>
        </is>
      </c>
      <c r="AY477" t="inlineStr">
        <is>
          <t>2268462950002656</t>
        </is>
      </c>
      <c r="AZ477" t="inlineStr">
        <is>
          <t>BOOK</t>
        </is>
      </c>
      <c r="BB477" t="inlineStr">
        <is>
          <t>9781857151688</t>
        </is>
      </c>
      <c r="BC477" t="inlineStr">
        <is>
          <t>32285004789318</t>
        </is>
      </c>
      <c r="BD477" t="inlineStr">
        <is>
          <t>893324994</t>
        </is>
      </c>
      <c r="BE477" t="inlineStr">
        <is>
          <t>Fajardo Acosta</t>
        </is>
      </c>
    </row>
    <row r="478">
      <c r="A478" t="inlineStr">
        <is>
          <t>No</t>
        </is>
      </c>
      <c r="B478" t="inlineStr">
        <is>
          <t>PC2075 .P6 1952</t>
        </is>
      </c>
      <c r="C478" t="inlineStr">
        <is>
          <t>0                      PC 2075000P  6           1952</t>
        </is>
      </c>
      <c r="D478" t="inlineStr">
        <is>
          <t>From Latin to modern French, with especial consideration of Anglo-Norman; phonology and morphology.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No</t>
        </is>
      </c>
      <c r="J478" t="inlineStr">
        <is>
          <t>0</t>
        </is>
      </c>
      <c r="K478" t="inlineStr">
        <is>
          <t>Pope, Mildred K. (Mildred Katharine), 1872-1956.</t>
        </is>
      </c>
      <c r="L478" t="inlineStr">
        <is>
          <t>Manchester] Manchester University Press [1952]</t>
        </is>
      </c>
      <c r="M478" t="inlineStr">
        <is>
          <t>1952</t>
        </is>
      </c>
      <c r="N478" t="inlineStr">
        <is>
          <t>[2d, rev. ed.</t>
        </is>
      </c>
      <c r="O478" t="inlineStr">
        <is>
          <t>eng</t>
        </is>
      </c>
      <c r="P478" t="inlineStr">
        <is>
          <t>enk</t>
        </is>
      </c>
      <c r="Q478" t="inlineStr">
        <is>
          <t>Publications of the University of Manchester, no. 229. French series, no. 6</t>
        </is>
      </c>
      <c r="R478" t="inlineStr">
        <is>
          <t xml:space="preserve">PC </t>
        </is>
      </c>
      <c r="S478" t="n">
        <v>2</v>
      </c>
      <c r="T478" t="n">
        <v>2</v>
      </c>
      <c r="U478" t="inlineStr">
        <is>
          <t>2010-11-03</t>
        </is>
      </c>
      <c r="V478" t="inlineStr">
        <is>
          <t>2010-11-03</t>
        </is>
      </c>
      <c r="W478" t="inlineStr">
        <is>
          <t>1997-09-11</t>
        </is>
      </c>
      <c r="X478" t="inlineStr">
        <is>
          <t>1997-09-11</t>
        </is>
      </c>
      <c r="Y478" t="n">
        <v>296</v>
      </c>
      <c r="Z478" t="n">
        <v>248</v>
      </c>
      <c r="AA478" t="n">
        <v>545</v>
      </c>
      <c r="AB478" t="n">
        <v>2</v>
      </c>
      <c r="AC478" t="n">
        <v>6</v>
      </c>
      <c r="AD478" t="n">
        <v>10</v>
      </c>
      <c r="AE478" t="n">
        <v>30</v>
      </c>
      <c r="AF478" t="n">
        <v>3</v>
      </c>
      <c r="AG478" t="n">
        <v>10</v>
      </c>
      <c r="AH478" t="n">
        <v>2</v>
      </c>
      <c r="AI478" t="n">
        <v>6</v>
      </c>
      <c r="AJ478" t="n">
        <v>7</v>
      </c>
      <c r="AK478" t="n">
        <v>17</v>
      </c>
      <c r="AL478" t="n">
        <v>1</v>
      </c>
      <c r="AM478" t="n">
        <v>4</v>
      </c>
      <c r="AN478" t="n">
        <v>0</v>
      </c>
      <c r="AO478" t="n">
        <v>0</v>
      </c>
      <c r="AP478" t="inlineStr">
        <is>
          <t>No</t>
        </is>
      </c>
      <c r="AQ478" t="inlineStr">
        <is>
          <t>No</t>
        </is>
      </c>
      <c r="AR478">
        <f>HYPERLINK("http://catalog.hathitrust.org/Record/001789193","HathiTrust Record")</f>
        <v/>
      </c>
      <c r="AS478">
        <f>HYPERLINK("https://creighton-primo.hosted.exlibrisgroup.com/primo-explore/search?tab=default_tab&amp;search_scope=EVERYTHING&amp;vid=01CRU&amp;lang=en_US&amp;offset=0&amp;query=any,contains,991004668149702656","Catalog Record")</f>
        <v/>
      </c>
      <c r="AT478">
        <f>HYPERLINK("http://www.worldcat.org/oclc/4511938","WorldCat Record")</f>
        <v/>
      </c>
      <c r="AU478" t="inlineStr">
        <is>
          <t>196991420:eng</t>
        </is>
      </c>
      <c r="AV478" t="inlineStr">
        <is>
          <t>4511938</t>
        </is>
      </c>
      <c r="AW478" t="inlineStr">
        <is>
          <t>991004668149702656</t>
        </is>
      </c>
      <c r="AX478" t="inlineStr">
        <is>
          <t>991004668149702656</t>
        </is>
      </c>
      <c r="AY478" t="inlineStr">
        <is>
          <t>2271480650002656</t>
        </is>
      </c>
      <c r="AZ478" t="inlineStr">
        <is>
          <t>BOOK</t>
        </is>
      </c>
      <c r="BC478" t="inlineStr">
        <is>
          <t>32285003214052</t>
        </is>
      </c>
      <c r="BD478" t="inlineStr">
        <is>
          <t>893353489</t>
        </is>
      </c>
      <c r="BE478" t="inlineStr">
        <is>
          <t>Fajardo Acosta</t>
        </is>
      </c>
    </row>
    <row r="479">
      <c r="A479" t="inlineStr">
        <is>
          <t>No</t>
        </is>
      </c>
      <c r="B479" t="inlineStr">
        <is>
          <t>PC2625 .L53</t>
        </is>
      </c>
      <c r="C479" t="inlineStr">
        <is>
          <t>0                      PC 2625000L  53</t>
        </is>
      </c>
      <c r="D479" t="inlineStr">
        <is>
          <t>Larousse de la langue française. --</t>
        </is>
      </c>
      <c r="E479" t="inlineStr">
        <is>
          <t>V. 2</t>
        </is>
      </c>
      <c r="F479" t="inlineStr">
        <is>
          <t>Yes</t>
        </is>
      </c>
      <c r="G479" t="inlineStr">
        <is>
          <t>1</t>
        </is>
      </c>
      <c r="H479" t="inlineStr">
        <is>
          <t>No</t>
        </is>
      </c>
      <c r="I479" t="inlineStr">
        <is>
          <t>No</t>
        </is>
      </c>
      <c r="J479" t="inlineStr">
        <is>
          <t>0</t>
        </is>
      </c>
      <c r="L479" t="inlineStr">
        <is>
          <t>Paris : Librairie Larousse, 1977.</t>
        </is>
      </c>
      <c r="M479" t="inlineStr">
        <is>
          <t>1977</t>
        </is>
      </c>
      <c r="O479" t="inlineStr">
        <is>
          <t>fre</t>
        </is>
      </c>
      <c r="P479" t="inlineStr">
        <is>
          <t xml:space="preserve">fr </t>
        </is>
      </c>
      <c r="R479" t="inlineStr">
        <is>
          <t xml:space="preserve">PC </t>
        </is>
      </c>
      <c r="S479" t="n">
        <v>2</v>
      </c>
      <c r="T479" t="n">
        <v>4</v>
      </c>
      <c r="U479" t="inlineStr">
        <is>
          <t>2006-12-14</t>
        </is>
      </c>
      <c r="V479" t="inlineStr">
        <is>
          <t>2006-12-14</t>
        </is>
      </c>
      <c r="W479" t="inlineStr">
        <is>
          <t>1998-01-26</t>
        </is>
      </c>
      <c r="X479" t="inlineStr">
        <is>
          <t>1998-01-26</t>
        </is>
      </c>
      <c r="Y479" t="n">
        <v>44</v>
      </c>
      <c r="Z479" t="n">
        <v>39</v>
      </c>
      <c r="AA479" t="n">
        <v>39</v>
      </c>
      <c r="AB479" t="n">
        <v>1</v>
      </c>
      <c r="AC479" t="n">
        <v>1</v>
      </c>
      <c r="AD479" t="n">
        <v>2</v>
      </c>
      <c r="AE479" t="n">
        <v>2</v>
      </c>
      <c r="AF479" t="n">
        <v>0</v>
      </c>
      <c r="AG479" t="n">
        <v>0</v>
      </c>
      <c r="AH479" t="n">
        <v>0</v>
      </c>
      <c r="AI479" t="n">
        <v>0</v>
      </c>
      <c r="AJ479" t="n">
        <v>2</v>
      </c>
      <c r="AK479" t="n">
        <v>2</v>
      </c>
      <c r="AL479" t="n">
        <v>0</v>
      </c>
      <c r="AM479" t="n">
        <v>0</v>
      </c>
      <c r="AN479" t="n">
        <v>0</v>
      </c>
      <c r="AO479" t="n">
        <v>0</v>
      </c>
      <c r="AP479" t="inlineStr">
        <is>
          <t>No</t>
        </is>
      </c>
      <c r="AQ479" t="inlineStr">
        <is>
          <t>No</t>
        </is>
      </c>
      <c r="AS479">
        <f>HYPERLINK("https://creighton-primo.hosted.exlibrisgroup.com/primo-explore/search?tab=default_tab&amp;search_scope=EVERYTHING&amp;vid=01CRU&amp;lang=en_US&amp;offset=0&amp;query=any,contains,991001715639702656","Catalog Record")</f>
        <v/>
      </c>
      <c r="AT479">
        <f>HYPERLINK("http://www.worldcat.org/oclc/4512701","WorldCat Record")</f>
        <v/>
      </c>
      <c r="AU479" t="inlineStr">
        <is>
          <t>8909284150:fre</t>
        </is>
      </c>
      <c r="AV479" t="inlineStr">
        <is>
          <t>4512701</t>
        </is>
      </c>
      <c r="AW479" t="inlineStr">
        <is>
          <t>991001715639702656</t>
        </is>
      </c>
      <c r="AX479" t="inlineStr">
        <is>
          <t>991001715639702656</t>
        </is>
      </c>
      <c r="AY479" t="inlineStr">
        <is>
          <t>2271346230002656</t>
        </is>
      </c>
      <c r="AZ479" t="inlineStr">
        <is>
          <t>BOOK</t>
        </is>
      </c>
      <c r="BB479" t="inlineStr">
        <is>
          <t>9782030202876</t>
        </is>
      </c>
      <c r="BC479" t="inlineStr">
        <is>
          <t>32285003326864</t>
        </is>
      </c>
      <c r="BD479" t="inlineStr">
        <is>
          <t>893696971</t>
        </is>
      </c>
      <c r="BE479" t="inlineStr">
        <is>
          <t>Fajardo Acosta</t>
        </is>
      </c>
    </row>
    <row r="480">
      <c r="A480" t="inlineStr">
        <is>
          <t>No</t>
        </is>
      </c>
      <c r="B480" t="inlineStr">
        <is>
          <t>PC2625 .L53</t>
        </is>
      </c>
      <c r="C480" t="inlineStr">
        <is>
          <t>0                      PC 2625000L  53</t>
        </is>
      </c>
      <c r="D480" t="inlineStr">
        <is>
          <t>Larousse de la langue française. --</t>
        </is>
      </c>
      <c r="E480" t="inlineStr">
        <is>
          <t>V. 1</t>
        </is>
      </c>
      <c r="F480" t="inlineStr">
        <is>
          <t>Yes</t>
        </is>
      </c>
      <c r="G480" t="inlineStr">
        <is>
          <t>1</t>
        </is>
      </c>
      <c r="H480" t="inlineStr">
        <is>
          <t>No</t>
        </is>
      </c>
      <c r="I480" t="inlineStr">
        <is>
          <t>No</t>
        </is>
      </c>
      <c r="J480" t="inlineStr">
        <is>
          <t>0</t>
        </is>
      </c>
      <c r="L480" t="inlineStr">
        <is>
          <t>Paris : Librairie Larousse, 1977.</t>
        </is>
      </c>
      <c r="M480" t="inlineStr">
        <is>
          <t>1977</t>
        </is>
      </c>
      <c r="O480" t="inlineStr">
        <is>
          <t>fre</t>
        </is>
      </c>
      <c r="P480" t="inlineStr">
        <is>
          <t xml:space="preserve">fr </t>
        </is>
      </c>
      <c r="R480" t="inlineStr">
        <is>
          <t xml:space="preserve">PC </t>
        </is>
      </c>
      <c r="S480" t="n">
        <v>2</v>
      </c>
      <c r="T480" t="n">
        <v>4</v>
      </c>
      <c r="U480" t="inlineStr">
        <is>
          <t>2006-12-14</t>
        </is>
      </c>
      <c r="V480" t="inlineStr">
        <is>
          <t>2006-12-14</t>
        </is>
      </c>
      <c r="W480" t="inlineStr">
        <is>
          <t>1998-01-26</t>
        </is>
      </c>
      <c r="X480" t="inlineStr">
        <is>
          <t>1998-01-26</t>
        </is>
      </c>
      <c r="Y480" t="n">
        <v>44</v>
      </c>
      <c r="Z480" t="n">
        <v>39</v>
      </c>
      <c r="AA480" t="n">
        <v>39</v>
      </c>
      <c r="AB480" t="n">
        <v>1</v>
      </c>
      <c r="AC480" t="n">
        <v>1</v>
      </c>
      <c r="AD480" t="n">
        <v>2</v>
      </c>
      <c r="AE480" t="n">
        <v>2</v>
      </c>
      <c r="AF480" t="n">
        <v>0</v>
      </c>
      <c r="AG480" t="n">
        <v>0</v>
      </c>
      <c r="AH480" t="n">
        <v>0</v>
      </c>
      <c r="AI480" t="n">
        <v>0</v>
      </c>
      <c r="AJ480" t="n">
        <v>2</v>
      </c>
      <c r="AK480" t="n">
        <v>2</v>
      </c>
      <c r="AL480" t="n">
        <v>0</v>
      </c>
      <c r="AM480" t="n">
        <v>0</v>
      </c>
      <c r="AN480" t="n">
        <v>0</v>
      </c>
      <c r="AO480" t="n">
        <v>0</v>
      </c>
      <c r="AP480" t="inlineStr">
        <is>
          <t>No</t>
        </is>
      </c>
      <c r="AQ480" t="inlineStr">
        <is>
          <t>No</t>
        </is>
      </c>
      <c r="AS480">
        <f>HYPERLINK("https://creighton-primo.hosted.exlibrisgroup.com/primo-explore/search?tab=default_tab&amp;search_scope=EVERYTHING&amp;vid=01CRU&amp;lang=en_US&amp;offset=0&amp;query=any,contains,991001715639702656","Catalog Record")</f>
        <v/>
      </c>
      <c r="AT480">
        <f>HYPERLINK("http://www.worldcat.org/oclc/4512701","WorldCat Record")</f>
        <v/>
      </c>
      <c r="AU480" t="inlineStr">
        <is>
          <t>8909284150:fre</t>
        </is>
      </c>
      <c r="AV480" t="inlineStr">
        <is>
          <t>4512701</t>
        </is>
      </c>
      <c r="AW480" t="inlineStr">
        <is>
          <t>991001715639702656</t>
        </is>
      </c>
      <c r="AX480" t="inlineStr">
        <is>
          <t>991001715639702656</t>
        </is>
      </c>
      <c r="AY480" t="inlineStr">
        <is>
          <t>2271346230002656</t>
        </is>
      </c>
      <c r="AZ480" t="inlineStr">
        <is>
          <t>BOOK</t>
        </is>
      </c>
      <c r="BB480" t="inlineStr">
        <is>
          <t>9782030202876</t>
        </is>
      </c>
      <c r="BC480" t="inlineStr">
        <is>
          <t>32285003326856</t>
        </is>
      </c>
      <c r="BD480" t="inlineStr">
        <is>
          <t>893696972</t>
        </is>
      </c>
      <c r="BE480" t="inlineStr">
        <is>
          <t>Fajardo Acosta</t>
        </is>
      </c>
    </row>
    <row r="481">
      <c r="A481" t="inlineStr">
        <is>
          <t>No</t>
        </is>
      </c>
      <c r="B481" t="inlineStr">
        <is>
          <t>PC3301 .J3 1973</t>
        </is>
      </c>
      <c r="C481" t="inlineStr">
        <is>
          <t>0                      PC 3301000J  3           1973</t>
        </is>
      </c>
      <c r="D481" t="inlineStr">
        <is>
          <t>Histoire sommaire de la poésie occitane des origines a la fin du XVIIIe siècle / Alfred Jeanroy. --</t>
        </is>
      </c>
      <c r="F481" t="inlineStr">
        <is>
          <t>No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K481" t="inlineStr">
        <is>
          <t>Jeanroy, Alfred, 1859-1953.</t>
        </is>
      </c>
      <c r="L481" t="inlineStr">
        <is>
          <t>Genève : Slatkine, 1973.</t>
        </is>
      </c>
      <c r="M481" t="inlineStr">
        <is>
          <t>1973</t>
        </is>
      </c>
      <c r="O481" t="inlineStr">
        <is>
          <t>fre</t>
        </is>
      </c>
      <c r="P481" t="inlineStr">
        <is>
          <t xml:space="preserve">sw </t>
        </is>
      </c>
      <c r="R481" t="inlineStr">
        <is>
          <t xml:space="preserve">PC </t>
        </is>
      </c>
      <c r="S481" t="n">
        <v>3</v>
      </c>
      <c r="T481" t="n">
        <v>3</v>
      </c>
      <c r="U481" t="inlineStr">
        <is>
          <t>2001-02-22</t>
        </is>
      </c>
      <c r="V481" t="inlineStr">
        <is>
          <t>2001-02-22</t>
        </is>
      </c>
      <c r="W481" t="inlineStr">
        <is>
          <t>1993-04-15</t>
        </is>
      </c>
      <c r="X481" t="inlineStr">
        <is>
          <t>1993-04-15</t>
        </is>
      </c>
      <c r="Y481" t="n">
        <v>27</v>
      </c>
      <c r="Z481" t="n">
        <v>19</v>
      </c>
      <c r="AA481" t="n">
        <v>114</v>
      </c>
      <c r="AB481" t="n">
        <v>1</v>
      </c>
      <c r="AC481" t="n">
        <v>2</v>
      </c>
      <c r="AD481" t="n">
        <v>0</v>
      </c>
      <c r="AE481" t="n">
        <v>6</v>
      </c>
      <c r="AF481" t="n">
        <v>0</v>
      </c>
      <c r="AG481" t="n">
        <v>2</v>
      </c>
      <c r="AH481" t="n">
        <v>0</v>
      </c>
      <c r="AI481" t="n">
        <v>1</v>
      </c>
      <c r="AJ481" t="n">
        <v>0</v>
      </c>
      <c r="AK481" t="n">
        <v>4</v>
      </c>
      <c r="AL481" t="n">
        <v>0</v>
      </c>
      <c r="AM481" t="n">
        <v>1</v>
      </c>
      <c r="AN481" t="n">
        <v>0</v>
      </c>
      <c r="AO481" t="n">
        <v>0</v>
      </c>
      <c r="AP481" t="inlineStr">
        <is>
          <t>No</t>
        </is>
      </c>
      <c r="AQ481" t="inlineStr">
        <is>
          <t>No</t>
        </is>
      </c>
      <c r="AS481">
        <f>HYPERLINK("https://creighton-primo.hosted.exlibrisgroup.com/primo-explore/search?tab=default_tab&amp;search_scope=EVERYTHING&amp;vid=01CRU&amp;lang=en_US&amp;offset=0&amp;query=any,contains,991003346849702656","Catalog Record")</f>
        <v/>
      </c>
      <c r="AT481">
        <f>HYPERLINK("http://www.worldcat.org/oclc/878709","WorldCat Record")</f>
        <v/>
      </c>
      <c r="AU481" t="inlineStr">
        <is>
          <t>1844352:fre</t>
        </is>
      </c>
      <c r="AV481" t="inlineStr">
        <is>
          <t>878709</t>
        </is>
      </c>
      <c r="AW481" t="inlineStr">
        <is>
          <t>991003346849702656</t>
        </is>
      </c>
      <c r="AX481" t="inlineStr">
        <is>
          <t>991003346849702656</t>
        </is>
      </c>
      <c r="AY481" t="inlineStr">
        <is>
          <t>2272256830002656</t>
        </is>
      </c>
      <c r="AZ481" t="inlineStr">
        <is>
          <t>BOOK</t>
        </is>
      </c>
      <c r="BC481" t="inlineStr">
        <is>
          <t>32285001645315</t>
        </is>
      </c>
      <c r="BD481" t="inlineStr">
        <is>
          <t>893240133</t>
        </is>
      </c>
      <c r="BE481" t="inlineStr">
        <is>
          <t>Fajardo Acosta</t>
        </is>
      </c>
    </row>
    <row r="482">
      <c r="A482" t="inlineStr">
        <is>
          <t>No</t>
        </is>
      </c>
      <c r="B482" t="inlineStr">
        <is>
          <t>PC3304 .A57 1973</t>
        </is>
      </c>
      <c r="C482" t="inlineStr">
        <is>
          <t>0                      PC 3304000A  57          1973</t>
        </is>
      </c>
      <c r="D482" t="inlineStr">
        <is>
          <t>Histoire sommaire de la littérature méridionale au Moyen Age; des origines à la fin du XVe siècle.</t>
        </is>
      </c>
      <c r="F482" t="inlineStr">
        <is>
          <t>No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K482" t="inlineStr">
        <is>
          <t>Anglade, Joseph, 1868-1930.</t>
        </is>
      </c>
      <c r="L482" t="inlineStr">
        <is>
          <t>Genève, Slatkine Reprints, 1973.</t>
        </is>
      </c>
      <c r="M482" t="inlineStr">
        <is>
          <t>1973</t>
        </is>
      </c>
      <c r="O482" t="inlineStr">
        <is>
          <t>fre</t>
        </is>
      </c>
      <c r="P482" t="inlineStr">
        <is>
          <t xml:space="preserve">sz </t>
        </is>
      </c>
      <c r="R482" t="inlineStr">
        <is>
          <t xml:space="preserve">PC </t>
        </is>
      </c>
      <c r="S482" t="n">
        <v>3</v>
      </c>
      <c r="T482" t="n">
        <v>3</v>
      </c>
      <c r="U482" t="inlineStr">
        <is>
          <t>2001-02-22</t>
        </is>
      </c>
      <c r="V482" t="inlineStr">
        <is>
          <t>2001-02-22</t>
        </is>
      </c>
      <c r="W482" t="inlineStr">
        <is>
          <t>1997-09-12</t>
        </is>
      </c>
      <c r="X482" t="inlineStr">
        <is>
          <t>1997-09-12</t>
        </is>
      </c>
      <c r="Y482" t="n">
        <v>48</v>
      </c>
      <c r="Z482" t="n">
        <v>25</v>
      </c>
      <c r="AA482" t="n">
        <v>174</v>
      </c>
      <c r="AB482" t="n">
        <v>1</v>
      </c>
      <c r="AC482" t="n">
        <v>2</v>
      </c>
      <c r="AD482" t="n">
        <v>1</v>
      </c>
      <c r="AE482" t="n">
        <v>6</v>
      </c>
      <c r="AF482" t="n">
        <v>0</v>
      </c>
      <c r="AG482" t="n">
        <v>0</v>
      </c>
      <c r="AH482" t="n">
        <v>0</v>
      </c>
      <c r="AI482" t="n">
        <v>2</v>
      </c>
      <c r="AJ482" t="n">
        <v>1</v>
      </c>
      <c r="AK482" t="n">
        <v>4</v>
      </c>
      <c r="AL482" t="n">
        <v>0</v>
      </c>
      <c r="AM482" t="n">
        <v>1</v>
      </c>
      <c r="AN482" t="n">
        <v>0</v>
      </c>
      <c r="AO482" t="n">
        <v>0</v>
      </c>
      <c r="AP482" t="inlineStr">
        <is>
          <t>No</t>
        </is>
      </c>
      <c r="AQ482" t="inlineStr">
        <is>
          <t>Yes</t>
        </is>
      </c>
      <c r="AR482">
        <f>HYPERLINK("http://catalog.hathitrust.org/Record/012348784","HathiTrust Record")</f>
        <v/>
      </c>
      <c r="AS482">
        <f>HYPERLINK("https://creighton-primo.hosted.exlibrisgroup.com/primo-explore/search?tab=default_tab&amp;search_scope=EVERYTHING&amp;vid=01CRU&amp;lang=en_US&amp;offset=0&amp;query=any,contains,991003290129702656","Catalog Record")</f>
        <v/>
      </c>
      <c r="AT482">
        <f>HYPERLINK("http://www.worldcat.org/oclc/812174","WorldCat Record")</f>
        <v/>
      </c>
      <c r="AU482" t="inlineStr">
        <is>
          <t>1388190:fre</t>
        </is>
      </c>
      <c r="AV482" t="inlineStr">
        <is>
          <t>812174</t>
        </is>
      </c>
      <c r="AW482" t="inlineStr">
        <is>
          <t>991003290129702656</t>
        </is>
      </c>
      <c r="AX482" t="inlineStr">
        <is>
          <t>991003290129702656</t>
        </is>
      </c>
      <c r="AY482" t="inlineStr">
        <is>
          <t>2267258720002656</t>
        </is>
      </c>
      <c r="AZ482" t="inlineStr">
        <is>
          <t>BOOK</t>
        </is>
      </c>
      <c r="BC482" t="inlineStr">
        <is>
          <t>32285003225314</t>
        </is>
      </c>
      <c r="BD482" t="inlineStr">
        <is>
          <t>893531054</t>
        </is>
      </c>
      <c r="BE482" t="inlineStr">
        <is>
          <t>Fajardo Acosta</t>
        </is>
      </c>
    </row>
    <row r="483">
      <c r="A483" t="inlineStr">
        <is>
          <t>No</t>
        </is>
      </c>
      <c r="B483" t="inlineStr">
        <is>
          <t>PC3304 .B683 1965</t>
        </is>
      </c>
      <c r="C483" t="inlineStr">
        <is>
          <t>0                      PC 3304000B  683         1965</t>
        </is>
      </c>
      <c r="D483" t="inlineStr">
        <is>
          <t>The troubadours. Translated from the French by the author. Edited by Lawrence F. Koons.</t>
        </is>
      </c>
      <c r="F483" t="inlineStr">
        <is>
          <t>No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K483" t="inlineStr">
        <is>
          <t>Briffault, Robert, 1876-1948.</t>
        </is>
      </c>
      <c r="L483" t="inlineStr">
        <is>
          <t>Bloomington, Indiana University Press, 1965.</t>
        </is>
      </c>
      <c r="M483" t="inlineStr">
        <is>
          <t>1965</t>
        </is>
      </c>
      <c r="O483" t="inlineStr">
        <is>
          <t>eng</t>
        </is>
      </c>
      <c r="P483" t="inlineStr">
        <is>
          <t>inu</t>
        </is>
      </c>
      <c r="R483" t="inlineStr">
        <is>
          <t xml:space="preserve">PC </t>
        </is>
      </c>
      <c r="S483" t="n">
        <v>6</v>
      </c>
      <c r="T483" t="n">
        <v>6</v>
      </c>
      <c r="U483" t="inlineStr">
        <is>
          <t>2001-02-22</t>
        </is>
      </c>
      <c r="V483" t="inlineStr">
        <is>
          <t>2001-02-22</t>
        </is>
      </c>
      <c r="W483" t="inlineStr">
        <is>
          <t>1996-06-11</t>
        </is>
      </c>
      <c r="X483" t="inlineStr">
        <is>
          <t>1996-06-11</t>
        </is>
      </c>
      <c r="Y483" t="n">
        <v>1048</v>
      </c>
      <c r="Z483" t="n">
        <v>953</v>
      </c>
      <c r="AA483" t="n">
        <v>963</v>
      </c>
      <c r="AB483" t="n">
        <v>6</v>
      </c>
      <c r="AC483" t="n">
        <v>6</v>
      </c>
      <c r="AD483" t="n">
        <v>42</v>
      </c>
      <c r="AE483" t="n">
        <v>42</v>
      </c>
      <c r="AF483" t="n">
        <v>18</v>
      </c>
      <c r="AG483" t="n">
        <v>18</v>
      </c>
      <c r="AH483" t="n">
        <v>8</v>
      </c>
      <c r="AI483" t="n">
        <v>8</v>
      </c>
      <c r="AJ483" t="n">
        <v>22</v>
      </c>
      <c r="AK483" t="n">
        <v>22</v>
      </c>
      <c r="AL483" t="n">
        <v>5</v>
      </c>
      <c r="AM483" t="n">
        <v>5</v>
      </c>
      <c r="AN483" t="n">
        <v>0</v>
      </c>
      <c r="AO483" t="n">
        <v>0</v>
      </c>
      <c r="AP483" t="inlineStr">
        <is>
          <t>No</t>
        </is>
      </c>
      <c r="AQ483" t="inlineStr">
        <is>
          <t>Yes</t>
        </is>
      </c>
      <c r="AR483">
        <f>HYPERLINK("http://catalog.hathitrust.org/Record/001182754","HathiTrust Record")</f>
        <v/>
      </c>
      <c r="AS483">
        <f>HYPERLINK("https://creighton-primo.hosted.exlibrisgroup.com/primo-explore/search?tab=default_tab&amp;search_scope=EVERYTHING&amp;vid=01CRU&amp;lang=en_US&amp;offset=0&amp;query=any,contains,991001875359702656","Catalog Record")</f>
        <v/>
      </c>
      <c r="AT483">
        <f>HYPERLINK("http://www.worldcat.org/oclc/238196","WorldCat Record")</f>
        <v/>
      </c>
      <c r="AU483" t="inlineStr">
        <is>
          <t>350275955:eng</t>
        </is>
      </c>
      <c r="AV483" t="inlineStr">
        <is>
          <t>238196</t>
        </is>
      </c>
      <c r="AW483" t="inlineStr">
        <is>
          <t>991001875359702656</t>
        </is>
      </c>
      <c r="AX483" t="inlineStr">
        <is>
          <t>991001875359702656</t>
        </is>
      </c>
      <c r="AY483" t="inlineStr">
        <is>
          <t>2255346870002656</t>
        </is>
      </c>
      <c r="AZ483" t="inlineStr">
        <is>
          <t>BOOK</t>
        </is>
      </c>
      <c r="BC483" t="inlineStr">
        <is>
          <t>32285002170115</t>
        </is>
      </c>
      <c r="BD483" t="inlineStr">
        <is>
          <t>893684720</t>
        </is>
      </c>
      <c r="BE483" t="inlineStr">
        <is>
          <t>Fajardo Acosta</t>
        </is>
      </c>
    </row>
    <row r="484">
      <c r="A484" t="inlineStr">
        <is>
          <t>No</t>
        </is>
      </c>
      <c r="B484" t="inlineStr">
        <is>
          <t>PC3304 .L54</t>
        </is>
      </c>
      <c r="C484" t="inlineStr">
        <is>
          <t>0                      PC 3304000L  54</t>
        </is>
      </c>
      <c r="D484" t="inlineStr">
        <is>
          <t>The troubadours &amp; their world of the twelfth and thirteenth centuries / Jack Lindsay.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Lindsay, Jack, 1900-1990.</t>
        </is>
      </c>
      <c r="L484" t="inlineStr">
        <is>
          <t>London : F. Muller, 1976.</t>
        </is>
      </c>
      <c r="M484" t="inlineStr">
        <is>
          <t>1976</t>
        </is>
      </c>
      <c r="O484" t="inlineStr">
        <is>
          <t>eng</t>
        </is>
      </c>
      <c r="P484" t="inlineStr">
        <is>
          <t>enk</t>
        </is>
      </c>
      <c r="R484" t="inlineStr">
        <is>
          <t xml:space="preserve">PC </t>
        </is>
      </c>
      <c r="S484" t="n">
        <v>2</v>
      </c>
      <c r="T484" t="n">
        <v>2</v>
      </c>
      <c r="U484" t="inlineStr">
        <is>
          <t>2005-02-28</t>
        </is>
      </c>
      <c r="V484" t="inlineStr">
        <is>
          <t>2005-02-28</t>
        </is>
      </c>
      <c r="W484" t="inlineStr">
        <is>
          <t>1993-04-15</t>
        </is>
      </c>
      <c r="X484" t="inlineStr">
        <is>
          <t>1993-04-15</t>
        </is>
      </c>
      <c r="Y484" t="n">
        <v>521</v>
      </c>
      <c r="Z484" t="n">
        <v>372</v>
      </c>
      <c r="AA484" t="n">
        <v>374</v>
      </c>
      <c r="AB484" t="n">
        <v>3</v>
      </c>
      <c r="AC484" t="n">
        <v>3</v>
      </c>
      <c r="AD484" t="n">
        <v>17</v>
      </c>
      <c r="AE484" t="n">
        <v>17</v>
      </c>
      <c r="AF484" t="n">
        <v>8</v>
      </c>
      <c r="AG484" t="n">
        <v>8</v>
      </c>
      <c r="AH484" t="n">
        <v>5</v>
      </c>
      <c r="AI484" t="n">
        <v>5</v>
      </c>
      <c r="AJ484" t="n">
        <v>8</v>
      </c>
      <c r="AK484" t="n">
        <v>8</v>
      </c>
      <c r="AL484" t="n">
        <v>2</v>
      </c>
      <c r="AM484" t="n">
        <v>2</v>
      </c>
      <c r="AN484" t="n">
        <v>0</v>
      </c>
      <c r="AO484" t="n">
        <v>0</v>
      </c>
      <c r="AP484" t="inlineStr">
        <is>
          <t>No</t>
        </is>
      </c>
      <c r="AQ484" t="inlineStr">
        <is>
          <t>Yes</t>
        </is>
      </c>
      <c r="AR484">
        <f>HYPERLINK("http://catalog.hathitrust.org/Record/000740323","HathiTrust Record")</f>
        <v/>
      </c>
      <c r="AS484">
        <f>HYPERLINK("https://creighton-primo.hosted.exlibrisgroup.com/primo-explore/search?tab=default_tab&amp;search_scope=EVERYTHING&amp;vid=01CRU&amp;lang=en_US&amp;offset=0&amp;query=any,contains,991004192439702656","Catalog Record")</f>
        <v/>
      </c>
      <c r="AT484">
        <f>HYPERLINK("http://www.worldcat.org/oclc/2634284","WorldCat Record")</f>
        <v/>
      </c>
      <c r="AU484" t="inlineStr">
        <is>
          <t>5809927:eng</t>
        </is>
      </c>
      <c r="AV484" t="inlineStr">
        <is>
          <t>2634284</t>
        </is>
      </c>
      <c r="AW484" t="inlineStr">
        <is>
          <t>991004192439702656</t>
        </is>
      </c>
      <c r="AX484" t="inlineStr">
        <is>
          <t>991004192439702656</t>
        </is>
      </c>
      <c r="AY484" t="inlineStr">
        <is>
          <t>2272087050002656</t>
        </is>
      </c>
      <c r="AZ484" t="inlineStr">
        <is>
          <t>BOOK</t>
        </is>
      </c>
      <c r="BB484" t="inlineStr">
        <is>
          <t>9780584103168</t>
        </is>
      </c>
      <c r="BC484" t="inlineStr">
        <is>
          <t>32285001645299</t>
        </is>
      </c>
      <c r="BD484" t="inlineStr">
        <is>
          <t>893532103</t>
        </is>
      </c>
      <c r="BE484" t="inlineStr">
        <is>
          <t>Fajardo Acosta</t>
        </is>
      </c>
    </row>
    <row r="485">
      <c r="A485" t="inlineStr">
        <is>
          <t>No</t>
        </is>
      </c>
      <c r="B485" t="inlineStr">
        <is>
          <t>PC3308 .B75</t>
        </is>
      </c>
      <c r="C485" t="inlineStr">
        <is>
          <t>0                      PC 3308000B  75</t>
        </is>
      </c>
      <c r="D485" t="inlineStr">
        <is>
          <t>Les troubadours et le sentiment romanesque / Robert Briffault.</t>
        </is>
      </c>
      <c r="F485" t="inlineStr">
        <is>
          <t>No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K485" t="inlineStr">
        <is>
          <t>Briffault, Robert, 1876-1948.</t>
        </is>
      </c>
      <c r="L485" t="inlineStr">
        <is>
          <t>Genève : Slatkine Reprints, 1974.</t>
        </is>
      </c>
      <c r="M485" t="inlineStr">
        <is>
          <t>1974</t>
        </is>
      </c>
      <c r="O485" t="inlineStr">
        <is>
          <t>fre</t>
        </is>
      </c>
      <c r="P485" t="inlineStr">
        <is>
          <t xml:space="preserve">sz </t>
        </is>
      </c>
      <c r="R485" t="inlineStr">
        <is>
          <t xml:space="preserve">PC </t>
        </is>
      </c>
      <c r="S485" t="n">
        <v>2</v>
      </c>
      <c r="T485" t="n">
        <v>2</v>
      </c>
      <c r="U485" t="inlineStr">
        <is>
          <t>1999-01-29</t>
        </is>
      </c>
      <c r="V485" t="inlineStr">
        <is>
          <t>1999-01-29</t>
        </is>
      </c>
      <c r="W485" t="inlineStr">
        <is>
          <t>1995-08-24</t>
        </is>
      </c>
      <c r="X485" t="inlineStr">
        <is>
          <t>1995-08-24</t>
        </is>
      </c>
      <c r="Y485" t="n">
        <v>46</v>
      </c>
      <c r="Z485" t="n">
        <v>32</v>
      </c>
      <c r="AA485" t="n">
        <v>148</v>
      </c>
      <c r="AB485" t="n">
        <v>1</v>
      </c>
      <c r="AC485" t="n">
        <v>2</v>
      </c>
      <c r="AD485" t="n">
        <v>3</v>
      </c>
      <c r="AE485" t="n">
        <v>6</v>
      </c>
      <c r="AF485" t="n">
        <v>0</v>
      </c>
      <c r="AG485" t="n">
        <v>1</v>
      </c>
      <c r="AH485" t="n">
        <v>1</v>
      </c>
      <c r="AI485" t="n">
        <v>2</v>
      </c>
      <c r="AJ485" t="n">
        <v>3</v>
      </c>
      <c r="AK485" t="n">
        <v>3</v>
      </c>
      <c r="AL485" t="n">
        <v>0</v>
      </c>
      <c r="AM485" t="n">
        <v>1</v>
      </c>
      <c r="AN485" t="n">
        <v>0</v>
      </c>
      <c r="AO485" t="n">
        <v>0</v>
      </c>
      <c r="AP485" t="inlineStr">
        <is>
          <t>No</t>
        </is>
      </c>
      <c r="AQ485" t="inlineStr">
        <is>
          <t>No</t>
        </is>
      </c>
      <c r="AS485">
        <f>HYPERLINK("https://creighton-primo.hosted.exlibrisgroup.com/primo-explore/search?tab=default_tab&amp;search_scope=EVERYTHING&amp;vid=01CRU&amp;lang=en_US&amp;offset=0&amp;query=any,contains,991003681609702656","Catalog Record")</f>
        <v/>
      </c>
      <c r="AT485">
        <f>HYPERLINK("http://www.worldcat.org/oclc/1307389","WorldCat Record")</f>
        <v/>
      </c>
      <c r="AU485" t="inlineStr">
        <is>
          <t>350275955:fre</t>
        </is>
      </c>
      <c r="AV485" t="inlineStr">
        <is>
          <t>1307389</t>
        </is>
      </c>
      <c r="AW485" t="inlineStr">
        <is>
          <t>991003681609702656</t>
        </is>
      </c>
      <c r="AX485" t="inlineStr">
        <is>
          <t>991003681609702656</t>
        </is>
      </c>
      <c r="AY485" t="inlineStr">
        <is>
          <t>2262601250002656</t>
        </is>
      </c>
      <c r="AZ485" t="inlineStr">
        <is>
          <t>BOOK</t>
        </is>
      </c>
      <c r="BC485" t="inlineStr">
        <is>
          <t>32285002065323</t>
        </is>
      </c>
      <c r="BD485" t="inlineStr">
        <is>
          <t>893800019</t>
        </is>
      </c>
      <c r="BE485" t="inlineStr">
        <is>
          <t>Fajardo Acosta</t>
        </is>
      </c>
    </row>
    <row r="486">
      <c r="A486" t="inlineStr">
        <is>
          <t>No</t>
        </is>
      </c>
      <c r="B486" t="inlineStr">
        <is>
          <t>PC3308 .R54 1991</t>
        </is>
      </c>
      <c r="C486" t="inlineStr">
        <is>
          <t>0                      PC 3308000R  54          1991</t>
        </is>
      </c>
      <c r="D486" t="inlineStr">
        <is>
          <t>Trobairitz : der Beitrag der Frau in der altokzitanischen höfischen Lyrik : Edition des Gesamtkorpus / Angelica Rieger.</t>
        </is>
      </c>
      <c r="F486" t="inlineStr">
        <is>
          <t>No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K486" t="inlineStr">
        <is>
          <t>Rieger, Angelica.</t>
        </is>
      </c>
      <c r="L486" t="inlineStr">
        <is>
          <t>Tübingen : M. Niemeyer, 1991.</t>
        </is>
      </c>
      <c r="M486" t="inlineStr">
        <is>
          <t>1991</t>
        </is>
      </c>
      <c r="O486" t="inlineStr">
        <is>
          <t>ger</t>
        </is>
      </c>
      <c r="P486" t="inlineStr">
        <is>
          <t xml:space="preserve">gw </t>
        </is>
      </c>
      <c r="Q486" t="inlineStr">
        <is>
          <t>Beihefte zur Zeitschrift für romanische Philologie, 0084-5396 ; Bd. 233</t>
        </is>
      </c>
      <c r="R486" t="inlineStr">
        <is>
          <t xml:space="preserve">PC </t>
        </is>
      </c>
      <c r="S486" t="n">
        <v>1</v>
      </c>
      <c r="T486" t="n">
        <v>1</v>
      </c>
      <c r="U486" t="inlineStr">
        <is>
          <t>2009-02-12</t>
        </is>
      </c>
      <c r="V486" t="inlineStr">
        <is>
          <t>2009-02-12</t>
        </is>
      </c>
      <c r="W486" t="inlineStr">
        <is>
          <t>2009-02-12</t>
        </is>
      </c>
      <c r="X486" t="inlineStr">
        <is>
          <t>2009-02-12</t>
        </is>
      </c>
      <c r="Y486" t="n">
        <v>142</v>
      </c>
      <c r="Z486" t="n">
        <v>76</v>
      </c>
      <c r="AA486" t="n">
        <v>84</v>
      </c>
      <c r="AB486" t="n">
        <v>1</v>
      </c>
      <c r="AC486" t="n">
        <v>1</v>
      </c>
      <c r="AD486" t="n">
        <v>3</v>
      </c>
      <c r="AE486" t="n">
        <v>3</v>
      </c>
      <c r="AF486" t="n">
        <v>0</v>
      </c>
      <c r="AG486" t="n">
        <v>0</v>
      </c>
      <c r="AH486" t="n">
        <v>1</v>
      </c>
      <c r="AI486" t="n">
        <v>1</v>
      </c>
      <c r="AJ486" t="n">
        <v>2</v>
      </c>
      <c r="AK486" t="n">
        <v>2</v>
      </c>
      <c r="AL486" t="n">
        <v>0</v>
      </c>
      <c r="AM486" t="n">
        <v>0</v>
      </c>
      <c r="AN486" t="n">
        <v>0</v>
      </c>
      <c r="AO486" t="n">
        <v>0</v>
      </c>
      <c r="AP486" t="inlineStr">
        <is>
          <t>No</t>
        </is>
      </c>
      <c r="AQ486" t="inlineStr">
        <is>
          <t>Yes</t>
        </is>
      </c>
      <c r="AR486">
        <f>HYPERLINK("http://catalog.hathitrust.org/Record/002493454","HathiTrust Record")</f>
        <v/>
      </c>
      <c r="AS486">
        <f>HYPERLINK("https://creighton-primo.hosted.exlibrisgroup.com/primo-explore/search?tab=default_tab&amp;search_scope=EVERYTHING&amp;vid=01CRU&amp;lang=en_US&amp;offset=0&amp;query=any,contains,991005295969702656","Catalog Record")</f>
        <v/>
      </c>
      <c r="AT486">
        <f>HYPERLINK("http://www.worldcat.org/oclc/24607685","WorldCat Record")</f>
        <v/>
      </c>
      <c r="AU486" t="inlineStr">
        <is>
          <t>289820631:ger</t>
        </is>
      </c>
      <c r="AV486" t="inlineStr">
        <is>
          <t>24607685</t>
        </is>
      </c>
      <c r="AW486" t="inlineStr">
        <is>
          <t>991005295969702656</t>
        </is>
      </c>
      <c r="AX486" t="inlineStr">
        <is>
          <t>991005295969702656</t>
        </is>
      </c>
      <c r="AY486" t="inlineStr">
        <is>
          <t>2259542920002656</t>
        </is>
      </c>
      <c r="AZ486" t="inlineStr">
        <is>
          <t>BOOK</t>
        </is>
      </c>
      <c r="BB486" t="inlineStr">
        <is>
          <t>9783484522336</t>
        </is>
      </c>
      <c r="BC486" t="inlineStr">
        <is>
          <t>32285005503882</t>
        </is>
      </c>
      <c r="BD486" t="inlineStr">
        <is>
          <t>893783369</t>
        </is>
      </c>
      <c r="BE486" t="inlineStr">
        <is>
          <t>Fajardo Acosta</t>
        </is>
      </c>
    </row>
    <row r="487">
      <c r="A487" t="inlineStr">
        <is>
          <t>No</t>
        </is>
      </c>
      <c r="B487" t="inlineStr">
        <is>
          <t>PC3308 .V65 1989</t>
        </is>
      </c>
      <c r="C487" t="inlineStr">
        <is>
          <t>0                      PC 3308000V  65          1989</t>
        </is>
      </c>
      <c r="D487" t="inlineStr">
        <is>
          <t>The Voice of the trobairitz : perspectives on the women troubadours / edited by William D. Paden.</t>
        </is>
      </c>
      <c r="F487" t="inlineStr">
        <is>
          <t>No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L487" t="inlineStr">
        <is>
          <t>Philadelphia : University of Pennsylvania Press, c1989.</t>
        </is>
      </c>
      <c r="M487" t="inlineStr">
        <is>
          <t>1989</t>
        </is>
      </c>
      <c r="O487" t="inlineStr">
        <is>
          <t>eng</t>
        </is>
      </c>
      <c r="P487" t="inlineStr">
        <is>
          <t>pau</t>
        </is>
      </c>
      <c r="Q487" t="inlineStr">
        <is>
          <t>University of Pennsylvania Press Middle Ages series</t>
        </is>
      </c>
      <c r="R487" t="inlineStr">
        <is>
          <t xml:space="preserve">PC </t>
        </is>
      </c>
      <c r="S487" t="n">
        <v>18</v>
      </c>
      <c r="T487" t="n">
        <v>18</v>
      </c>
      <c r="U487" t="inlineStr">
        <is>
          <t>2010-03-31</t>
        </is>
      </c>
      <c r="V487" t="inlineStr">
        <is>
          <t>2010-03-31</t>
        </is>
      </c>
      <c r="W487" t="inlineStr">
        <is>
          <t>1995-12-11</t>
        </is>
      </c>
      <c r="X487" t="inlineStr">
        <is>
          <t>1995-12-11</t>
        </is>
      </c>
      <c r="Y487" t="n">
        <v>448</v>
      </c>
      <c r="Z487" t="n">
        <v>368</v>
      </c>
      <c r="AA487" t="n">
        <v>537</v>
      </c>
      <c r="AB487" t="n">
        <v>2</v>
      </c>
      <c r="AC487" t="n">
        <v>2</v>
      </c>
      <c r="AD487" t="n">
        <v>19</v>
      </c>
      <c r="AE487" t="n">
        <v>27</v>
      </c>
      <c r="AF487" t="n">
        <v>5</v>
      </c>
      <c r="AG487" t="n">
        <v>12</v>
      </c>
      <c r="AH487" t="n">
        <v>8</v>
      </c>
      <c r="AI487" t="n">
        <v>9</v>
      </c>
      <c r="AJ487" t="n">
        <v>12</v>
      </c>
      <c r="AK487" t="n">
        <v>15</v>
      </c>
      <c r="AL487" t="n">
        <v>1</v>
      </c>
      <c r="AM487" t="n">
        <v>1</v>
      </c>
      <c r="AN487" t="n">
        <v>0</v>
      </c>
      <c r="AO487" t="n">
        <v>0</v>
      </c>
      <c r="AP487" t="inlineStr">
        <is>
          <t>No</t>
        </is>
      </c>
      <c r="AQ487" t="inlineStr">
        <is>
          <t>Yes</t>
        </is>
      </c>
      <c r="AR487">
        <f>HYPERLINK("http://catalog.hathitrust.org/Record/001549841","HathiTrust Record")</f>
        <v/>
      </c>
      <c r="AS487">
        <f>HYPERLINK("https://creighton-primo.hosted.exlibrisgroup.com/primo-explore/search?tab=default_tab&amp;search_scope=EVERYTHING&amp;vid=01CRU&amp;lang=en_US&amp;offset=0&amp;query=any,contains,991001477409702656","Catalog Record")</f>
        <v/>
      </c>
      <c r="AT487">
        <f>HYPERLINK("http://www.worldcat.org/oclc/19589333","WorldCat Record")</f>
        <v/>
      </c>
      <c r="AU487" t="inlineStr">
        <is>
          <t>836893398:eng</t>
        </is>
      </c>
      <c r="AV487" t="inlineStr">
        <is>
          <t>19589333</t>
        </is>
      </c>
      <c r="AW487" t="inlineStr">
        <is>
          <t>991001477409702656</t>
        </is>
      </c>
      <c r="AX487" t="inlineStr">
        <is>
          <t>991001477409702656</t>
        </is>
      </c>
      <c r="AY487" t="inlineStr">
        <is>
          <t>2263953070002656</t>
        </is>
      </c>
      <c r="AZ487" t="inlineStr">
        <is>
          <t>BOOK</t>
        </is>
      </c>
      <c r="BB487" t="inlineStr">
        <is>
          <t>9780812281675</t>
        </is>
      </c>
      <c r="BC487" t="inlineStr">
        <is>
          <t>32285002088978</t>
        </is>
      </c>
      <c r="BD487" t="inlineStr">
        <is>
          <t>893690654</t>
        </is>
      </c>
      <c r="BE487" t="inlineStr">
        <is>
          <t>Fajardo Acosta</t>
        </is>
      </c>
    </row>
    <row r="488">
      <c r="A488" t="inlineStr">
        <is>
          <t>No</t>
        </is>
      </c>
      <c r="B488" t="inlineStr">
        <is>
          <t>PC3309 .L44 2000</t>
        </is>
      </c>
      <c r="C488" t="inlineStr">
        <is>
          <t>0                      PC 3309000L  44          2000</t>
        </is>
      </c>
      <c r="D488" t="inlineStr">
        <is>
          <t>Between sequence and sirventes : aspects of parody in the troubadour lyric / by Catherine Léglu.</t>
        </is>
      </c>
      <c r="F488" t="inlineStr">
        <is>
          <t>No</t>
        </is>
      </c>
      <c r="G488" t="inlineStr">
        <is>
          <t>1</t>
        </is>
      </c>
      <c r="H488" t="inlineStr">
        <is>
          <t>No</t>
        </is>
      </c>
      <c r="I488" t="inlineStr">
        <is>
          <t>No</t>
        </is>
      </c>
      <c r="J488" t="inlineStr">
        <is>
          <t>0</t>
        </is>
      </c>
      <c r="K488" t="inlineStr">
        <is>
          <t>Léglu, Catherine.</t>
        </is>
      </c>
      <c r="L488" t="inlineStr">
        <is>
          <t>Oxford : Legenda, 2000.</t>
        </is>
      </c>
      <c r="M488" t="inlineStr">
        <is>
          <t>2000</t>
        </is>
      </c>
      <c r="O488" t="inlineStr">
        <is>
          <t>eng</t>
        </is>
      </c>
      <c r="P488" t="inlineStr">
        <is>
          <t>enk</t>
        </is>
      </c>
      <c r="Q488" t="inlineStr">
        <is>
          <t>Research monographs in French studies ; 8</t>
        </is>
      </c>
      <c r="R488" t="inlineStr">
        <is>
          <t xml:space="preserve">PC </t>
        </is>
      </c>
      <c r="S488" t="n">
        <v>6</v>
      </c>
      <c r="T488" t="n">
        <v>6</v>
      </c>
      <c r="U488" t="inlineStr">
        <is>
          <t>2006-09-20</t>
        </is>
      </c>
      <c r="V488" t="inlineStr">
        <is>
          <t>2006-09-20</t>
        </is>
      </c>
      <c r="W488" t="inlineStr">
        <is>
          <t>2004-12-06</t>
        </is>
      </c>
      <c r="X488" t="inlineStr">
        <is>
          <t>2004-12-06</t>
        </is>
      </c>
      <c r="Y488" t="n">
        <v>122</v>
      </c>
      <c r="Z488" t="n">
        <v>83</v>
      </c>
      <c r="AA488" t="n">
        <v>101</v>
      </c>
      <c r="AB488" t="n">
        <v>1</v>
      </c>
      <c r="AC488" t="n">
        <v>1</v>
      </c>
      <c r="AD488" t="n">
        <v>3</v>
      </c>
      <c r="AE488" t="n">
        <v>3</v>
      </c>
      <c r="AF488" t="n">
        <v>0</v>
      </c>
      <c r="AG488" t="n">
        <v>0</v>
      </c>
      <c r="AH488" t="n">
        <v>1</v>
      </c>
      <c r="AI488" t="n">
        <v>1</v>
      </c>
      <c r="AJ488" t="n">
        <v>3</v>
      </c>
      <c r="AK488" t="n">
        <v>3</v>
      </c>
      <c r="AL488" t="n">
        <v>0</v>
      </c>
      <c r="AM488" t="n">
        <v>0</v>
      </c>
      <c r="AN488" t="n">
        <v>0</v>
      </c>
      <c r="AO488" t="n">
        <v>0</v>
      </c>
      <c r="AP488" t="inlineStr">
        <is>
          <t>No</t>
        </is>
      </c>
      <c r="AQ488" t="inlineStr">
        <is>
          <t>Yes</t>
        </is>
      </c>
      <c r="AR488">
        <f>HYPERLINK("http://catalog.hathitrust.org/Record/003576423","HathiTrust Record")</f>
        <v/>
      </c>
      <c r="AS488">
        <f>HYPERLINK("https://creighton-primo.hosted.exlibrisgroup.com/primo-explore/search?tab=default_tab&amp;search_scope=EVERYTHING&amp;vid=01CRU&amp;lang=en_US&amp;offset=0&amp;query=any,contains,991004393559702656","Catalog Record")</f>
        <v/>
      </c>
      <c r="AT488">
        <f>HYPERLINK("http://www.worldcat.org/oclc/46432703","WorldCat Record")</f>
        <v/>
      </c>
      <c r="AU488" t="inlineStr">
        <is>
          <t>371357382:eng</t>
        </is>
      </c>
      <c r="AV488" t="inlineStr">
        <is>
          <t>46432703</t>
        </is>
      </c>
      <c r="AW488" t="inlineStr">
        <is>
          <t>991004393559702656</t>
        </is>
      </c>
      <c r="AX488" t="inlineStr">
        <is>
          <t>991004393559702656</t>
        </is>
      </c>
      <c r="AY488" t="inlineStr">
        <is>
          <t>2258181620002656</t>
        </is>
      </c>
      <c r="AZ488" t="inlineStr">
        <is>
          <t>BOOK</t>
        </is>
      </c>
      <c r="BB488" t="inlineStr">
        <is>
          <t>9781900755443</t>
        </is>
      </c>
      <c r="BC488" t="inlineStr">
        <is>
          <t>32285005015143</t>
        </is>
      </c>
      <c r="BD488" t="inlineStr">
        <is>
          <t>893532335</t>
        </is>
      </c>
      <c r="BE488" t="inlineStr">
        <is>
          <t>Fajardo Acosta</t>
        </is>
      </c>
    </row>
    <row r="489">
      <c r="A489" t="inlineStr">
        <is>
          <t>No</t>
        </is>
      </c>
      <c r="B489" t="inlineStr">
        <is>
          <t>PC3322 .B6</t>
        </is>
      </c>
      <c r="C489" t="inlineStr">
        <is>
          <t>0                      PC 3322000B  6</t>
        </is>
      </c>
      <c r="D489" t="inlineStr">
        <is>
          <t>Les femmes troubadours / Meg Bogin ; traduit de l'américain par Jeanne Faure-Cousin avec la collaboration d'Anne Richou.</t>
        </is>
      </c>
      <c r="F489" t="inlineStr">
        <is>
          <t>No</t>
        </is>
      </c>
      <c r="G489" t="inlineStr">
        <is>
          <t>1</t>
        </is>
      </c>
      <c r="H489" t="inlineStr">
        <is>
          <t>No</t>
        </is>
      </c>
      <c r="I489" t="inlineStr">
        <is>
          <t>No</t>
        </is>
      </c>
      <c r="J489" t="inlineStr">
        <is>
          <t>0</t>
        </is>
      </c>
      <c r="K489" t="inlineStr">
        <is>
          <t>Bogin, Magda.</t>
        </is>
      </c>
      <c r="L489" t="inlineStr">
        <is>
          <t>Paris : Denoël/Gonthier, c1978.</t>
        </is>
      </c>
      <c r="M489" t="inlineStr">
        <is>
          <t>1978</t>
        </is>
      </c>
      <c r="O489" t="inlineStr">
        <is>
          <t>fre</t>
        </is>
      </c>
      <c r="P489" t="inlineStr">
        <is>
          <t xml:space="preserve">fr </t>
        </is>
      </c>
      <c r="Q489" t="inlineStr">
        <is>
          <t>Collection Femme</t>
        </is>
      </c>
      <c r="R489" t="inlineStr">
        <is>
          <t xml:space="preserve">PC </t>
        </is>
      </c>
      <c r="S489" t="n">
        <v>4</v>
      </c>
      <c r="T489" t="n">
        <v>4</v>
      </c>
      <c r="U489" t="inlineStr">
        <is>
          <t>2001-02-22</t>
        </is>
      </c>
      <c r="V489" t="inlineStr">
        <is>
          <t>2001-02-22</t>
        </is>
      </c>
      <c r="W489" t="inlineStr">
        <is>
          <t>1993-04-15</t>
        </is>
      </c>
      <c r="X489" t="inlineStr">
        <is>
          <t>1993-04-15</t>
        </is>
      </c>
      <c r="Y489" t="n">
        <v>107</v>
      </c>
      <c r="Z489" t="n">
        <v>86</v>
      </c>
      <c r="AA489" t="n">
        <v>87</v>
      </c>
      <c r="AB489" t="n">
        <v>1</v>
      </c>
      <c r="AC489" t="n">
        <v>1</v>
      </c>
      <c r="AD489" t="n">
        <v>4</v>
      </c>
      <c r="AE489" t="n">
        <v>4</v>
      </c>
      <c r="AF489" t="n">
        <v>2</v>
      </c>
      <c r="AG489" t="n">
        <v>2</v>
      </c>
      <c r="AH489" t="n">
        <v>2</v>
      </c>
      <c r="AI489" t="n">
        <v>2</v>
      </c>
      <c r="AJ489" t="n">
        <v>2</v>
      </c>
      <c r="AK489" t="n">
        <v>2</v>
      </c>
      <c r="AL489" t="n">
        <v>0</v>
      </c>
      <c r="AM489" t="n">
        <v>0</v>
      </c>
      <c r="AN489" t="n">
        <v>0</v>
      </c>
      <c r="AO489" t="n">
        <v>0</v>
      </c>
      <c r="AP489" t="inlineStr">
        <is>
          <t>No</t>
        </is>
      </c>
      <c r="AQ489" t="inlineStr">
        <is>
          <t>No</t>
        </is>
      </c>
      <c r="AS489">
        <f>HYPERLINK("https://creighton-primo.hosted.exlibrisgroup.com/primo-explore/search?tab=default_tab&amp;search_scope=EVERYTHING&amp;vid=01CRU&amp;lang=en_US&amp;offset=0&amp;query=any,contains,991004938319702656","Catalog Record")</f>
        <v/>
      </c>
      <c r="AT489">
        <f>HYPERLINK("http://www.worldcat.org/oclc/6151523","WorldCat Record")</f>
        <v/>
      </c>
      <c r="AU489" t="inlineStr">
        <is>
          <t>459632:fre</t>
        </is>
      </c>
      <c r="AV489" t="inlineStr">
        <is>
          <t>6151523</t>
        </is>
      </c>
      <c r="AW489" t="inlineStr">
        <is>
          <t>991004938319702656</t>
        </is>
      </c>
      <c r="AX489" t="inlineStr">
        <is>
          <t>991004938319702656</t>
        </is>
      </c>
      <c r="AY489" t="inlineStr">
        <is>
          <t>2261858390002656</t>
        </is>
      </c>
      <c r="AZ489" t="inlineStr">
        <is>
          <t>BOOK</t>
        </is>
      </c>
      <c r="BC489" t="inlineStr">
        <is>
          <t>32285001645323</t>
        </is>
      </c>
      <c r="BD489" t="inlineStr">
        <is>
          <t>893338304</t>
        </is>
      </c>
      <c r="BE489" t="inlineStr">
        <is>
          <t>Fajardo Acosta</t>
        </is>
      </c>
    </row>
    <row r="490">
      <c r="A490" t="inlineStr">
        <is>
          <t>No</t>
        </is>
      </c>
      <c r="B490" t="inlineStr">
        <is>
          <t>PC3330.F65 S38 2001</t>
        </is>
      </c>
      <c r="C490" t="inlineStr">
        <is>
          <t>0                      PC 3330000F  65                 S  38          2001</t>
        </is>
      </c>
      <c r="D490" t="inlineStr">
        <is>
          <t>Where troubadours were bishops : the Occitania of Folc of Marseille, 1150-1231 / N.M. Schulman.</t>
        </is>
      </c>
      <c r="F490" t="inlineStr">
        <is>
          <t>No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K490" t="inlineStr">
        <is>
          <t>Schulman, Nicole M.</t>
        </is>
      </c>
      <c r="L490" t="inlineStr">
        <is>
          <t>New York : Routledge, 2001.</t>
        </is>
      </c>
      <c r="M490" t="inlineStr">
        <is>
          <t>2001</t>
        </is>
      </c>
      <c r="O490" t="inlineStr">
        <is>
          <t>eng</t>
        </is>
      </c>
      <c r="P490" t="inlineStr">
        <is>
          <t>nyu</t>
        </is>
      </c>
      <c r="Q490" t="inlineStr">
        <is>
          <t>Studies in medieval history and culture ; 7</t>
        </is>
      </c>
      <c r="R490" t="inlineStr">
        <is>
          <t xml:space="preserve">PC </t>
        </is>
      </c>
      <c r="S490" t="n">
        <v>14</v>
      </c>
      <c r="T490" t="n">
        <v>14</v>
      </c>
      <c r="U490" t="inlineStr">
        <is>
          <t>2010-03-31</t>
        </is>
      </c>
      <c r="V490" t="inlineStr">
        <is>
          <t>2010-03-31</t>
        </is>
      </c>
      <c r="W490" t="inlineStr">
        <is>
          <t>2004-12-07</t>
        </is>
      </c>
      <c r="X490" t="inlineStr">
        <is>
          <t>2004-12-07</t>
        </is>
      </c>
      <c r="Y490" t="n">
        <v>175</v>
      </c>
      <c r="Z490" t="n">
        <v>143</v>
      </c>
      <c r="AA490" t="n">
        <v>164</v>
      </c>
      <c r="AB490" t="n">
        <v>2</v>
      </c>
      <c r="AC490" t="n">
        <v>2</v>
      </c>
      <c r="AD490" t="n">
        <v>9</v>
      </c>
      <c r="AE490" t="n">
        <v>9</v>
      </c>
      <c r="AF490" t="n">
        <v>3</v>
      </c>
      <c r="AG490" t="n">
        <v>3</v>
      </c>
      <c r="AH490" t="n">
        <v>3</v>
      </c>
      <c r="AI490" t="n">
        <v>3</v>
      </c>
      <c r="AJ490" t="n">
        <v>7</v>
      </c>
      <c r="AK490" t="n">
        <v>7</v>
      </c>
      <c r="AL490" t="n">
        <v>1</v>
      </c>
      <c r="AM490" t="n">
        <v>1</v>
      </c>
      <c r="AN490" t="n">
        <v>0</v>
      </c>
      <c r="AO490" t="n">
        <v>0</v>
      </c>
      <c r="AP490" t="inlineStr">
        <is>
          <t>No</t>
        </is>
      </c>
      <c r="AQ490" t="inlineStr">
        <is>
          <t>No</t>
        </is>
      </c>
      <c r="AS490">
        <f>HYPERLINK("https://creighton-primo.hosted.exlibrisgroup.com/primo-explore/search?tab=default_tab&amp;search_scope=EVERYTHING&amp;vid=01CRU&amp;lang=en_US&amp;offset=0&amp;query=any,contains,991004393449702656","Catalog Record")</f>
        <v/>
      </c>
      <c r="AT490">
        <f>HYPERLINK("http://www.worldcat.org/oclc/46822305","WorldCat Record")</f>
        <v/>
      </c>
      <c r="AU490" t="inlineStr">
        <is>
          <t>837080438:eng</t>
        </is>
      </c>
      <c r="AV490" t="inlineStr">
        <is>
          <t>46822305</t>
        </is>
      </c>
      <c r="AW490" t="inlineStr">
        <is>
          <t>991004393449702656</t>
        </is>
      </c>
      <c r="AX490" t="inlineStr">
        <is>
          <t>991004393449702656</t>
        </is>
      </c>
      <c r="AY490" t="inlineStr">
        <is>
          <t>2260780360002656</t>
        </is>
      </c>
      <c r="AZ490" t="inlineStr">
        <is>
          <t>BOOK</t>
        </is>
      </c>
      <c r="BB490" t="inlineStr">
        <is>
          <t>9780415936651</t>
        </is>
      </c>
      <c r="BC490" t="inlineStr">
        <is>
          <t>32285005015523</t>
        </is>
      </c>
      <c r="BD490" t="inlineStr">
        <is>
          <t>893612297</t>
        </is>
      </c>
      <c r="BE490" t="inlineStr">
        <is>
          <t>Fajardo Acosta</t>
        </is>
      </c>
    </row>
    <row r="491">
      <c r="A491" t="inlineStr">
        <is>
          <t>No</t>
        </is>
      </c>
      <c r="B491" t="inlineStr">
        <is>
          <t>PC3330.S6 A28 1987</t>
        </is>
      </c>
      <c r="C491" t="inlineStr">
        <is>
          <t>0                      PC 3330000S  6                  A  28          1987</t>
        </is>
      </c>
      <c r="D491" t="inlineStr">
        <is>
          <t>The poetry of Sordello / edited and translated by James J. Wilhelm.</t>
        </is>
      </c>
      <c r="F491" t="inlineStr">
        <is>
          <t>No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K491" t="inlineStr">
        <is>
          <t>Sordello, of Goito, active 13th century.</t>
        </is>
      </c>
      <c r="L491" t="inlineStr">
        <is>
          <t>New York : Garland, 1987.</t>
        </is>
      </c>
      <c r="M491" t="inlineStr">
        <is>
          <t>1987</t>
        </is>
      </c>
      <c r="O491" t="inlineStr">
        <is>
          <t>eng</t>
        </is>
      </c>
      <c r="P491" t="inlineStr">
        <is>
          <t>nyu</t>
        </is>
      </c>
      <c r="Q491" t="inlineStr">
        <is>
          <t>Garland library of medieval literature ; v. 42. Series A</t>
        </is>
      </c>
      <c r="R491" t="inlineStr">
        <is>
          <t xml:space="preserve">PC </t>
        </is>
      </c>
      <c r="S491" t="n">
        <v>1</v>
      </c>
      <c r="T491" t="n">
        <v>1</v>
      </c>
      <c r="U491" t="inlineStr">
        <is>
          <t>2009-02-11</t>
        </is>
      </c>
      <c r="V491" t="inlineStr">
        <is>
          <t>2009-02-11</t>
        </is>
      </c>
      <c r="W491" t="inlineStr">
        <is>
          <t>2009-02-11</t>
        </is>
      </c>
      <c r="X491" t="inlineStr">
        <is>
          <t>2009-02-11</t>
        </is>
      </c>
      <c r="Y491" t="n">
        <v>223</v>
      </c>
      <c r="Z491" t="n">
        <v>178</v>
      </c>
      <c r="AA491" t="n">
        <v>181</v>
      </c>
      <c r="AB491" t="n">
        <v>1</v>
      </c>
      <c r="AC491" t="n">
        <v>1</v>
      </c>
      <c r="AD491" t="n">
        <v>10</v>
      </c>
      <c r="AE491" t="n">
        <v>10</v>
      </c>
      <c r="AF491" t="n">
        <v>2</v>
      </c>
      <c r="AG491" t="n">
        <v>2</v>
      </c>
      <c r="AH491" t="n">
        <v>3</v>
      </c>
      <c r="AI491" t="n">
        <v>3</v>
      </c>
      <c r="AJ491" t="n">
        <v>7</v>
      </c>
      <c r="AK491" t="n">
        <v>7</v>
      </c>
      <c r="AL491" t="n">
        <v>0</v>
      </c>
      <c r="AM491" t="n">
        <v>0</v>
      </c>
      <c r="AN491" t="n">
        <v>0</v>
      </c>
      <c r="AO491" t="n">
        <v>0</v>
      </c>
      <c r="AP491" t="inlineStr">
        <is>
          <t>No</t>
        </is>
      </c>
      <c r="AQ491" t="inlineStr">
        <is>
          <t>No</t>
        </is>
      </c>
      <c r="AS491">
        <f>HYPERLINK("https://creighton-primo.hosted.exlibrisgroup.com/primo-explore/search?tab=default_tab&amp;search_scope=EVERYTHING&amp;vid=01CRU&amp;lang=en_US&amp;offset=0&amp;query=any,contains,991005296089702656","Catalog Record")</f>
        <v/>
      </c>
      <c r="AT491">
        <f>HYPERLINK("http://www.worldcat.org/oclc/14904132","WorldCat Record")</f>
        <v/>
      </c>
      <c r="AU491" t="inlineStr">
        <is>
          <t>341368739:eng</t>
        </is>
      </c>
      <c r="AV491" t="inlineStr">
        <is>
          <t>14904132</t>
        </is>
      </c>
      <c r="AW491" t="inlineStr">
        <is>
          <t>991005296089702656</t>
        </is>
      </c>
      <c r="AX491" t="inlineStr">
        <is>
          <t>991005296089702656</t>
        </is>
      </c>
      <c r="AY491" t="inlineStr">
        <is>
          <t>2266782980002656</t>
        </is>
      </c>
      <c r="AZ491" t="inlineStr">
        <is>
          <t>BOOK</t>
        </is>
      </c>
      <c r="BB491" t="inlineStr">
        <is>
          <t>9780824086398</t>
        </is>
      </c>
      <c r="BC491" t="inlineStr">
        <is>
          <t>32285005503635</t>
        </is>
      </c>
      <c r="BD491" t="inlineStr">
        <is>
          <t>893594795</t>
        </is>
      </c>
      <c r="BE491" t="inlineStr">
        <is>
          <t>Fajardo Acosta</t>
        </is>
      </c>
    </row>
    <row r="492">
      <c r="A492" t="inlineStr">
        <is>
          <t>No</t>
        </is>
      </c>
      <c r="B492" t="inlineStr">
        <is>
          <t>PC3340.G84 C4 1989</t>
        </is>
      </c>
      <c r="C492" t="inlineStr">
        <is>
          <t>0                      PC 3340000G  84                 C  4           1989</t>
        </is>
      </c>
      <c r="D492" t="inlineStr">
        <is>
          <t>Chanson de la croisade albigeoise : texte original / préface de Georges Duby ; adaptation de Henri Gougaud ; introduction de Michel Zink.</t>
        </is>
      </c>
      <c r="F492" t="inlineStr">
        <is>
          <t>No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K492" t="inlineStr">
        <is>
          <t>Guillaume, de Tudèle, active 1199-1214.</t>
        </is>
      </c>
      <c r="L492" t="inlineStr">
        <is>
          <t>Paris : Librairie générale française, c1989.</t>
        </is>
      </c>
      <c r="M492" t="inlineStr">
        <is>
          <t>1989</t>
        </is>
      </c>
      <c r="O492" t="inlineStr">
        <is>
          <t>fre</t>
        </is>
      </c>
      <c r="P492" t="inlineStr">
        <is>
          <t xml:space="preserve">fr </t>
        </is>
      </c>
      <c r="Q492" t="inlineStr">
        <is>
          <t>Le Livre de poche</t>
        </is>
      </c>
      <c r="R492" t="inlineStr">
        <is>
          <t xml:space="preserve">PC </t>
        </is>
      </c>
      <c r="S492" t="n">
        <v>1</v>
      </c>
      <c r="T492" t="n">
        <v>1</v>
      </c>
      <c r="U492" t="inlineStr">
        <is>
          <t>2008-03-25</t>
        </is>
      </c>
      <c r="V492" t="inlineStr">
        <is>
          <t>2008-03-25</t>
        </is>
      </c>
      <c r="W492" t="inlineStr">
        <is>
          <t>2008-03-25</t>
        </is>
      </c>
      <c r="X492" t="inlineStr">
        <is>
          <t>2008-03-25</t>
        </is>
      </c>
      <c r="Y492" t="n">
        <v>70</v>
      </c>
      <c r="Z492" t="n">
        <v>45</v>
      </c>
      <c r="AA492" t="n">
        <v>50</v>
      </c>
      <c r="AB492" t="n">
        <v>1</v>
      </c>
      <c r="AC492" t="n">
        <v>1</v>
      </c>
      <c r="AD492" t="n">
        <v>0</v>
      </c>
      <c r="AE492" t="n">
        <v>0</v>
      </c>
      <c r="AF492" t="n">
        <v>0</v>
      </c>
      <c r="AG492" t="n">
        <v>0</v>
      </c>
      <c r="AH492" t="n">
        <v>0</v>
      </c>
      <c r="AI492" t="n">
        <v>0</v>
      </c>
      <c r="AJ492" t="n">
        <v>0</v>
      </c>
      <c r="AK492" t="n">
        <v>0</v>
      </c>
      <c r="AL492" t="n">
        <v>0</v>
      </c>
      <c r="AM492" t="n">
        <v>0</v>
      </c>
      <c r="AN492" t="n">
        <v>0</v>
      </c>
      <c r="AO492" t="n">
        <v>0</v>
      </c>
      <c r="AP492" t="inlineStr">
        <is>
          <t>No</t>
        </is>
      </c>
      <c r="AQ492" t="inlineStr">
        <is>
          <t>No</t>
        </is>
      </c>
      <c r="AS492">
        <f>HYPERLINK("https://creighton-primo.hosted.exlibrisgroup.com/primo-explore/search?tab=default_tab&amp;search_scope=EVERYTHING&amp;vid=01CRU&amp;lang=en_US&amp;offset=0&amp;query=any,contains,991005192309702656","Catalog Record")</f>
        <v/>
      </c>
      <c r="AT492">
        <f>HYPERLINK("http://www.worldcat.org/oclc/21454345","WorldCat Record")</f>
        <v/>
      </c>
      <c r="AU492" t="inlineStr">
        <is>
          <t>3855788458:fre</t>
        </is>
      </c>
      <c r="AV492" t="inlineStr">
        <is>
          <t>21454345</t>
        </is>
      </c>
      <c r="AW492" t="inlineStr">
        <is>
          <t>991005192309702656</t>
        </is>
      </c>
      <c r="AX492" t="inlineStr">
        <is>
          <t>991005192309702656</t>
        </is>
      </c>
      <c r="AY492" t="inlineStr">
        <is>
          <t>2272234670002656</t>
        </is>
      </c>
      <c r="AZ492" t="inlineStr">
        <is>
          <t>BOOK</t>
        </is>
      </c>
      <c r="BB492" t="inlineStr">
        <is>
          <t>9782253050841</t>
        </is>
      </c>
      <c r="BC492" t="inlineStr">
        <is>
          <t>32285005398648</t>
        </is>
      </c>
      <c r="BD492" t="inlineStr">
        <is>
          <t>893446637</t>
        </is>
      </c>
      <c r="BE492" t="inlineStr">
        <is>
          <t>Fajardo Acosta</t>
        </is>
      </c>
    </row>
    <row r="493">
      <c r="A493" t="inlineStr">
        <is>
          <t>No</t>
        </is>
      </c>
      <c r="B493" t="inlineStr">
        <is>
          <t>PC3365.E3 S66 2000</t>
        </is>
      </c>
      <c r="C493" t="inlineStr">
        <is>
          <t>0                      PC 3365000E  3                  S  66          2000</t>
        </is>
      </c>
      <c r="D493" t="inlineStr">
        <is>
          <t>Songs of the women troubadours / edited and translated by Matilda Tomaryn Bruckner, Laurie Shepard, Sarah White.</t>
        </is>
      </c>
      <c r="F493" t="inlineStr">
        <is>
          <t>No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L493" t="inlineStr">
        <is>
          <t>New York : Garland Pub., 2000.</t>
        </is>
      </c>
      <c r="M493" t="inlineStr">
        <is>
          <t>2000</t>
        </is>
      </c>
      <c r="N493" t="inlineStr">
        <is>
          <t>1st pbk. ed.</t>
        </is>
      </c>
      <c r="O493" t="inlineStr">
        <is>
          <t>eng</t>
        </is>
      </c>
      <c r="P493" t="inlineStr">
        <is>
          <t>nyu</t>
        </is>
      </c>
      <c r="Q493" t="inlineStr">
        <is>
          <t>Garland library of medieval literature ; v. 97A</t>
        </is>
      </c>
      <c r="R493" t="inlineStr">
        <is>
          <t xml:space="preserve">PC </t>
        </is>
      </c>
      <c r="S493" t="n">
        <v>7</v>
      </c>
      <c r="T493" t="n">
        <v>7</v>
      </c>
      <c r="U493" t="inlineStr">
        <is>
          <t>2009-01-19</t>
        </is>
      </c>
      <c r="V493" t="inlineStr">
        <is>
          <t>2009-01-19</t>
        </is>
      </c>
      <c r="W493" t="inlineStr">
        <is>
          <t>2003-10-16</t>
        </is>
      </c>
      <c r="X493" t="inlineStr">
        <is>
          <t>2003-10-16</t>
        </is>
      </c>
      <c r="Y493" t="n">
        <v>82</v>
      </c>
      <c r="Z493" t="n">
        <v>57</v>
      </c>
      <c r="AA493" t="n">
        <v>502</v>
      </c>
      <c r="AB493" t="n">
        <v>1</v>
      </c>
      <c r="AC493" t="n">
        <v>2</v>
      </c>
      <c r="AD493" t="n">
        <v>1</v>
      </c>
      <c r="AE493" t="n">
        <v>29</v>
      </c>
      <c r="AF493" t="n">
        <v>1</v>
      </c>
      <c r="AG493" t="n">
        <v>15</v>
      </c>
      <c r="AH493" t="n">
        <v>0</v>
      </c>
      <c r="AI493" t="n">
        <v>7</v>
      </c>
      <c r="AJ493" t="n">
        <v>1</v>
      </c>
      <c r="AK493" t="n">
        <v>17</v>
      </c>
      <c r="AL493" t="n">
        <v>0</v>
      </c>
      <c r="AM493" t="n">
        <v>1</v>
      </c>
      <c r="AN493" t="n">
        <v>0</v>
      </c>
      <c r="AO493" t="n">
        <v>0</v>
      </c>
      <c r="AP493" t="inlineStr">
        <is>
          <t>No</t>
        </is>
      </c>
      <c r="AQ493" t="inlineStr">
        <is>
          <t>No</t>
        </is>
      </c>
      <c r="AS493">
        <f>HYPERLINK("https://creighton-primo.hosted.exlibrisgroup.com/primo-explore/search?tab=default_tab&amp;search_scope=EVERYTHING&amp;vid=01CRU&amp;lang=en_US&amp;offset=0&amp;query=any,contains,991004153349702656","Catalog Record")</f>
        <v/>
      </c>
      <c r="AT493">
        <f>HYPERLINK("http://www.worldcat.org/oclc/47132786","WorldCat Record")</f>
        <v/>
      </c>
      <c r="AU493" t="inlineStr">
        <is>
          <t>1046111115:eng</t>
        </is>
      </c>
      <c r="AV493" t="inlineStr">
        <is>
          <t>47132786</t>
        </is>
      </c>
      <c r="AW493" t="inlineStr">
        <is>
          <t>991004153349702656</t>
        </is>
      </c>
      <c r="AX493" t="inlineStr">
        <is>
          <t>991004153349702656</t>
        </is>
      </c>
      <c r="AY493" t="inlineStr">
        <is>
          <t>2265362080002656</t>
        </is>
      </c>
      <c r="AZ493" t="inlineStr">
        <is>
          <t>BOOK</t>
        </is>
      </c>
      <c r="BB493" t="inlineStr">
        <is>
          <t>9780815335689</t>
        </is>
      </c>
      <c r="BC493" t="inlineStr">
        <is>
          <t>32285004789425</t>
        </is>
      </c>
      <c r="BD493" t="inlineStr">
        <is>
          <t>893781912</t>
        </is>
      </c>
      <c r="BE493" t="inlineStr">
        <is>
          <t>Fajardo Acosta</t>
        </is>
      </c>
    </row>
    <row r="494">
      <c r="A494" t="inlineStr">
        <is>
          <t>No</t>
        </is>
      </c>
      <c r="B494" t="inlineStr">
        <is>
          <t>PC3428 .J4 1957</t>
        </is>
      </c>
      <c r="C494" t="inlineStr">
        <is>
          <t>0                      PC 3428000J  4           1957</t>
        </is>
      </c>
      <c r="D494" t="inlineStr">
        <is>
          <t>Jongleurs et troubadours gascons des XIIe et XIIIe siècles : matériaux / édités par Alfred Jeanroy.</t>
        </is>
      </c>
      <c r="F494" t="inlineStr">
        <is>
          <t>No</t>
        </is>
      </c>
      <c r="G494" t="inlineStr">
        <is>
          <t>1</t>
        </is>
      </c>
      <c r="H494" t="inlineStr">
        <is>
          <t>No</t>
        </is>
      </c>
      <c r="I494" t="inlineStr">
        <is>
          <t>No</t>
        </is>
      </c>
      <c r="J494" t="inlineStr">
        <is>
          <t>0</t>
        </is>
      </c>
      <c r="K494" t="inlineStr">
        <is>
          <t>Jeanroy, Alfred, 1859-1953.</t>
        </is>
      </c>
      <c r="L494" t="inlineStr">
        <is>
          <t>Paris : H. Champion, 1957.</t>
        </is>
      </c>
      <c r="M494" t="inlineStr">
        <is>
          <t>1957</t>
        </is>
      </c>
      <c r="O494" t="inlineStr">
        <is>
          <t>fre</t>
        </is>
      </c>
      <c r="P494" t="inlineStr">
        <is>
          <t xml:space="preserve">fr </t>
        </is>
      </c>
      <c r="Q494" t="inlineStr">
        <is>
          <t>Les Classiques français du moyen âge ; 39</t>
        </is>
      </c>
      <c r="R494" t="inlineStr">
        <is>
          <t xml:space="preserve">PC </t>
        </is>
      </c>
      <c r="S494" t="n">
        <v>1</v>
      </c>
      <c r="T494" t="n">
        <v>1</v>
      </c>
      <c r="U494" t="inlineStr">
        <is>
          <t>1996-07-25</t>
        </is>
      </c>
      <c r="V494" t="inlineStr">
        <is>
          <t>1996-07-25</t>
        </is>
      </c>
      <c r="W494" t="inlineStr">
        <is>
          <t>1996-06-27</t>
        </is>
      </c>
      <c r="X494" t="inlineStr">
        <is>
          <t>1996-06-27</t>
        </is>
      </c>
      <c r="Y494" t="n">
        <v>112</v>
      </c>
      <c r="Z494" t="n">
        <v>65</v>
      </c>
      <c r="AA494" t="n">
        <v>69</v>
      </c>
      <c r="AB494" t="n">
        <v>1</v>
      </c>
      <c r="AC494" t="n">
        <v>1</v>
      </c>
      <c r="AD494" t="n">
        <v>2</v>
      </c>
      <c r="AE494" t="n">
        <v>2</v>
      </c>
      <c r="AF494" t="n">
        <v>1</v>
      </c>
      <c r="AG494" t="n">
        <v>1</v>
      </c>
      <c r="AH494" t="n">
        <v>1</v>
      </c>
      <c r="AI494" t="n">
        <v>1</v>
      </c>
      <c r="AJ494" t="n">
        <v>0</v>
      </c>
      <c r="AK494" t="n">
        <v>0</v>
      </c>
      <c r="AL494" t="n">
        <v>0</v>
      </c>
      <c r="AM494" t="n">
        <v>0</v>
      </c>
      <c r="AN494" t="n">
        <v>0</v>
      </c>
      <c r="AO494" t="n">
        <v>0</v>
      </c>
      <c r="AP494" t="inlineStr">
        <is>
          <t>No</t>
        </is>
      </c>
      <c r="AQ494" t="inlineStr">
        <is>
          <t>No</t>
        </is>
      </c>
      <c r="AS494">
        <f>HYPERLINK("https://creighton-primo.hosted.exlibrisgroup.com/primo-explore/search?tab=default_tab&amp;search_scope=EVERYTHING&amp;vid=01CRU&amp;lang=en_US&amp;offset=0&amp;query=any,contains,991004392839702656","Catalog Record")</f>
        <v/>
      </c>
      <c r="AT494">
        <f>HYPERLINK("http://www.worldcat.org/oclc/3273398","WorldCat Record")</f>
        <v/>
      </c>
      <c r="AU494" t="inlineStr">
        <is>
          <t>10567291590:fre</t>
        </is>
      </c>
      <c r="AV494" t="inlineStr">
        <is>
          <t>3273398</t>
        </is>
      </c>
      <c r="AW494" t="inlineStr">
        <is>
          <t>991004392839702656</t>
        </is>
      </c>
      <c r="AX494" t="inlineStr">
        <is>
          <t>991004392839702656</t>
        </is>
      </c>
      <c r="AY494" t="inlineStr">
        <is>
          <t>2263044670002656</t>
        </is>
      </c>
      <c r="AZ494" t="inlineStr">
        <is>
          <t>BOOK</t>
        </is>
      </c>
      <c r="BC494" t="inlineStr">
        <is>
          <t>32285002174406</t>
        </is>
      </c>
      <c r="BD494" t="inlineStr">
        <is>
          <t>893706347</t>
        </is>
      </c>
      <c r="BE494" t="inlineStr">
        <is>
          <t>Fajardo Acosta</t>
        </is>
      </c>
    </row>
    <row r="495">
      <c r="A495" t="inlineStr">
        <is>
          <t>No</t>
        </is>
      </c>
      <c r="B495" t="inlineStr">
        <is>
          <t>PC4580 .C59 1980</t>
        </is>
      </c>
      <c r="C495" t="inlineStr">
        <is>
          <t>0                      PC 4580000C  59          1980</t>
        </is>
      </c>
      <c r="D495" t="inlineStr">
        <is>
          <t>Diccionario crítico etimológico castellano e hispánico / por Joan Corominas ; con la colaboración de José A. Pascual.</t>
        </is>
      </c>
      <c r="E495" t="inlineStr">
        <is>
          <t>V. 4</t>
        </is>
      </c>
      <c r="F495" t="inlineStr">
        <is>
          <t>Yes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K495" t="inlineStr">
        <is>
          <t>Coromines, Joan, 1905-1997.</t>
        </is>
      </c>
      <c r="L495" t="inlineStr">
        <is>
          <t>Madrid : Gredos, c1980-c1991.</t>
        </is>
      </c>
      <c r="M495" t="inlineStr">
        <is>
          <t>1980</t>
        </is>
      </c>
      <c r="O495" t="inlineStr">
        <is>
          <t>spa</t>
        </is>
      </c>
      <c r="P495" t="inlineStr">
        <is>
          <t xml:space="preserve">sp </t>
        </is>
      </c>
      <c r="Q495" t="inlineStr">
        <is>
          <t>Biblioteca románica hispánica. V, Diccionarios ; 7</t>
        </is>
      </c>
      <c r="R495" t="inlineStr">
        <is>
          <t xml:space="preserve">PC </t>
        </is>
      </c>
      <c r="S495" t="n">
        <v>1</v>
      </c>
      <c r="T495" t="n">
        <v>9</v>
      </c>
      <c r="U495" t="inlineStr">
        <is>
          <t>2006-06-21</t>
        </is>
      </c>
      <c r="V495" t="inlineStr">
        <is>
          <t>2006-06-21</t>
        </is>
      </c>
      <c r="W495" t="inlineStr">
        <is>
          <t>2006-06-21</t>
        </is>
      </c>
      <c r="X495" t="inlineStr">
        <is>
          <t>2006-06-21</t>
        </is>
      </c>
      <c r="Y495" t="n">
        <v>345</v>
      </c>
      <c r="Z495" t="n">
        <v>260</v>
      </c>
      <c r="AA495" t="n">
        <v>273</v>
      </c>
      <c r="AB495" t="n">
        <v>3</v>
      </c>
      <c r="AC495" t="n">
        <v>3</v>
      </c>
      <c r="AD495" t="n">
        <v>14</v>
      </c>
      <c r="AE495" t="n">
        <v>14</v>
      </c>
      <c r="AF495" t="n">
        <v>2</v>
      </c>
      <c r="AG495" t="n">
        <v>2</v>
      </c>
      <c r="AH495" t="n">
        <v>6</v>
      </c>
      <c r="AI495" t="n">
        <v>6</v>
      </c>
      <c r="AJ495" t="n">
        <v>8</v>
      </c>
      <c r="AK495" t="n">
        <v>8</v>
      </c>
      <c r="AL495" t="n">
        <v>2</v>
      </c>
      <c r="AM495" t="n">
        <v>2</v>
      </c>
      <c r="AN495" t="n">
        <v>0</v>
      </c>
      <c r="AO495" t="n">
        <v>0</v>
      </c>
      <c r="AP495" t="inlineStr">
        <is>
          <t>No</t>
        </is>
      </c>
      <c r="AQ495" t="inlineStr">
        <is>
          <t>Yes</t>
        </is>
      </c>
      <c r="AR495">
        <f>HYPERLINK("http://catalog.hathitrust.org/Record/000704206","HathiTrust Record")</f>
        <v/>
      </c>
      <c r="AS495">
        <f>HYPERLINK("https://creighton-primo.hosted.exlibrisgroup.com/primo-explore/search?tab=default_tab&amp;search_scope=EVERYTHING&amp;vid=01CRU&amp;lang=en_US&amp;offset=0&amp;query=any,contains,991004759079702656","Catalog Record")</f>
        <v/>
      </c>
      <c r="AT495">
        <f>HYPERLINK("http://www.worldcat.org/oclc/9893981","WorldCat Record")</f>
        <v/>
      </c>
      <c r="AU495" t="inlineStr">
        <is>
          <t>3373242971:spa</t>
        </is>
      </c>
      <c r="AV495" t="inlineStr">
        <is>
          <t>9893981</t>
        </is>
      </c>
      <c r="AW495" t="inlineStr">
        <is>
          <t>991004759079702656</t>
        </is>
      </c>
      <c r="AX495" t="inlineStr">
        <is>
          <t>991004759079702656</t>
        </is>
      </c>
      <c r="AY495" t="inlineStr">
        <is>
          <t>2265556220002656</t>
        </is>
      </c>
      <c r="AZ495" t="inlineStr">
        <is>
          <t>BOOK</t>
        </is>
      </c>
      <c r="BB495" t="inlineStr">
        <is>
          <t>9788424913625</t>
        </is>
      </c>
      <c r="BC495" t="inlineStr">
        <is>
          <t>32285005191829</t>
        </is>
      </c>
      <c r="BD495" t="inlineStr">
        <is>
          <t>893719317</t>
        </is>
      </c>
      <c r="BE495" t="inlineStr">
        <is>
          <t>Fajardo Acosta</t>
        </is>
      </c>
    </row>
    <row r="496">
      <c r="A496" t="inlineStr">
        <is>
          <t>No</t>
        </is>
      </c>
      <c r="B496" t="inlineStr">
        <is>
          <t>PC4580 .C59 1980</t>
        </is>
      </c>
      <c r="C496" t="inlineStr">
        <is>
          <t>0                      PC 4580000C  59          1980</t>
        </is>
      </c>
      <c r="D496" t="inlineStr">
        <is>
          <t>Diccionario crítico etimológico castellano e hispánico / por Joan Corominas ; con la colaboración de José A. Pascual.</t>
        </is>
      </c>
      <c r="E496" t="inlineStr">
        <is>
          <t>V. 2</t>
        </is>
      </c>
      <c r="F496" t="inlineStr">
        <is>
          <t>Yes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K496" t="inlineStr">
        <is>
          <t>Coromines, Joan, 1905-1997.</t>
        </is>
      </c>
      <c r="L496" t="inlineStr">
        <is>
          <t>Madrid : Gredos, c1980-c1991.</t>
        </is>
      </c>
      <c r="M496" t="inlineStr">
        <is>
          <t>1980</t>
        </is>
      </c>
      <c r="O496" t="inlineStr">
        <is>
          <t>spa</t>
        </is>
      </c>
      <c r="P496" t="inlineStr">
        <is>
          <t xml:space="preserve">sp </t>
        </is>
      </c>
      <c r="Q496" t="inlineStr">
        <is>
          <t>Biblioteca románica hispánica. V, Diccionarios ; 7</t>
        </is>
      </c>
      <c r="R496" t="inlineStr">
        <is>
          <t xml:space="preserve">PC </t>
        </is>
      </c>
      <c r="S496" t="n">
        <v>2</v>
      </c>
      <c r="T496" t="n">
        <v>9</v>
      </c>
      <c r="U496" t="inlineStr">
        <is>
          <t>2006-06-21</t>
        </is>
      </c>
      <c r="V496" t="inlineStr">
        <is>
          <t>2006-06-21</t>
        </is>
      </c>
      <c r="W496" t="inlineStr">
        <is>
          <t>2006-06-21</t>
        </is>
      </c>
      <c r="X496" t="inlineStr">
        <is>
          <t>2006-06-21</t>
        </is>
      </c>
      <c r="Y496" t="n">
        <v>345</v>
      </c>
      <c r="Z496" t="n">
        <v>260</v>
      </c>
      <c r="AA496" t="n">
        <v>273</v>
      </c>
      <c r="AB496" t="n">
        <v>3</v>
      </c>
      <c r="AC496" t="n">
        <v>3</v>
      </c>
      <c r="AD496" t="n">
        <v>14</v>
      </c>
      <c r="AE496" t="n">
        <v>14</v>
      </c>
      <c r="AF496" t="n">
        <v>2</v>
      </c>
      <c r="AG496" t="n">
        <v>2</v>
      </c>
      <c r="AH496" t="n">
        <v>6</v>
      </c>
      <c r="AI496" t="n">
        <v>6</v>
      </c>
      <c r="AJ496" t="n">
        <v>8</v>
      </c>
      <c r="AK496" t="n">
        <v>8</v>
      </c>
      <c r="AL496" t="n">
        <v>2</v>
      </c>
      <c r="AM496" t="n">
        <v>2</v>
      </c>
      <c r="AN496" t="n">
        <v>0</v>
      </c>
      <c r="AO496" t="n">
        <v>0</v>
      </c>
      <c r="AP496" t="inlineStr">
        <is>
          <t>No</t>
        </is>
      </c>
      <c r="AQ496" t="inlineStr">
        <is>
          <t>Yes</t>
        </is>
      </c>
      <c r="AR496">
        <f>HYPERLINK("http://catalog.hathitrust.org/Record/000704206","HathiTrust Record")</f>
        <v/>
      </c>
      <c r="AS496">
        <f>HYPERLINK("https://creighton-primo.hosted.exlibrisgroup.com/primo-explore/search?tab=default_tab&amp;search_scope=EVERYTHING&amp;vid=01CRU&amp;lang=en_US&amp;offset=0&amp;query=any,contains,991004759079702656","Catalog Record")</f>
        <v/>
      </c>
      <c r="AT496">
        <f>HYPERLINK("http://www.worldcat.org/oclc/9893981","WorldCat Record")</f>
        <v/>
      </c>
      <c r="AU496" t="inlineStr">
        <is>
          <t>3373242971:spa</t>
        </is>
      </c>
      <c r="AV496" t="inlineStr">
        <is>
          <t>9893981</t>
        </is>
      </c>
      <c r="AW496" t="inlineStr">
        <is>
          <t>991004759079702656</t>
        </is>
      </c>
      <c r="AX496" t="inlineStr">
        <is>
          <t>991004759079702656</t>
        </is>
      </c>
      <c r="AY496" t="inlineStr">
        <is>
          <t>2265556220002656</t>
        </is>
      </c>
      <c r="AZ496" t="inlineStr">
        <is>
          <t>BOOK</t>
        </is>
      </c>
      <c r="BB496" t="inlineStr">
        <is>
          <t>9788424913625</t>
        </is>
      </c>
      <c r="BC496" t="inlineStr">
        <is>
          <t>32285005191803</t>
        </is>
      </c>
      <c r="BD496" t="inlineStr">
        <is>
          <t>893719316</t>
        </is>
      </c>
      <c r="BE496" t="inlineStr">
        <is>
          <t>Fajardo Acosta</t>
        </is>
      </c>
    </row>
    <row r="497">
      <c r="A497" t="inlineStr">
        <is>
          <t>No</t>
        </is>
      </c>
      <c r="B497" t="inlineStr">
        <is>
          <t>PC4580 .C59 1980</t>
        </is>
      </c>
      <c r="C497" t="inlineStr">
        <is>
          <t>0                      PC 4580000C  59          1980</t>
        </is>
      </c>
      <c r="D497" t="inlineStr">
        <is>
          <t>Diccionario crítico etimológico castellano e hispánico / por Joan Corominas ; con la colaboración de José A. Pascual.</t>
        </is>
      </c>
      <c r="E497" t="inlineStr">
        <is>
          <t>V. 5</t>
        </is>
      </c>
      <c r="F497" t="inlineStr">
        <is>
          <t>Yes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K497" t="inlineStr">
        <is>
          <t>Coromines, Joan, 1905-1997.</t>
        </is>
      </c>
      <c r="L497" t="inlineStr">
        <is>
          <t>Madrid : Gredos, c1980-c1991.</t>
        </is>
      </c>
      <c r="M497" t="inlineStr">
        <is>
          <t>1980</t>
        </is>
      </c>
      <c r="O497" t="inlineStr">
        <is>
          <t>spa</t>
        </is>
      </c>
      <c r="P497" t="inlineStr">
        <is>
          <t xml:space="preserve">sp </t>
        </is>
      </c>
      <c r="Q497" t="inlineStr">
        <is>
          <t>Biblioteca románica hispánica. V, Diccionarios ; 7</t>
        </is>
      </c>
      <c r="R497" t="inlineStr">
        <is>
          <t xml:space="preserve">PC </t>
        </is>
      </c>
      <c r="S497" t="n">
        <v>1</v>
      </c>
      <c r="T497" t="n">
        <v>9</v>
      </c>
      <c r="U497" t="inlineStr">
        <is>
          <t>2006-06-21</t>
        </is>
      </c>
      <c r="V497" t="inlineStr">
        <is>
          <t>2006-06-21</t>
        </is>
      </c>
      <c r="W497" t="inlineStr">
        <is>
          <t>2006-06-21</t>
        </is>
      </c>
      <c r="X497" t="inlineStr">
        <is>
          <t>2006-06-21</t>
        </is>
      </c>
      <c r="Y497" t="n">
        <v>345</v>
      </c>
      <c r="Z497" t="n">
        <v>260</v>
      </c>
      <c r="AA497" t="n">
        <v>273</v>
      </c>
      <c r="AB497" t="n">
        <v>3</v>
      </c>
      <c r="AC497" t="n">
        <v>3</v>
      </c>
      <c r="AD497" t="n">
        <v>14</v>
      </c>
      <c r="AE497" t="n">
        <v>14</v>
      </c>
      <c r="AF497" t="n">
        <v>2</v>
      </c>
      <c r="AG497" t="n">
        <v>2</v>
      </c>
      <c r="AH497" t="n">
        <v>6</v>
      </c>
      <c r="AI497" t="n">
        <v>6</v>
      </c>
      <c r="AJ497" t="n">
        <v>8</v>
      </c>
      <c r="AK497" t="n">
        <v>8</v>
      </c>
      <c r="AL497" t="n">
        <v>2</v>
      </c>
      <c r="AM497" t="n">
        <v>2</v>
      </c>
      <c r="AN497" t="n">
        <v>0</v>
      </c>
      <c r="AO497" t="n">
        <v>0</v>
      </c>
      <c r="AP497" t="inlineStr">
        <is>
          <t>No</t>
        </is>
      </c>
      <c r="AQ497" t="inlineStr">
        <is>
          <t>Yes</t>
        </is>
      </c>
      <c r="AR497">
        <f>HYPERLINK("http://catalog.hathitrust.org/Record/000704206","HathiTrust Record")</f>
        <v/>
      </c>
      <c r="AS497">
        <f>HYPERLINK("https://creighton-primo.hosted.exlibrisgroup.com/primo-explore/search?tab=default_tab&amp;search_scope=EVERYTHING&amp;vid=01CRU&amp;lang=en_US&amp;offset=0&amp;query=any,contains,991004759079702656","Catalog Record")</f>
        <v/>
      </c>
      <c r="AT497">
        <f>HYPERLINK("http://www.worldcat.org/oclc/9893981","WorldCat Record")</f>
        <v/>
      </c>
      <c r="AU497" t="inlineStr">
        <is>
          <t>3373242971:spa</t>
        </is>
      </c>
      <c r="AV497" t="inlineStr">
        <is>
          <t>9893981</t>
        </is>
      </c>
      <c r="AW497" t="inlineStr">
        <is>
          <t>991004759079702656</t>
        </is>
      </c>
      <c r="AX497" t="inlineStr">
        <is>
          <t>991004759079702656</t>
        </is>
      </c>
      <c r="AY497" t="inlineStr">
        <is>
          <t>2265556220002656</t>
        </is>
      </c>
      <c r="AZ497" t="inlineStr">
        <is>
          <t>BOOK</t>
        </is>
      </c>
      <c r="BB497" t="inlineStr">
        <is>
          <t>9788424913625</t>
        </is>
      </c>
      <c r="BC497" t="inlineStr">
        <is>
          <t>32285005191837</t>
        </is>
      </c>
      <c r="BD497" t="inlineStr">
        <is>
          <t>893719315</t>
        </is>
      </c>
      <c r="BE497" t="inlineStr">
        <is>
          <t>Fajardo Acosta</t>
        </is>
      </c>
    </row>
    <row r="498">
      <c r="A498" t="inlineStr">
        <is>
          <t>No</t>
        </is>
      </c>
      <c r="B498" t="inlineStr">
        <is>
          <t>PC4580 .C59 1980</t>
        </is>
      </c>
      <c r="C498" t="inlineStr">
        <is>
          <t>0                      PC 4580000C  59          1980</t>
        </is>
      </c>
      <c r="D498" t="inlineStr">
        <is>
          <t>Diccionario crítico etimológico castellano e hispánico / por Joan Corominas ; con la colaboración de José A. Pascual.</t>
        </is>
      </c>
      <c r="E498" t="inlineStr">
        <is>
          <t>V. 1</t>
        </is>
      </c>
      <c r="F498" t="inlineStr">
        <is>
          <t>Yes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K498" t="inlineStr">
        <is>
          <t>Coromines, Joan, 1905-1997.</t>
        </is>
      </c>
      <c r="L498" t="inlineStr">
        <is>
          <t>Madrid : Gredos, c1980-c1991.</t>
        </is>
      </c>
      <c r="M498" t="inlineStr">
        <is>
          <t>1980</t>
        </is>
      </c>
      <c r="O498" t="inlineStr">
        <is>
          <t>spa</t>
        </is>
      </c>
      <c r="P498" t="inlineStr">
        <is>
          <t xml:space="preserve">sp </t>
        </is>
      </c>
      <c r="Q498" t="inlineStr">
        <is>
          <t>Biblioteca románica hispánica. V, Diccionarios ; 7</t>
        </is>
      </c>
      <c r="R498" t="inlineStr">
        <is>
          <t xml:space="preserve">PC </t>
        </is>
      </c>
      <c r="S498" t="n">
        <v>2</v>
      </c>
      <c r="T498" t="n">
        <v>9</v>
      </c>
      <c r="U498" t="inlineStr">
        <is>
          <t>2006-06-21</t>
        </is>
      </c>
      <c r="V498" t="inlineStr">
        <is>
          <t>2006-06-21</t>
        </is>
      </c>
      <c r="W498" t="inlineStr">
        <is>
          <t>2006-06-21</t>
        </is>
      </c>
      <c r="X498" t="inlineStr">
        <is>
          <t>2006-06-21</t>
        </is>
      </c>
      <c r="Y498" t="n">
        <v>345</v>
      </c>
      <c r="Z498" t="n">
        <v>260</v>
      </c>
      <c r="AA498" t="n">
        <v>273</v>
      </c>
      <c r="AB498" t="n">
        <v>3</v>
      </c>
      <c r="AC498" t="n">
        <v>3</v>
      </c>
      <c r="AD498" t="n">
        <v>14</v>
      </c>
      <c r="AE498" t="n">
        <v>14</v>
      </c>
      <c r="AF498" t="n">
        <v>2</v>
      </c>
      <c r="AG498" t="n">
        <v>2</v>
      </c>
      <c r="AH498" t="n">
        <v>6</v>
      </c>
      <c r="AI498" t="n">
        <v>6</v>
      </c>
      <c r="AJ498" t="n">
        <v>8</v>
      </c>
      <c r="AK498" t="n">
        <v>8</v>
      </c>
      <c r="AL498" t="n">
        <v>2</v>
      </c>
      <c r="AM498" t="n">
        <v>2</v>
      </c>
      <c r="AN498" t="n">
        <v>0</v>
      </c>
      <c r="AO498" t="n">
        <v>0</v>
      </c>
      <c r="AP498" t="inlineStr">
        <is>
          <t>No</t>
        </is>
      </c>
      <c r="AQ498" t="inlineStr">
        <is>
          <t>Yes</t>
        </is>
      </c>
      <c r="AR498">
        <f>HYPERLINK("http://catalog.hathitrust.org/Record/000704206","HathiTrust Record")</f>
        <v/>
      </c>
      <c r="AS498">
        <f>HYPERLINK("https://creighton-primo.hosted.exlibrisgroup.com/primo-explore/search?tab=default_tab&amp;search_scope=EVERYTHING&amp;vid=01CRU&amp;lang=en_US&amp;offset=0&amp;query=any,contains,991004759079702656","Catalog Record")</f>
        <v/>
      </c>
      <c r="AT498">
        <f>HYPERLINK("http://www.worldcat.org/oclc/9893981","WorldCat Record")</f>
        <v/>
      </c>
      <c r="AU498" t="inlineStr">
        <is>
          <t>3373242971:spa</t>
        </is>
      </c>
      <c r="AV498" t="inlineStr">
        <is>
          <t>9893981</t>
        </is>
      </c>
      <c r="AW498" t="inlineStr">
        <is>
          <t>991004759079702656</t>
        </is>
      </c>
      <c r="AX498" t="inlineStr">
        <is>
          <t>991004759079702656</t>
        </is>
      </c>
      <c r="AY498" t="inlineStr">
        <is>
          <t>2265556220002656</t>
        </is>
      </c>
      <c r="AZ498" t="inlineStr">
        <is>
          <t>BOOK</t>
        </is>
      </c>
      <c r="BB498" t="inlineStr">
        <is>
          <t>9788424913625</t>
        </is>
      </c>
      <c r="BC498" t="inlineStr">
        <is>
          <t>32285005191795</t>
        </is>
      </c>
      <c r="BD498" t="inlineStr">
        <is>
          <t>893719318</t>
        </is>
      </c>
      <c r="BE498" t="inlineStr">
        <is>
          <t>Fajardo Acosta</t>
        </is>
      </c>
    </row>
    <row r="499">
      <c r="A499" t="inlineStr">
        <is>
          <t>No</t>
        </is>
      </c>
      <c r="B499" t="inlineStr">
        <is>
          <t>PC4580 .C59 1980</t>
        </is>
      </c>
      <c r="C499" t="inlineStr">
        <is>
          <t>0                      PC 4580000C  59          1980</t>
        </is>
      </c>
      <c r="D499" t="inlineStr">
        <is>
          <t>Diccionario crítico etimológico castellano e hispánico / por Joan Corominas ; con la colaboración de José A. Pascual.</t>
        </is>
      </c>
      <c r="E499" t="inlineStr">
        <is>
          <t>V. 3</t>
        </is>
      </c>
      <c r="F499" t="inlineStr">
        <is>
          <t>Yes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K499" t="inlineStr">
        <is>
          <t>Coromines, Joan, 1905-1997.</t>
        </is>
      </c>
      <c r="L499" t="inlineStr">
        <is>
          <t>Madrid : Gredos, c1980-c1991.</t>
        </is>
      </c>
      <c r="M499" t="inlineStr">
        <is>
          <t>1980</t>
        </is>
      </c>
      <c r="O499" t="inlineStr">
        <is>
          <t>spa</t>
        </is>
      </c>
      <c r="P499" t="inlineStr">
        <is>
          <t xml:space="preserve">sp </t>
        </is>
      </c>
      <c r="Q499" t="inlineStr">
        <is>
          <t>Biblioteca románica hispánica. V, Diccionarios ; 7</t>
        </is>
      </c>
      <c r="R499" t="inlineStr">
        <is>
          <t xml:space="preserve">PC </t>
        </is>
      </c>
      <c r="S499" t="n">
        <v>2</v>
      </c>
      <c r="T499" t="n">
        <v>9</v>
      </c>
      <c r="U499" t="inlineStr">
        <is>
          <t>2006-06-21</t>
        </is>
      </c>
      <c r="V499" t="inlineStr">
        <is>
          <t>2006-06-21</t>
        </is>
      </c>
      <c r="W499" t="inlineStr">
        <is>
          <t>2006-06-21</t>
        </is>
      </c>
      <c r="X499" t="inlineStr">
        <is>
          <t>2006-06-21</t>
        </is>
      </c>
      <c r="Y499" t="n">
        <v>345</v>
      </c>
      <c r="Z499" t="n">
        <v>260</v>
      </c>
      <c r="AA499" t="n">
        <v>273</v>
      </c>
      <c r="AB499" t="n">
        <v>3</v>
      </c>
      <c r="AC499" t="n">
        <v>3</v>
      </c>
      <c r="AD499" t="n">
        <v>14</v>
      </c>
      <c r="AE499" t="n">
        <v>14</v>
      </c>
      <c r="AF499" t="n">
        <v>2</v>
      </c>
      <c r="AG499" t="n">
        <v>2</v>
      </c>
      <c r="AH499" t="n">
        <v>6</v>
      </c>
      <c r="AI499" t="n">
        <v>6</v>
      </c>
      <c r="AJ499" t="n">
        <v>8</v>
      </c>
      <c r="AK499" t="n">
        <v>8</v>
      </c>
      <c r="AL499" t="n">
        <v>2</v>
      </c>
      <c r="AM499" t="n">
        <v>2</v>
      </c>
      <c r="AN499" t="n">
        <v>0</v>
      </c>
      <c r="AO499" t="n">
        <v>0</v>
      </c>
      <c r="AP499" t="inlineStr">
        <is>
          <t>No</t>
        </is>
      </c>
      <c r="AQ499" t="inlineStr">
        <is>
          <t>Yes</t>
        </is>
      </c>
      <c r="AR499">
        <f>HYPERLINK("http://catalog.hathitrust.org/Record/000704206","HathiTrust Record")</f>
        <v/>
      </c>
      <c r="AS499">
        <f>HYPERLINK("https://creighton-primo.hosted.exlibrisgroup.com/primo-explore/search?tab=default_tab&amp;search_scope=EVERYTHING&amp;vid=01CRU&amp;lang=en_US&amp;offset=0&amp;query=any,contains,991004759079702656","Catalog Record")</f>
        <v/>
      </c>
      <c r="AT499">
        <f>HYPERLINK("http://www.worldcat.org/oclc/9893981","WorldCat Record")</f>
        <v/>
      </c>
      <c r="AU499" t="inlineStr">
        <is>
          <t>3373242971:spa</t>
        </is>
      </c>
      <c r="AV499" t="inlineStr">
        <is>
          <t>9893981</t>
        </is>
      </c>
      <c r="AW499" t="inlineStr">
        <is>
          <t>991004759079702656</t>
        </is>
      </c>
      <c r="AX499" t="inlineStr">
        <is>
          <t>991004759079702656</t>
        </is>
      </c>
      <c r="AY499" t="inlineStr">
        <is>
          <t>2265556220002656</t>
        </is>
      </c>
      <c r="AZ499" t="inlineStr">
        <is>
          <t>BOOK</t>
        </is>
      </c>
      <c r="BB499" t="inlineStr">
        <is>
          <t>9788424913625</t>
        </is>
      </c>
      <c r="BC499" t="inlineStr">
        <is>
          <t>32285005191811</t>
        </is>
      </c>
      <c r="BD499" t="inlineStr">
        <is>
          <t>893700621</t>
        </is>
      </c>
      <c r="BE499" t="inlineStr">
        <is>
          <t>Fajardo Acosta</t>
        </is>
      </c>
    </row>
    <row r="500">
      <c r="A500" t="inlineStr">
        <is>
          <t>No</t>
        </is>
      </c>
      <c r="B500" t="inlineStr">
        <is>
          <t>PC4580 .C59 1980</t>
        </is>
      </c>
      <c r="C500" t="inlineStr">
        <is>
          <t>0                      PC 4580000C  59          1980</t>
        </is>
      </c>
      <c r="D500" t="inlineStr">
        <is>
          <t>Diccionario crítico etimológico castellano e hispánico / por Joan Corominas ; con la colaboración de José A. Pascual.</t>
        </is>
      </c>
      <c r="E500" t="inlineStr">
        <is>
          <t>V. 6</t>
        </is>
      </c>
      <c r="F500" t="inlineStr">
        <is>
          <t>Yes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K500" t="inlineStr">
        <is>
          <t>Coromines, Joan, 1905-1997.</t>
        </is>
      </c>
      <c r="L500" t="inlineStr">
        <is>
          <t>Madrid : Gredos, c1980-c1991.</t>
        </is>
      </c>
      <c r="M500" t="inlineStr">
        <is>
          <t>1980</t>
        </is>
      </c>
      <c r="O500" t="inlineStr">
        <is>
          <t>spa</t>
        </is>
      </c>
      <c r="P500" t="inlineStr">
        <is>
          <t xml:space="preserve">sp </t>
        </is>
      </c>
      <c r="Q500" t="inlineStr">
        <is>
          <t>Biblioteca románica hispánica. V, Diccionarios ; 7</t>
        </is>
      </c>
      <c r="R500" t="inlineStr">
        <is>
          <t xml:space="preserve">PC </t>
        </is>
      </c>
      <c r="S500" t="n">
        <v>1</v>
      </c>
      <c r="T500" t="n">
        <v>9</v>
      </c>
      <c r="U500" t="inlineStr">
        <is>
          <t>2006-06-21</t>
        </is>
      </c>
      <c r="V500" t="inlineStr">
        <is>
          <t>2006-06-21</t>
        </is>
      </c>
      <c r="W500" t="inlineStr">
        <is>
          <t>2006-06-21</t>
        </is>
      </c>
      <c r="X500" t="inlineStr">
        <is>
          <t>2006-06-21</t>
        </is>
      </c>
      <c r="Y500" t="n">
        <v>345</v>
      </c>
      <c r="Z500" t="n">
        <v>260</v>
      </c>
      <c r="AA500" t="n">
        <v>273</v>
      </c>
      <c r="AB500" t="n">
        <v>3</v>
      </c>
      <c r="AC500" t="n">
        <v>3</v>
      </c>
      <c r="AD500" t="n">
        <v>14</v>
      </c>
      <c r="AE500" t="n">
        <v>14</v>
      </c>
      <c r="AF500" t="n">
        <v>2</v>
      </c>
      <c r="AG500" t="n">
        <v>2</v>
      </c>
      <c r="AH500" t="n">
        <v>6</v>
      </c>
      <c r="AI500" t="n">
        <v>6</v>
      </c>
      <c r="AJ500" t="n">
        <v>8</v>
      </c>
      <c r="AK500" t="n">
        <v>8</v>
      </c>
      <c r="AL500" t="n">
        <v>2</v>
      </c>
      <c r="AM500" t="n">
        <v>2</v>
      </c>
      <c r="AN500" t="n">
        <v>0</v>
      </c>
      <c r="AO500" t="n">
        <v>0</v>
      </c>
      <c r="AP500" t="inlineStr">
        <is>
          <t>No</t>
        </is>
      </c>
      <c r="AQ500" t="inlineStr">
        <is>
          <t>Yes</t>
        </is>
      </c>
      <c r="AR500">
        <f>HYPERLINK("http://catalog.hathitrust.org/Record/000704206","HathiTrust Record")</f>
        <v/>
      </c>
      <c r="AS500">
        <f>HYPERLINK("https://creighton-primo.hosted.exlibrisgroup.com/primo-explore/search?tab=default_tab&amp;search_scope=EVERYTHING&amp;vid=01CRU&amp;lang=en_US&amp;offset=0&amp;query=any,contains,991004759079702656","Catalog Record")</f>
        <v/>
      </c>
      <c r="AT500">
        <f>HYPERLINK("http://www.worldcat.org/oclc/9893981","WorldCat Record")</f>
        <v/>
      </c>
      <c r="AU500" t="inlineStr">
        <is>
          <t>3373242971:spa</t>
        </is>
      </c>
      <c r="AV500" t="inlineStr">
        <is>
          <t>9893981</t>
        </is>
      </c>
      <c r="AW500" t="inlineStr">
        <is>
          <t>991004759079702656</t>
        </is>
      </c>
      <c r="AX500" t="inlineStr">
        <is>
          <t>991004759079702656</t>
        </is>
      </c>
      <c r="AY500" t="inlineStr">
        <is>
          <t>2265556220002656</t>
        </is>
      </c>
      <c r="AZ500" t="inlineStr">
        <is>
          <t>BOOK</t>
        </is>
      </c>
      <c r="BB500" t="inlineStr">
        <is>
          <t>9788424913625</t>
        </is>
      </c>
      <c r="BC500" t="inlineStr">
        <is>
          <t>32285005191845</t>
        </is>
      </c>
      <c r="BD500" t="inlineStr">
        <is>
          <t>893700620</t>
        </is>
      </c>
      <c r="BE500" t="inlineStr">
        <is>
          <t>Fajardo Acosta</t>
        </is>
      </c>
    </row>
    <row r="501">
      <c r="A501" t="inlineStr">
        <is>
          <t>No</t>
        </is>
      </c>
      <c r="B501" t="inlineStr">
        <is>
          <t>P1035 .C54 1987</t>
        </is>
      </c>
      <c r="C501" t="inlineStr">
        <is>
          <t>0                      P  1035000C  54          1987</t>
        </is>
      </c>
      <c r="D501" t="inlineStr">
        <is>
          <t>Linear B and related scripts / John Chadwick.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K501" t="inlineStr">
        <is>
          <t>Chadwick, John, 1920-1998.</t>
        </is>
      </c>
      <c r="L501" t="inlineStr">
        <is>
          <t>Berkeley, CA : University of California Press ; London : Published for the Trustees of the British Museum by British Museum Publications, c1987.</t>
        </is>
      </c>
      <c r="M501" t="inlineStr">
        <is>
          <t>1987</t>
        </is>
      </c>
      <c r="O501" t="inlineStr">
        <is>
          <t>eng</t>
        </is>
      </c>
      <c r="P501" t="inlineStr">
        <is>
          <t>cau</t>
        </is>
      </c>
      <c r="Q501" t="inlineStr">
        <is>
          <t>Reading the past</t>
        </is>
      </c>
      <c r="R501" t="inlineStr">
        <is>
          <t xml:space="preserve">P  </t>
        </is>
      </c>
      <c r="S501" t="n">
        <v>6</v>
      </c>
      <c r="T501" t="n">
        <v>6</v>
      </c>
      <c r="U501" t="inlineStr">
        <is>
          <t>1999-09-13</t>
        </is>
      </c>
      <c r="V501" t="inlineStr">
        <is>
          <t>1999-09-13</t>
        </is>
      </c>
      <c r="W501" t="inlineStr">
        <is>
          <t>1992-11-13</t>
        </is>
      </c>
      <c r="X501" t="inlineStr">
        <is>
          <t>1992-11-13</t>
        </is>
      </c>
      <c r="Y501" t="n">
        <v>620</v>
      </c>
      <c r="Z501" t="n">
        <v>556</v>
      </c>
      <c r="AA501" t="n">
        <v>587</v>
      </c>
      <c r="AB501" t="n">
        <v>4</v>
      </c>
      <c r="AC501" t="n">
        <v>4</v>
      </c>
      <c r="AD501" t="n">
        <v>28</v>
      </c>
      <c r="AE501" t="n">
        <v>29</v>
      </c>
      <c r="AF501" t="n">
        <v>11</v>
      </c>
      <c r="AG501" t="n">
        <v>11</v>
      </c>
      <c r="AH501" t="n">
        <v>6</v>
      </c>
      <c r="AI501" t="n">
        <v>6</v>
      </c>
      <c r="AJ501" t="n">
        <v>15</v>
      </c>
      <c r="AK501" t="n">
        <v>16</v>
      </c>
      <c r="AL501" t="n">
        <v>3</v>
      </c>
      <c r="AM501" t="n">
        <v>3</v>
      </c>
      <c r="AN501" t="n">
        <v>0</v>
      </c>
      <c r="AO501" t="n">
        <v>0</v>
      </c>
      <c r="AP501" t="inlineStr">
        <is>
          <t>No</t>
        </is>
      </c>
      <c r="AQ501" t="inlineStr">
        <is>
          <t>Yes</t>
        </is>
      </c>
      <c r="AR501">
        <f>HYPERLINK("http://catalog.hathitrust.org/Record/000846010","HathiTrust Record")</f>
        <v/>
      </c>
      <c r="AS501">
        <f>HYPERLINK("https://creighton-primo.hosted.exlibrisgroup.com/primo-explore/search?tab=default_tab&amp;search_scope=EVERYTHING&amp;vid=01CRU&amp;lang=en_US&amp;offset=0&amp;query=any,contains,991000909789702656","Catalog Record")</f>
        <v/>
      </c>
      <c r="AT501">
        <f>HYPERLINK("http://www.worldcat.org/oclc/14130420","WorldCat Record")</f>
        <v/>
      </c>
      <c r="AU501" t="inlineStr">
        <is>
          <t>143837521:eng</t>
        </is>
      </c>
      <c r="AV501" t="inlineStr">
        <is>
          <t>14130420</t>
        </is>
      </c>
      <c r="AW501" t="inlineStr">
        <is>
          <t>991000909789702656</t>
        </is>
      </c>
      <c r="AX501" t="inlineStr">
        <is>
          <t>991000909789702656</t>
        </is>
      </c>
      <c r="AY501" t="inlineStr">
        <is>
          <t>2265223680002656</t>
        </is>
      </c>
      <c r="AZ501" t="inlineStr">
        <is>
          <t>BOOK</t>
        </is>
      </c>
      <c r="BB501" t="inlineStr">
        <is>
          <t>9780520060197</t>
        </is>
      </c>
      <c r="BC501" t="inlineStr">
        <is>
          <t>32285001384857</t>
        </is>
      </c>
      <c r="BD501" t="inlineStr">
        <is>
          <t>893784625</t>
        </is>
      </c>
      <c r="BE501" t="inlineStr">
        <is>
          <t>Fajardo Acosta</t>
        </is>
      </c>
    </row>
    <row r="502">
      <c r="A502" t="inlineStr">
        <is>
          <t>No</t>
        </is>
      </c>
      <c r="B502" t="inlineStr">
        <is>
          <t>P1035 .G67</t>
        </is>
      </c>
      <c r="C502" t="inlineStr">
        <is>
          <t>0                      P  1035000G  67</t>
        </is>
      </c>
      <c r="D502" t="inlineStr">
        <is>
          <t>Evidence for the Minoan language, by Cyrus H. Gordon.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K502" t="inlineStr">
        <is>
          <t>Gordon, Cyrus H. (Cyrus Herzl), 1908-2001.</t>
        </is>
      </c>
      <c r="L502" t="inlineStr">
        <is>
          <t>Ventnor, N.J., Ventnor Publishers [1966]</t>
        </is>
      </c>
      <c r="M502" t="inlineStr">
        <is>
          <t>1966</t>
        </is>
      </c>
      <c r="O502" t="inlineStr">
        <is>
          <t>eng</t>
        </is>
      </c>
      <c r="P502" t="inlineStr">
        <is>
          <t>___</t>
        </is>
      </c>
      <c r="R502" t="inlineStr">
        <is>
          <t xml:space="preserve">P  </t>
        </is>
      </c>
      <c r="S502" t="n">
        <v>2</v>
      </c>
      <c r="T502" t="n">
        <v>2</v>
      </c>
      <c r="U502" t="inlineStr">
        <is>
          <t>1999-09-13</t>
        </is>
      </c>
      <c r="V502" t="inlineStr">
        <is>
          <t>1999-09-13</t>
        </is>
      </c>
      <c r="W502" t="inlineStr">
        <is>
          <t>1993-04-06</t>
        </is>
      </c>
      <c r="X502" t="inlineStr">
        <is>
          <t>1993-04-06</t>
        </is>
      </c>
      <c r="Y502" t="n">
        <v>266</v>
      </c>
      <c r="Z502" t="n">
        <v>209</v>
      </c>
      <c r="AA502" t="n">
        <v>211</v>
      </c>
      <c r="AB502" t="n">
        <v>1</v>
      </c>
      <c r="AC502" t="n">
        <v>1</v>
      </c>
      <c r="AD502" t="n">
        <v>9</v>
      </c>
      <c r="AE502" t="n">
        <v>9</v>
      </c>
      <c r="AF502" t="n">
        <v>3</v>
      </c>
      <c r="AG502" t="n">
        <v>3</v>
      </c>
      <c r="AH502" t="n">
        <v>3</v>
      </c>
      <c r="AI502" t="n">
        <v>3</v>
      </c>
      <c r="AJ502" t="n">
        <v>6</v>
      </c>
      <c r="AK502" t="n">
        <v>6</v>
      </c>
      <c r="AL502" t="n">
        <v>0</v>
      </c>
      <c r="AM502" t="n">
        <v>0</v>
      </c>
      <c r="AN502" t="n">
        <v>0</v>
      </c>
      <c r="AO502" t="n">
        <v>0</v>
      </c>
      <c r="AP502" t="inlineStr">
        <is>
          <t>No</t>
        </is>
      </c>
      <c r="AQ502" t="inlineStr">
        <is>
          <t>Yes</t>
        </is>
      </c>
      <c r="AR502">
        <f>HYPERLINK("http://catalog.hathitrust.org/Record/001181256","HathiTrust Record")</f>
        <v/>
      </c>
      <c r="AS502">
        <f>HYPERLINK("https://creighton-primo.hosted.exlibrisgroup.com/primo-explore/search?tab=default_tab&amp;search_scope=EVERYTHING&amp;vid=01CRU&amp;lang=en_US&amp;offset=0&amp;query=any,contains,991003223249702656","Catalog Record")</f>
        <v/>
      </c>
      <c r="AT502">
        <f>HYPERLINK("http://www.worldcat.org/oclc/748577","WorldCat Record")</f>
        <v/>
      </c>
      <c r="AU502" t="inlineStr">
        <is>
          <t>1830447:eng</t>
        </is>
      </c>
      <c r="AV502" t="inlineStr">
        <is>
          <t>748577</t>
        </is>
      </c>
      <c r="AW502" t="inlineStr">
        <is>
          <t>991003223249702656</t>
        </is>
      </c>
      <c r="AX502" t="inlineStr">
        <is>
          <t>991003223249702656</t>
        </is>
      </c>
      <c r="AY502" t="inlineStr">
        <is>
          <t>2254879640002656</t>
        </is>
      </c>
      <c r="AZ502" t="inlineStr">
        <is>
          <t>BOOK</t>
        </is>
      </c>
      <c r="BC502" t="inlineStr">
        <is>
          <t>32285001614279</t>
        </is>
      </c>
      <c r="BD502" t="inlineStr">
        <is>
          <t>893317758</t>
        </is>
      </c>
      <c r="BE502" t="inlineStr">
        <is>
          <t>Fajardo Acosta</t>
        </is>
      </c>
    </row>
    <row r="503">
      <c r="A503" t="inlineStr">
        <is>
          <t>No</t>
        </is>
      </c>
      <c r="B503" t="inlineStr">
        <is>
          <t>P1035 .P28</t>
        </is>
      </c>
      <c r="C503" t="inlineStr">
        <is>
          <t>0                      P  1035000P  28</t>
        </is>
      </c>
      <c r="D503" t="inlineStr">
        <is>
          <t>Minoan Linear A / by David W. Packard.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K503" t="inlineStr">
        <is>
          <t>Packard, David W.</t>
        </is>
      </c>
      <c r="L503" t="inlineStr">
        <is>
          <t>Berkeley : University of California Press, 1974.</t>
        </is>
      </c>
      <c r="M503" t="inlineStr">
        <is>
          <t>1974</t>
        </is>
      </c>
      <c r="O503" t="inlineStr">
        <is>
          <t>eng</t>
        </is>
      </c>
      <c r="P503" t="inlineStr">
        <is>
          <t>cau</t>
        </is>
      </c>
      <c r="R503" t="inlineStr">
        <is>
          <t xml:space="preserve">P  </t>
        </is>
      </c>
      <c r="S503" t="n">
        <v>6</v>
      </c>
      <c r="T503" t="n">
        <v>6</v>
      </c>
      <c r="U503" t="inlineStr">
        <is>
          <t>1999-09-13</t>
        </is>
      </c>
      <c r="V503" t="inlineStr">
        <is>
          <t>1999-09-13</t>
        </is>
      </c>
      <c r="W503" t="inlineStr">
        <is>
          <t>1992-07-30</t>
        </is>
      </c>
      <c r="X503" t="inlineStr">
        <is>
          <t>1992-07-30</t>
        </is>
      </c>
      <c r="Y503" t="n">
        <v>399</v>
      </c>
      <c r="Z503" t="n">
        <v>310</v>
      </c>
      <c r="AA503" t="n">
        <v>311</v>
      </c>
      <c r="AB503" t="n">
        <v>2</v>
      </c>
      <c r="AC503" t="n">
        <v>2</v>
      </c>
      <c r="AD503" t="n">
        <v>13</v>
      </c>
      <c r="AE503" t="n">
        <v>13</v>
      </c>
      <c r="AF503" t="n">
        <v>3</v>
      </c>
      <c r="AG503" t="n">
        <v>3</v>
      </c>
      <c r="AH503" t="n">
        <v>4</v>
      </c>
      <c r="AI503" t="n">
        <v>4</v>
      </c>
      <c r="AJ503" t="n">
        <v>10</v>
      </c>
      <c r="AK503" t="n">
        <v>10</v>
      </c>
      <c r="AL503" t="n">
        <v>1</v>
      </c>
      <c r="AM503" t="n">
        <v>1</v>
      </c>
      <c r="AN503" t="n">
        <v>0</v>
      </c>
      <c r="AO503" t="n">
        <v>0</v>
      </c>
      <c r="AP503" t="inlineStr">
        <is>
          <t>No</t>
        </is>
      </c>
      <c r="AQ503" t="inlineStr">
        <is>
          <t>No</t>
        </is>
      </c>
      <c r="AS503">
        <f>HYPERLINK("https://creighton-primo.hosted.exlibrisgroup.com/primo-explore/search?tab=default_tab&amp;search_scope=EVERYTHING&amp;vid=01CRU&amp;lang=en_US&amp;offset=0&amp;query=any,contains,991003503089702656","Catalog Record")</f>
        <v/>
      </c>
      <c r="AT503">
        <f>HYPERLINK("http://www.worldcat.org/oclc/1055287","WorldCat Record")</f>
        <v/>
      </c>
      <c r="AU503" t="inlineStr">
        <is>
          <t>1976946:eng</t>
        </is>
      </c>
      <c r="AV503" t="inlineStr">
        <is>
          <t>1055287</t>
        </is>
      </c>
      <c r="AW503" t="inlineStr">
        <is>
          <t>991003503089702656</t>
        </is>
      </c>
      <c r="AX503" t="inlineStr">
        <is>
          <t>991003503089702656</t>
        </is>
      </c>
      <c r="AY503" t="inlineStr">
        <is>
          <t>2271755920002656</t>
        </is>
      </c>
      <c r="AZ503" t="inlineStr">
        <is>
          <t>BOOK</t>
        </is>
      </c>
      <c r="BB503" t="inlineStr">
        <is>
          <t>9780520025806</t>
        </is>
      </c>
      <c r="BC503" t="inlineStr">
        <is>
          <t>32285001240604</t>
        </is>
      </c>
      <c r="BD503" t="inlineStr">
        <is>
          <t>893348744</t>
        </is>
      </c>
      <c r="BE503" t="inlineStr">
        <is>
          <t>Fajardo Acosta</t>
        </is>
      </c>
    </row>
    <row r="504">
      <c r="A504" t="inlineStr">
        <is>
          <t>No</t>
        </is>
      </c>
      <c r="B504" t="inlineStr">
        <is>
          <t>P1035 .P6 1964</t>
        </is>
      </c>
      <c r="C504" t="inlineStr">
        <is>
          <t>0                      P  1035000P  6           1964</t>
        </is>
      </c>
      <c r="D504" t="inlineStr">
        <is>
          <t>Aegean writing and Linear A / by Maurice Pope.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K504" t="inlineStr">
        <is>
          <t>Pope, Maurice.</t>
        </is>
      </c>
      <c r="L504" t="inlineStr">
        <is>
          <t>Lund : [C. Bloms boktr., 1964]</t>
        </is>
      </c>
      <c r="M504" t="inlineStr">
        <is>
          <t>1964</t>
        </is>
      </c>
      <c r="O504" t="inlineStr">
        <is>
          <t>eng</t>
        </is>
      </c>
      <c r="P504" t="inlineStr">
        <is>
          <t xml:space="preserve">sw </t>
        </is>
      </c>
      <c r="Q504" t="inlineStr">
        <is>
          <t>Studies in Mediterranean archaeology ; v. 8</t>
        </is>
      </c>
      <c r="R504" t="inlineStr">
        <is>
          <t xml:space="preserve">P  </t>
        </is>
      </c>
      <c r="S504" t="n">
        <v>2</v>
      </c>
      <c r="T504" t="n">
        <v>2</v>
      </c>
      <c r="U504" t="inlineStr">
        <is>
          <t>1999-12-03</t>
        </is>
      </c>
      <c r="V504" t="inlineStr">
        <is>
          <t>1999-12-03</t>
        </is>
      </c>
      <c r="W504" t="inlineStr">
        <is>
          <t>1997-05-19</t>
        </is>
      </c>
      <c r="X504" t="inlineStr">
        <is>
          <t>1997-05-19</t>
        </is>
      </c>
      <c r="Y504" t="n">
        <v>163</v>
      </c>
      <c r="Z504" t="n">
        <v>115</v>
      </c>
      <c r="AA504" t="n">
        <v>116</v>
      </c>
      <c r="AB504" t="n">
        <v>1</v>
      </c>
      <c r="AC504" t="n">
        <v>1</v>
      </c>
      <c r="AD504" t="n">
        <v>6</v>
      </c>
      <c r="AE504" t="n">
        <v>6</v>
      </c>
      <c r="AF504" t="n">
        <v>0</v>
      </c>
      <c r="AG504" t="n">
        <v>0</v>
      </c>
      <c r="AH504" t="n">
        <v>2</v>
      </c>
      <c r="AI504" t="n">
        <v>2</v>
      </c>
      <c r="AJ504" t="n">
        <v>4</v>
      </c>
      <c r="AK504" t="n">
        <v>4</v>
      </c>
      <c r="AL504" t="n">
        <v>0</v>
      </c>
      <c r="AM504" t="n">
        <v>0</v>
      </c>
      <c r="AN504" t="n">
        <v>0</v>
      </c>
      <c r="AO504" t="n">
        <v>0</v>
      </c>
      <c r="AP504" t="inlineStr">
        <is>
          <t>No</t>
        </is>
      </c>
      <c r="AQ504" t="inlineStr">
        <is>
          <t>Yes</t>
        </is>
      </c>
      <c r="AR504">
        <f>HYPERLINK("http://catalog.hathitrust.org/Record/007125316","HathiTrust Record")</f>
        <v/>
      </c>
      <c r="AS504">
        <f>HYPERLINK("https://creighton-primo.hosted.exlibrisgroup.com/primo-explore/search?tab=default_tab&amp;search_scope=EVERYTHING&amp;vid=01CRU&amp;lang=en_US&amp;offset=0&amp;query=any,contains,991003919729702656","Catalog Record")</f>
        <v/>
      </c>
      <c r="AT504">
        <f>HYPERLINK("http://www.worldcat.org/oclc/1867787","WorldCat Record")</f>
        <v/>
      </c>
      <c r="AU504" t="inlineStr">
        <is>
          <t>2706275:eng</t>
        </is>
      </c>
      <c r="AV504" t="inlineStr">
        <is>
          <t>1867787</t>
        </is>
      </c>
      <c r="AW504" t="inlineStr">
        <is>
          <t>991003919729702656</t>
        </is>
      </c>
      <c r="AX504" t="inlineStr">
        <is>
          <t>991003919729702656</t>
        </is>
      </c>
      <c r="AY504" t="inlineStr">
        <is>
          <t>2265661090002656</t>
        </is>
      </c>
      <c r="AZ504" t="inlineStr">
        <is>
          <t>BOOK</t>
        </is>
      </c>
      <c r="BC504" t="inlineStr">
        <is>
          <t>32285002609179</t>
        </is>
      </c>
      <c r="BD504" t="inlineStr">
        <is>
          <t>893881829</t>
        </is>
      </c>
      <c r="BE504" t="inlineStr">
        <is>
          <t>Fajardo Acosta</t>
        </is>
      </c>
    </row>
    <row r="505">
      <c r="A505" t="inlineStr">
        <is>
          <t>No</t>
        </is>
      </c>
      <c r="B505" t="inlineStr">
        <is>
          <t>P105 .B58 1966</t>
        </is>
      </c>
      <c r="C505" t="inlineStr">
        <is>
          <t>0                      P  0105000B  58          1966</t>
        </is>
      </c>
      <c r="D505" t="inlineStr">
        <is>
          <t>Introduction to Handbook of American Indian languages [by] Franz Boas. Indian linguistic families of America north of Mexico [by] J. W. Powell. Edited by Preston Holder.</t>
        </is>
      </c>
      <c r="F505" t="inlineStr">
        <is>
          <t>No</t>
        </is>
      </c>
      <c r="G505" t="inlineStr">
        <is>
          <t>1</t>
        </is>
      </c>
      <c r="H505" t="inlineStr">
        <is>
          <t>No</t>
        </is>
      </c>
      <c r="I505" t="inlineStr">
        <is>
          <t>No</t>
        </is>
      </c>
      <c r="J505" t="inlineStr">
        <is>
          <t>0</t>
        </is>
      </c>
      <c r="K505" t="inlineStr">
        <is>
          <t>Boas, Franz, 1858-1942.</t>
        </is>
      </c>
      <c r="L505" t="inlineStr">
        <is>
          <t>Lincoln, University of Nebraska Press [1966]</t>
        </is>
      </c>
      <c r="M505" t="inlineStr">
        <is>
          <t>1966</t>
        </is>
      </c>
      <c r="O505" t="inlineStr">
        <is>
          <t>eng</t>
        </is>
      </c>
      <c r="P505" t="inlineStr">
        <is>
          <t>nbu</t>
        </is>
      </c>
      <c r="Q505" t="inlineStr">
        <is>
          <t>A Bison book, BB301</t>
        </is>
      </c>
      <c r="R505" t="inlineStr">
        <is>
          <t xml:space="preserve">P  </t>
        </is>
      </c>
      <c r="S505" t="n">
        <v>1</v>
      </c>
      <c r="T505" t="n">
        <v>1</v>
      </c>
      <c r="U505" t="inlineStr">
        <is>
          <t>2001-01-31</t>
        </is>
      </c>
      <c r="V505" t="inlineStr">
        <is>
          <t>2001-01-31</t>
        </is>
      </c>
      <c r="W505" t="inlineStr">
        <is>
          <t>1997-08-18</t>
        </is>
      </c>
      <c r="X505" t="inlineStr">
        <is>
          <t>1997-08-18</t>
        </is>
      </c>
      <c r="Y505" t="n">
        <v>772</v>
      </c>
      <c r="Z505" t="n">
        <v>699</v>
      </c>
      <c r="AA505" t="n">
        <v>929</v>
      </c>
      <c r="AB505" t="n">
        <v>13</v>
      </c>
      <c r="AC505" t="n">
        <v>16</v>
      </c>
      <c r="AD505" t="n">
        <v>24</v>
      </c>
      <c r="AE505" t="n">
        <v>39</v>
      </c>
      <c r="AF505" t="n">
        <v>5</v>
      </c>
      <c r="AG505" t="n">
        <v>11</v>
      </c>
      <c r="AH505" t="n">
        <v>5</v>
      </c>
      <c r="AI505" t="n">
        <v>9</v>
      </c>
      <c r="AJ505" t="n">
        <v>11</v>
      </c>
      <c r="AK505" t="n">
        <v>16</v>
      </c>
      <c r="AL505" t="n">
        <v>6</v>
      </c>
      <c r="AM505" t="n">
        <v>9</v>
      </c>
      <c r="AN505" t="n">
        <v>2</v>
      </c>
      <c r="AO505" t="n">
        <v>2</v>
      </c>
      <c r="AP505" t="inlineStr">
        <is>
          <t>No</t>
        </is>
      </c>
      <c r="AQ505" t="inlineStr">
        <is>
          <t>Yes</t>
        </is>
      </c>
      <c r="AR505">
        <f>HYPERLINK("http://catalog.hathitrust.org/Record/001180899","HathiTrust Record")</f>
        <v/>
      </c>
      <c r="AS505">
        <f>HYPERLINK("https://creighton-primo.hosted.exlibrisgroup.com/primo-explore/search?tab=default_tab&amp;search_scope=EVERYTHING&amp;vid=01CRU&amp;lang=en_US&amp;offset=0&amp;query=any,contains,991002265769702656","Catalog Record")</f>
        <v/>
      </c>
      <c r="AT505">
        <f>HYPERLINK("http://www.worldcat.org/oclc/306926","WorldCat Record")</f>
        <v/>
      </c>
      <c r="AU505" t="inlineStr">
        <is>
          <t>2830084498:eng</t>
        </is>
      </c>
      <c r="AV505" t="inlineStr">
        <is>
          <t>306926</t>
        </is>
      </c>
      <c r="AW505" t="inlineStr">
        <is>
          <t>991002265769702656</t>
        </is>
      </c>
      <c r="AX505" t="inlineStr">
        <is>
          <t>991002265769702656</t>
        </is>
      </c>
      <c r="AY505" t="inlineStr">
        <is>
          <t>2266154200002656</t>
        </is>
      </c>
      <c r="AZ505" t="inlineStr">
        <is>
          <t>BOOK</t>
        </is>
      </c>
      <c r="BC505" t="inlineStr">
        <is>
          <t>32285003095840</t>
        </is>
      </c>
      <c r="BD505" t="inlineStr">
        <is>
          <t>893773404</t>
        </is>
      </c>
      <c r="BE505" t="inlineStr">
        <is>
          <t>Fajardo Acosta</t>
        </is>
      </c>
    </row>
    <row r="506">
      <c r="A506" t="inlineStr">
        <is>
          <t>No</t>
        </is>
      </c>
      <c r="B506" t="inlineStr">
        <is>
          <t>P106 .O5</t>
        </is>
      </c>
      <c r="C506" t="inlineStr">
        <is>
          <t>0                      P  0106000O  5</t>
        </is>
      </c>
      <c r="D506" t="inlineStr">
        <is>
          <t>The presence of the word; some prolegomena for cultural and religious history, by Walter J. Ong.</t>
        </is>
      </c>
      <c r="F506" t="inlineStr">
        <is>
          <t>No</t>
        </is>
      </c>
      <c r="G506" t="inlineStr">
        <is>
          <t>1</t>
        </is>
      </c>
      <c r="H506" t="inlineStr">
        <is>
          <t>No</t>
        </is>
      </c>
      <c r="I506" t="inlineStr">
        <is>
          <t>Yes</t>
        </is>
      </c>
      <c r="J506" t="inlineStr">
        <is>
          <t>0</t>
        </is>
      </c>
      <c r="K506" t="inlineStr">
        <is>
          <t>Ong, Walter J.</t>
        </is>
      </c>
      <c r="L506" t="inlineStr">
        <is>
          <t>New Haven, Yale University Press, 1967.</t>
        </is>
      </c>
      <c r="M506" t="inlineStr">
        <is>
          <t>1967</t>
        </is>
      </c>
      <c r="O506" t="inlineStr">
        <is>
          <t>eng</t>
        </is>
      </c>
      <c r="P506" t="inlineStr">
        <is>
          <t>ctu</t>
        </is>
      </c>
      <c r="Q506" t="inlineStr">
        <is>
          <t>The Terry lectures</t>
        </is>
      </c>
      <c r="R506" t="inlineStr">
        <is>
          <t xml:space="preserve">P  </t>
        </is>
      </c>
      <c r="S506" t="n">
        <v>12</v>
      </c>
      <c r="T506" t="n">
        <v>12</v>
      </c>
      <c r="U506" t="inlineStr">
        <is>
          <t>2009-09-10</t>
        </is>
      </c>
      <c r="V506" t="inlineStr">
        <is>
          <t>2009-09-10</t>
        </is>
      </c>
      <c r="W506" t="inlineStr">
        <is>
          <t>1997-08-18</t>
        </is>
      </c>
      <c r="X506" t="inlineStr">
        <is>
          <t>1997-08-18</t>
        </is>
      </c>
      <c r="Y506" t="n">
        <v>937</v>
      </c>
      <c r="Z506" t="n">
        <v>804</v>
      </c>
      <c r="AA506" t="n">
        <v>1052</v>
      </c>
      <c r="AB506" t="n">
        <v>8</v>
      </c>
      <c r="AC506" t="n">
        <v>9</v>
      </c>
      <c r="AD506" t="n">
        <v>47</v>
      </c>
      <c r="AE506" t="n">
        <v>57</v>
      </c>
      <c r="AF506" t="n">
        <v>17</v>
      </c>
      <c r="AG506" t="n">
        <v>22</v>
      </c>
      <c r="AH506" t="n">
        <v>9</v>
      </c>
      <c r="AI506" t="n">
        <v>11</v>
      </c>
      <c r="AJ506" t="n">
        <v>26</v>
      </c>
      <c r="AK506" t="n">
        <v>29</v>
      </c>
      <c r="AL506" t="n">
        <v>7</v>
      </c>
      <c r="AM506" t="n">
        <v>8</v>
      </c>
      <c r="AN506" t="n">
        <v>0</v>
      </c>
      <c r="AO506" t="n">
        <v>1</v>
      </c>
      <c r="AP506" t="inlineStr">
        <is>
          <t>No</t>
        </is>
      </c>
      <c r="AQ506" t="inlineStr">
        <is>
          <t>No</t>
        </is>
      </c>
      <c r="AS506">
        <f>HYPERLINK("https://creighton-primo.hosted.exlibrisgroup.com/primo-explore/search?tab=default_tab&amp;search_scope=EVERYTHING&amp;vid=01CRU&amp;lang=en_US&amp;offset=0&amp;query=any,contains,991005355909702656","Catalog Record")</f>
        <v/>
      </c>
      <c r="AT506">
        <f>HYPERLINK("http://www.worldcat.org/oclc/586274","WorldCat Record")</f>
        <v/>
      </c>
      <c r="AU506" t="inlineStr">
        <is>
          <t>1102461945:eng</t>
        </is>
      </c>
      <c r="AV506" t="inlineStr">
        <is>
          <t>586274</t>
        </is>
      </c>
      <c r="AW506" t="inlineStr">
        <is>
          <t>991005355909702656</t>
        </is>
      </c>
      <c r="AX506" t="inlineStr">
        <is>
          <t>991005355909702656</t>
        </is>
      </c>
      <c r="AY506" t="inlineStr">
        <is>
          <t>2269068960002656</t>
        </is>
      </c>
      <c r="AZ506" t="inlineStr">
        <is>
          <t>BOOK</t>
        </is>
      </c>
      <c r="BC506" t="inlineStr">
        <is>
          <t>32285003096525</t>
        </is>
      </c>
      <c r="BD506" t="inlineStr">
        <is>
          <t>893695182</t>
        </is>
      </c>
      <c r="BE506" t="inlineStr">
        <is>
          <t>Fajardo Acosta</t>
        </is>
      </c>
    </row>
    <row r="507">
      <c r="A507" t="inlineStr">
        <is>
          <t>No</t>
        </is>
      </c>
      <c r="B507" t="inlineStr">
        <is>
          <t>P107 .S93 2001</t>
        </is>
      </c>
      <c r="C507" t="inlineStr">
        <is>
          <t>0                      P  0107000S  93          2001</t>
        </is>
      </c>
      <c r="D507" t="inlineStr">
        <is>
          <t>Words of the world : the global language system / Abram de Swaan.</t>
        </is>
      </c>
      <c r="F507" t="inlineStr">
        <is>
          <t>No</t>
        </is>
      </c>
      <c r="G507" t="inlineStr">
        <is>
          <t>1</t>
        </is>
      </c>
      <c r="H507" t="inlineStr">
        <is>
          <t>No</t>
        </is>
      </c>
      <c r="I507" t="inlineStr">
        <is>
          <t>No</t>
        </is>
      </c>
      <c r="J507" t="inlineStr">
        <is>
          <t>0</t>
        </is>
      </c>
      <c r="K507" t="inlineStr">
        <is>
          <t>Swaan, Abram de, 1942-</t>
        </is>
      </c>
      <c r="L507" t="inlineStr">
        <is>
          <t>Cambridge, UK : Polity ; Malden, MA : Blackwell, 2001.</t>
        </is>
      </c>
      <c r="M507" t="inlineStr">
        <is>
          <t>2001</t>
        </is>
      </c>
      <c r="O507" t="inlineStr">
        <is>
          <t>eng</t>
        </is>
      </c>
      <c r="P507" t="inlineStr">
        <is>
          <t>enk</t>
        </is>
      </c>
      <c r="R507" t="inlineStr">
        <is>
          <t xml:space="preserve">P  </t>
        </is>
      </c>
      <c r="S507" t="n">
        <v>2</v>
      </c>
      <c r="T507" t="n">
        <v>2</v>
      </c>
      <c r="U507" t="inlineStr">
        <is>
          <t>2003-11-24</t>
        </is>
      </c>
      <c r="V507" t="inlineStr">
        <is>
          <t>2003-11-24</t>
        </is>
      </c>
      <c r="W507" t="inlineStr">
        <is>
          <t>2002-04-22</t>
        </is>
      </c>
      <c r="X507" t="inlineStr">
        <is>
          <t>2002-04-22</t>
        </is>
      </c>
      <c r="Y507" t="n">
        <v>279</v>
      </c>
      <c r="Z507" t="n">
        <v>170</v>
      </c>
      <c r="AA507" t="n">
        <v>188</v>
      </c>
      <c r="AB507" t="n">
        <v>2</v>
      </c>
      <c r="AC507" t="n">
        <v>2</v>
      </c>
      <c r="AD507" t="n">
        <v>5</v>
      </c>
      <c r="AE507" t="n">
        <v>6</v>
      </c>
      <c r="AF507" t="n">
        <v>2</v>
      </c>
      <c r="AG507" t="n">
        <v>3</v>
      </c>
      <c r="AH507" t="n">
        <v>1</v>
      </c>
      <c r="AI507" t="n">
        <v>2</v>
      </c>
      <c r="AJ507" t="n">
        <v>3</v>
      </c>
      <c r="AK507" t="n">
        <v>3</v>
      </c>
      <c r="AL507" t="n">
        <v>1</v>
      </c>
      <c r="AM507" t="n">
        <v>1</v>
      </c>
      <c r="AN507" t="n">
        <v>0</v>
      </c>
      <c r="AO507" t="n">
        <v>0</v>
      </c>
      <c r="AP507" t="inlineStr">
        <is>
          <t>No</t>
        </is>
      </c>
      <c r="AQ507" t="inlineStr">
        <is>
          <t>Yes</t>
        </is>
      </c>
      <c r="AR507">
        <f>HYPERLINK("http://catalog.hathitrust.org/Record/004216044","HathiTrust Record")</f>
        <v/>
      </c>
      <c r="AS507">
        <f>HYPERLINK("https://creighton-primo.hosted.exlibrisgroup.com/primo-explore/search?tab=default_tab&amp;search_scope=EVERYTHING&amp;vid=01CRU&amp;lang=en_US&amp;offset=0&amp;query=any,contains,991003775169702656","Catalog Record")</f>
        <v/>
      </c>
      <c r="AT507">
        <f>HYPERLINK("http://www.worldcat.org/oclc/47650565","WorldCat Record")</f>
        <v/>
      </c>
      <c r="AU507" t="inlineStr">
        <is>
          <t>353947824:eng</t>
        </is>
      </c>
      <c r="AV507" t="inlineStr">
        <is>
          <t>47650565</t>
        </is>
      </c>
      <c r="AW507" t="inlineStr">
        <is>
          <t>991003775169702656</t>
        </is>
      </c>
      <c r="AX507" t="inlineStr">
        <is>
          <t>991003775169702656</t>
        </is>
      </c>
      <c r="AY507" t="inlineStr">
        <is>
          <t>2260090000002656</t>
        </is>
      </c>
      <c r="AZ507" t="inlineStr">
        <is>
          <t>BOOK</t>
        </is>
      </c>
      <c r="BB507" t="inlineStr">
        <is>
          <t>9780745627472</t>
        </is>
      </c>
      <c r="BC507" t="inlineStr">
        <is>
          <t>32285004481924</t>
        </is>
      </c>
      <c r="BD507" t="inlineStr">
        <is>
          <t>893699405</t>
        </is>
      </c>
      <c r="BE507" t="inlineStr">
        <is>
          <t>Fajardo Acosta</t>
        </is>
      </c>
    </row>
    <row r="508">
      <c r="A508" t="inlineStr">
        <is>
          <t>No</t>
        </is>
      </c>
      <c r="B508" t="inlineStr">
        <is>
          <t>P1078 .B58 1983</t>
        </is>
      </c>
      <c r="C508" t="inlineStr">
        <is>
          <t>0                      P  1078000B  58          1983</t>
        </is>
      </c>
      <c r="D508" t="inlineStr">
        <is>
          <t>The Etruscan language : an introduction / Giuliano Bonfante and Larissa Bonfante.</t>
        </is>
      </c>
      <c r="F508" t="inlineStr">
        <is>
          <t>No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K508" t="inlineStr">
        <is>
          <t>Bonfante, Giuliano, 1904-2005.</t>
        </is>
      </c>
      <c r="L508" t="inlineStr">
        <is>
          <t>New York : New York University Press, 1983.</t>
        </is>
      </c>
      <c r="M508" t="inlineStr">
        <is>
          <t>1983</t>
        </is>
      </c>
      <c r="O508" t="inlineStr">
        <is>
          <t>eng</t>
        </is>
      </c>
      <c r="P508" t="inlineStr">
        <is>
          <t>nyu</t>
        </is>
      </c>
      <c r="R508" t="inlineStr">
        <is>
          <t xml:space="preserve">P  </t>
        </is>
      </c>
      <c r="S508" t="n">
        <v>4</v>
      </c>
      <c r="T508" t="n">
        <v>4</v>
      </c>
      <c r="U508" t="inlineStr">
        <is>
          <t>2000-08-22</t>
        </is>
      </c>
      <c r="V508" t="inlineStr">
        <is>
          <t>2000-08-22</t>
        </is>
      </c>
      <c r="W508" t="inlineStr">
        <is>
          <t>1993-04-06</t>
        </is>
      </c>
      <c r="X508" t="inlineStr">
        <is>
          <t>1993-04-06</t>
        </is>
      </c>
      <c r="Y508" t="n">
        <v>263</v>
      </c>
      <c r="Z508" t="n">
        <v>236</v>
      </c>
      <c r="AA508" t="n">
        <v>340</v>
      </c>
      <c r="AB508" t="n">
        <v>1</v>
      </c>
      <c r="AC508" t="n">
        <v>2</v>
      </c>
      <c r="AD508" t="n">
        <v>6</v>
      </c>
      <c r="AE508" t="n">
        <v>16</v>
      </c>
      <c r="AF508" t="n">
        <v>0</v>
      </c>
      <c r="AG508" t="n">
        <v>4</v>
      </c>
      <c r="AH508" t="n">
        <v>4</v>
      </c>
      <c r="AI508" t="n">
        <v>6</v>
      </c>
      <c r="AJ508" t="n">
        <v>3</v>
      </c>
      <c r="AK508" t="n">
        <v>10</v>
      </c>
      <c r="AL508" t="n">
        <v>0</v>
      </c>
      <c r="AM508" t="n">
        <v>1</v>
      </c>
      <c r="AN508" t="n">
        <v>0</v>
      </c>
      <c r="AO508" t="n">
        <v>0</v>
      </c>
      <c r="AP508" t="inlineStr">
        <is>
          <t>No</t>
        </is>
      </c>
      <c r="AQ508" t="inlineStr">
        <is>
          <t>No</t>
        </is>
      </c>
      <c r="AS508">
        <f>HYPERLINK("https://creighton-primo.hosted.exlibrisgroup.com/primo-explore/search?tab=default_tab&amp;search_scope=EVERYTHING&amp;vid=01CRU&amp;lang=en_US&amp;offset=0&amp;query=any,contains,991000250889702656","Catalog Record")</f>
        <v/>
      </c>
      <c r="AT508">
        <f>HYPERLINK("http://www.worldcat.org/oclc/9757050","WorldCat Record")</f>
        <v/>
      </c>
      <c r="AU508" t="inlineStr">
        <is>
          <t>6267751:eng</t>
        </is>
      </c>
      <c r="AV508" t="inlineStr">
        <is>
          <t>9757050</t>
        </is>
      </c>
      <c r="AW508" t="inlineStr">
        <is>
          <t>991000250889702656</t>
        </is>
      </c>
      <c r="AX508" t="inlineStr">
        <is>
          <t>991000250889702656</t>
        </is>
      </c>
      <c r="AY508" t="inlineStr">
        <is>
          <t>2255253670002656</t>
        </is>
      </c>
      <c r="AZ508" t="inlineStr">
        <is>
          <t>BOOK</t>
        </is>
      </c>
      <c r="BB508" t="inlineStr">
        <is>
          <t>9780814710470</t>
        </is>
      </c>
      <c r="BC508" t="inlineStr">
        <is>
          <t>32285001614287</t>
        </is>
      </c>
      <c r="BD508" t="inlineStr">
        <is>
          <t>893614049</t>
        </is>
      </c>
      <c r="BE508" t="inlineStr">
        <is>
          <t>Fajardo Acosta</t>
        </is>
      </c>
    </row>
    <row r="509">
      <c r="A509" t="inlineStr">
        <is>
          <t>No</t>
        </is>
      </c>
      <c r="B509" t="inlineStr">
        <is>
          <t>P123 .B3813 1968b</t>
        </is>
      </c>
      <c r="C509" t="inlineStr">
        <is>
          <t>0                      P  0123000B  3813        1968b</t>
        </is>
      </c>
      <c r="D509" t="inlineStr">
        <is>
          <t>Elements of semiology / Translated from the French by Annette Lavers and Colin Smith.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K509" t="inlineStr">
        <is>
          <t>Barthes, Roland.</t>
        </is>
      </c>
      <c r="L509" t="inlineStr">
        <is>
          <t>New York : Hill and Wang, 1968.</t>
        </is>
      </c>
      <c r="M509" t="inlineStr">
        <is>
          <t>1968</t>
        </is>
      </c>
      <c r="N509" t="inlineStr">
        <is>
          <t>[1st American ed.]</t>
        </is>
      </c>
      <c r="O509" t="inlineStr">
        <is>
          <t>eng</t>
        </is>
      </c>
      <c r="P509" t="inlineStr">
        <is>
          <t>nyu</t>
        </is>
      </c>
      <c r="R509" t="inlineStr">
        <is>
          <t xml:space="preserve">P  </t>
        </is>
      </c>
      <c r="S509" t="n">
        <v>2</v>
      </c>
      <c r="T509" t="n">
        <v>2</v>
      </c>
      <c r="U509" t="inlineStr">
        <is>
          <t>2006-11-08</t>
        </is>
      </c>
      <c r="V509" t="inlineStr">
        <is>
          <t>2006-11-08</t>
        </is>
      </c>
      <c r="W509" t="inlineStr">
        <is>
          <t>1992-12-07</t>
        </is>
      </c>
      <c r="X509" t="inlineStr">
        <is>
          <t>1992-12-07</t>
        </is>
      </c>
      <c r="Y509" t="n">
        <v>715</v>
      </c>
      <c r="Z509" t="n">
        <v>588</v>
      </c>
      <c r="AA509" t="n">
        <v>686</v>
      </c>
      <c r="AB509" t="n">
        <v>5</v>
      </c>
      <c r="AC509" t="n">
        <v>5</v>
      </c>
      <c r="AD509" t="n">
        <v>34</v>
      </c>
      <c r="AE509" t="n">
        <v>36</v>
      </c>
      <c r="AF509" t="n">
        <v>14</v>
      </c>
      <c r="AG509" t="n">
        <v>15</v>
      </c>
      <c r="AH509" t="n">
        <v>9</v>
      </c>
      <c r="AI509" t="n">
        <v>9</v>
      </c>
      <c r="AJ509" t="n">
        <v>18</v>
      </c>
      <c r="AK509" t="n">
        <v>19</v>
      </c>
      <c r="AL509" t="n">
        <v>4</v>
      </c>
      <c r="AM509" t="n">
        <v>4</v>
      </c>
      <c r="AN509" t="n">
        <v>0</v>
      </c>
      <c r="AO509" t="n">
        <v>0</v>
      </c>
      <c r="AP509" t="inlineStr">
        <is>
          <t>No</t>
        </is>
      </c>
      <c r="AQ509" t="inlineStr">
        <is>
          <t>No</t>
        </is>
      </c>
      <c r="AS509">
        <f>HYPERLINK("https://creighton-primo.hosted.exlibrisgroup.com/primo-explore/search?tab=default_tab&amp;search_scope=EVERYTHING&amp;vid=01CRU&amp;lang=en_US&amp;offset=0&amp;query=any,contains,991002806249702656","Catalog Record")</f>
        <v/>
      </c>
      <c r="AT509">
        <f>HYPERLINK("http://www.worldcat.org/oclc/449697","WorldCat Record")</f>
        <v/>
      </c>
      <c r="AU509" t="inlineStr">
        <is>
          <t>8908672310:eng</t>
        </is>
      </c>
      <c r="AV509" t="inlineStr">
        <is>
          <t>449697</t>
        </is>
      </c>
      <c r="AW509" t="inlineStr">
        <is>
          <t>991002806249702656</t>
        </is>
      </c>
      <c r="AX509" t="inlineStr">
        <is>
          <t>991002806249702656</t>
        </is>
      </c>
      <c r="AY509" t="inlineStr">
        <is>
          <t>2265433630002656</t>
        </is>
      </c>
      <c r="AZ509" t="inlineStr">
        <is>
          <t>BOOK</t>
        </is>
      </c>
      <c r="BC509" t="inlineStr">
        <is>
          <t>32285001465904</t>
        </is>
      </c>
      <c r="BD509" t="inlineStr">
        <is>
          <t>893498558</t>
        </is>
      </c>
      <c r="BE509" t="inlineStr">
        <is>
          <t>Fajardo Acosta</t>
        </is>
      </c>
    </row>
    <row r="510">
      <c r="A510" t="inlineStr">
        <is>
          <t>No</t>
        </is>
      </c>
      <c r="B510" t="inlineStr">
        <is>
          <t>P131 .G76</t>
        </is>
      </c>
      <c r="C510" t="inlineStr">
        <is>
          <t>0                      P  0131000G  76</t>
        </is>
      </c>
      <c r="D510" t="inlineStr">
        <is>
          <t>Über den Ursprung der Sprache; gelesen in der Preussischen Akademie der Wissenschaften am 9. January 1851. Mit einem Nachwort von M. Rassem.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K510" t="inlineStr">
        <is>
          <t>Grimm, Jacob, 1785-1863.</t>
        </is>
      </c>
      <c r="L510" t="inlineStr">
        <is>
          <t>[Wiesbaden] Insel Verlag [1958]</t>
        </is>
      </c>
      <c r="M510" t="inlineStr">
        <is>
          <t>1958</t>
        </is>
      </c>
      <c r="O510" t="inlineStr">
        <is>
          <t>ger</t>
        </is>
      </c>
      <c r="P510" t="inlineStr">
        <is>
          <t xml:space="preserve">gw </t>
        </is>
      </c>
      <c r="Q510" t="inlineStr">
        <is>
          <t>Insel Bücherei, 120</t>
        </is>
      </c>
      <c r="R510" t="inlineStr">
        <is>
          <t xml:space="preserve">P  </t>
        </is>
      </c>
      <c r="S510" t="n">
        <v>1</v>
      </c>
      <c r="T510" t="n">
        <v>1</v>
      </c>
      <c r="U510" t="inlineStr">
        <is>
          <t>2008-03-11</t>
        </is>
      </c>
      <c r="V510" t="inlineStr">
        <is>
          <t>2008-03-11</t>
        </is>
      </c>
      <c r="W510" t="inlineStr">
        <is>
          <t>1997-08-18</t>
        </is>
      </c>
      <c r="X510" t="inlineStr">
        <is>
          <t>1997-08-18</t>
        </is>
      </c>
      <c r="Y510" t="n">
        <v>43</v>
      </c>
      <c r="Z510" t="n">
        <v>24</v>
      </c>
      <c r="AA510" t="n">
        <v>24</v>
      </c>
      <c r="AB510" t="n">
        <v>1</v>
      </c>
      <c r="AC510" t="n">
        <v>1</v>
      </c>
      <c r="AD510" t="n">
        <v>0</v>
      </c>
      <c r="AE510" t="n">
        <v>0</v>
      </c>
      <c r="AF510" t="n">
        <v>0</v>
      </c>
      <c r="AG510" t="n">
        <v>0</v>
      </c>
      <c r="AH510" t="n">
        <v>0</v>
      </c>
      <c r="AI510" t="n">
        <v>0</v>
      </c>
      <c r="AJ510" t="n">
        <v>0</v>
      </c>
      <c r="AK510" t="n">
        <v>0</v>
      </c>
      <c r="AL510" t="n">
        <v>0</v>
      </c>
      <c r="AM510" t="n">
        <v>0</v>
      </c>
      <c r="AN510" t="n">
        <v>0</v>
      </c>
      <c r="AO510" t="n">
        <v>0</v>
      </c>
      <c r="AP510" t="inlineStr">
        <is>
          <t>No</t>
        </is>
      </c>
      <c r="AQ510" t="inlineStr">
        <is>
          <t>No</t>
        </is>
      </c>
      <c r="AS510">
        <f>HYPERLINK("https://creighton-primo.hosted.exlibrisgroup.com/primo-explore/search?tab=default_tab&amp;search_scope=EVERYTHING&amp;vid=01CRU&amp;lang=en_US&amp;offset=0&amp;query=any,contains,991004401009702656","Catalog Record")</f>
        <v/>
      </c>
      <c r="AT510">
        <f>HYPERLINK("http://www.worldcat.org/oclc/3300947","WorldCat Record")</f>
        <v/>
      </c>
      <c r="AU510" t="inlineStr">
        <is>
          <t>4020307729:ger</t>
        </is>
      </c>
      <c r="AV510" t="inlineStr">
        <is>
          <t>3300947</t>
        </is>
      </c>
      <c r="AW510" t="inlineStr">
        <is>
          <t>991004401009702656</t>
        </is>
      </c>
      <c r="AX510" t="inlineStr">
        <is>
          <t>991004401009702656</t>
        </is>
      </c>
      <c r="AY510" t="inlineStr">
        <is>
          <t>2266251290002656</t>
        </is>
      </c>
      <c r="AZ510" t="inlineStr">
        <is>
          <t>BOOK</t>
        </is>
      </c>
      <c r="BC510" t="inlineStr">
        <is>
          <t>32285003097432</t>
        </is>
      </c>
      <c r="BD510" t="inlineStr">
        <is>
          <t>893718859</t>
        </is>
      </c>
      <c r="BE510" t="inlineStr">
        <is>
          <t>Fajardo Acosta</t>
        </is>
      </c>
    </row>
    <row r="511">
      <c r="A511" t="inlineStr">
        <is>
          <t>No</t>
        </is>
      </c>
      <c r="B511" t="inlineStr">
        <is>
          <t>P132 .L53 1984</t>
        </is>
      </c>
      <c r="C511" t="inlineStr">
        <is>
          <t>0                      P  0132000L  53          1984</t>
        </is>
      </c>
      <c r="D511" t="inlineStr">
        <is>
          <t>The biology and evolution of language / Philip Lieberman.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K511" t="inlineStr">
        <is>
          <t>Lieberman, Philip.</t>
        </is>
      </c>
      <c r="L511" t="inlineStr">
        <is>
          <t>Cambridge, Mass. : Harvard University Press, 1984.</t>
        </is>
      </c>
      <c r="M511" t="inlineStr">
        <is>
          <t>1984</t>
        </is>
      </c>
      <c r="O511" t="inlineStr">
        <is>
          <t>eng</t>
        </is>
      </c>
      <c r="P511" t="inlineStr">
        <is>
          <t>mau</t>
        </is>
      </c>
      <c r="R511" t="inlineStr">
        <is>
          <t xml:space="preserve">P  </t>
        </is>
      </c>
      <c r="S511" t="n">
        <v>11</v>
      </c>
      <c r="T511" t="n">
        <v>11</v>
      </c>
      <c r="U511" t="inlineStr">
        <is>
          <t>2007-02-05</t>
        </is>
      </c>
      <c r="V511" t="inlineStr">
        <is>
          <t>2007-02-05</t>
        </is>
      </c>
      <c r="W511" t="inlineStr">
        <is>
          <t>1990-08-13</t>
        </is>
      </c>
      <c r="X511" t="inlineStr">
        <is>
          <t>1990-08-13</t>
        </is>
      </c>
      <c r="Y511" t="n">
        <v>653</v>
      </c>
      <c r="Z511" t="n">
        <v>442</v>
      </c>
      <c r="AA511" t="n">
        <v>448</v>
      </c>
      <c r="AB511" t="n">
        <v>5</v>
      </c>
      <c r="AC511" t="n">
        <v>5</v>
      </c>
      <c r="AD511" t="n">
        <v>25</v>
      </c>
      <c r="AE511" t="n">
        <v>25</v>
      </c>
      <c r="AF511" t="n">
        <v>9</v>
      </c>
      <c r="AG511" t="n">
        <v>9</v>
      </c>
      <c r="AH511" t="n">
        <v>8</v>
      </c>
      <c r="AI511" t="n">
        <v>8</v>
      </c>
      <c r="AJ511" t="n">
        <v>10</v>
      </c>
      <c r="AK511" t="n">
        <v>10</v>
      </c>
      <c r="AL511" t="n">
        <v>4</v>
      </c>
      <c r="AM511" t="n">
        <v>4</v>
      </c>
      <c r="AN511" t="n">
        <v>0</v>
      </c>
      <c r="AO511" t="n">
        <v>0</v>
      </c>
      <c r="AP511" t="inlineStr">
        <is>
          <t>No</t>
        </is>
      </c>
      <c r="AQ511" t="inlineStr">
        <is>
          <t>Yes</t>
        </is>
      </c>
      <c r="AR511">
        <f>HYPERLINK("http://catalog.hathitrust.org/Record/000323377","HathiTrust Record")</f>
        <v/>
      </c>
      <c r="AS511">
        <f>HYPERLINK("https://creighton-primo.hosted.exlibrisgroup.com/primo-explore/search?tab=default_tab&amp;search_scope=EVERYTHING&amp;vid=01CRU&amp;lang=en_US&amp;offset=0&amp;query=any,contains,991000306409702656","Catalog Record")</f>
        <v/>
      </c>
      <c r="AT511">
        <f>HYPERLINK("http://www.worldcat.org/oclc/10071298","WorldCat Record")</f>
        <v/>
      </c>
      <c r="AU511" t="inlineStr">
        <is>
          <t>3047139:eng</t>
        </is>
      </c>
      <c r="AV511" t="inlineStr">
        <is>
          <t>10071298</t>
        </is>
      </c>
      <c r="AW511" t="inlineStr">
        <is>
          <t>991000306409702656</t>
        </is>
      </c>
      <c r="AX511" t="inlineStr">
        <is>
          <t>991000306409702656</t>
        </is>
      </c>
      <c r="AY511" t="inlineStr">
        <is>
          <t>2264938710002656</t>
        </is>
      </c>
      <c r="AZ511" t="inlineStr">
        <is>
          <t>BOOK</t>
        </is>
      </c>
      <c r="BB511" t="inlineStr">
        <is>
          <t>9780674074125</t>
        </is>
      </c>
      <c r="BC511" t="inlineStr">
        <is>
          <t>32285000273283</t>
        </is>
      </c>
      <c r="BD511" t="inlineStr">
        <is>
          <t>893407080</t>
        </is>
      </c>
      <c r="BE511" t="inlineStr">
        <is>
          <t>Fajardo Acosta</t>
        </is>
      </c>
    </row>
    <row r="512">
      <c r="A512" t="inlineStr">
        <is>
          <t>No</t>
        </is>
      </c>
      <c r="B512" t="inlineStr">
        <is>
          <t>P211 .M16 1975</t>
        </is>
      </c>
      <c r="C512" t="inlineStr">
        <is>
          <t>0                      P  0211000M  16          1975</t>
        </is>
      </c>
      <c r="D512" t="inlineStr">
        <is>
          <t>The antiquity of the Greek alphabet and the early Phoenician scripts / by P. Kyle McCarter, Jr. --</t>
        </is>
      </c>
      <c r="F512" t="inlineStr">
        <is>
          <t>No</t>
        </is>
      </c>
      <c r="G512" t="inlineStr">
        <is>
          <t>1</t>
        </is>
      </c>
      <c r="H512" t="inlineStr">
        <is>
          <t>No</t>
        </is>
      </c>
      <c r="I512" t="inlineStr">
        <is>
          <t>No</t>
        </is>
      </c>
      <c r="J512" t="inlineStr">
        <is>
          <t>0</t>
        </is>
      </c>
      <c r="K512" t="inlineStr">
        <is>
          <t>McCarter, P. Kyle (Peter Kyle), 1945-</t>
        </is>
      </c>
      <c r="L512" t="inlineStr">
        <is>
          <t>Missoula, Mont. : Published by Scholars Press for Harvard Semitic Museum, c1975.</t>
        </is>
      </c>
      <c r="M512" t="inlineStr">
        <is>
          <t>1975</t>
        </is>
      </c>
      <c r="O512" t="inlineStr">
        <is>
          <t>eng</t>
        </is>
      </c>
      <c r="P512" t="inlineStr">
        <is>
          <t>mtu</t>
        </is>
      </c>
      <c r="Q512" t="inlineStr">
        <is>
          <t>Harvard Semitic monographs ; no. 9</t>
        </is>
      </c>
      <c r="R512" t="inlineStr">
        <is>
          <t xml:space="preserve">P  </t>
        </is>
      </c>
      <c r="S512" t="n">
        <v>4</v>
      </c>
      <c r="T512" t="n">
        <v>4</v>
      </c>
      <c r="U512" t="inlineStr">
        <is>
          <t>2002-09-24</t>
        </is>
      </c>
      <c r="V512" t="inlineStr">
        <is>
          <t>2002-09-24</t>
        </is>
      </c>
      <c r="W512" t="inlineStr">
        <is>
          <t>1993-04-01</t>
        </is>
      </c>
      <c r="X512" t="inlineStr">
        <is>
          <t>1993-04-01</t>
        </is>
      </c>
      <c r="Y512" t="n">
        <v>198</v>
      </c>
      <c r="Z512" t="n">
        <v>155</v>
      </c>
      <c r="AA512" t="n">
        <v>162</v>
      </c>
      <c r="AB512" t="n">
        <v>2</v>
      </c>
      <c r="AC512" t="n">
        <v>2</v>
      </c>
      <c r="AD512" t="n">
        <v>5</v>
      </c>
      <c r="AE512" t="n">
        <v>5</v>
      </c>
      <c r="AF512" t="n">
        <v>1</v>
      </c>
      <c r="AG512" t="n">
        <v>1</v>
      </c>
      <c r="AH512" t="n">
        <v>3</v>
      </c>
      <c r="AI512" t="n">
        <v>3</v>
      </c>
      <c r="AJ512" t="n">
        <v>1</v>
      </c>
      <c r="AK512" t="n">
        <v>1</v>
      </c>
      <c r="AL512" t="n">
        <v>1</v>
      </c>
      <c r="AM512" t="n">
        <v>1</v>
      </c>
      <c r="AN512" t="n">
        <v>0</v>
      </c>
      <c r="AO512" t="n">
        <v>0</v>
      </c>
      <c r="AP512" t="inlineStr">
        <is>
          <t>No</t>
        </is>
      </c>
      <c r="AQ512" t="inlineStr">
        <is>
          <t>No</t>
        </is>
      </c>
      <c r="AS512">
        <f>HYPERLINK("https://creighton-primo.hosted.exlibrisgroup.com/primo-explore/search?tab=default_tab&amp;search_scope=EVERYTHING&amp;vid=01CRU&amp;lang=en_US&amp;offset=0&amp;query=any,contains,991004055389702656","Catalog Record")</f>
        <v/>
      </c>
      <c r="AT512">
        <f>HYPERLINK("http://www.worldcat.org/oclc/2224902","WorldCat Record")</f>
        <v/>
      </c>
      <c r="AU512" t="inlineStr">
        <is>
          <t>4393261:eng</t>
        </is>
      </c>
      <c r="AV512" t="inlineStr">
        <is>
          <t>2224902</t>
        </is>
      </c>
      <c r="AW512" t="inlineStr">
        <is>
          <t>991004055389702656</t>
        </is>
      </c>
      <c r="AX512" t="inlineStr">
        <is>
          <t>991004055389702656</t>
        </is>
      </c>
      <c r="AY512" t="inlineStr">
        <is>
          <t>2259056680002656</t>
        </is>
      </c>
      <c r="AZ512" t="inlineStr">
        <is>
          <t>BOOK</t>
        </is>
      </c>
      <c r="BB512" t="inlineStr">
        <is>
          <t>9780891300663</t>
        </is>
      </c>
      <c r="BC512" t="inlineStr">
        <is>
          <t>32285001613784</t>
        </is>
      </c>
      <c r="BD512" t="inlineStr">
        <is>
          <t>893627957</t>
        </is>
      </c>
      <c r="BE512" t="inlineStr">
        <is>
          <t>Fajardo Acosta</t>
        </is>
      </c>
    </row>
    <row r="513">
      <c r="A513" t="inlineStr">
        <is>
          <t>No</t>
        </is>
      </c>
      <c r="B513" t="inlineStr">
        <is>
          <t>P211 .N29 1987</t>
        </is>
      </c>
      <c r="C513" t="inlineStr">
        <is>
          <t>0                      P  0211000N  29          1987</t>
        </is>
      </c>
      <c r="D513" t="inlineStr">
        <is>
          <t>Early history of the alphabet : an introduction to West Semitic epigraphy and palaeography / by Joseph Naveh.</t>
        </is>
      </c>
      <c r="F513" t="inlineStr">
        <is>
          <t>No</t>
        </is>
      </c>
      <c r="G513" t="inlineStr">
        <is>
          <t>1</t>
        </is>
      </c>
      <c r="H513" t="inlineStr">
        <is>
          <t>No</t>
        </is>
      </c>
      <c r="I513" t="inlineStr">
        <is>
          <t>No</t>
        </is>
      </c>
      <c r="J513" t="inlineStr">
        <is>
          <t>0</t>
        </is>
      </c>
      <c r="K513" t="inlineStr">
        <is>
          <t>Naveh, Joseph.</t>
        </is>
      </c>
      <c r="L513" t="inlineStr">
        <is>
          <t>Jerusalem : Magnes Press, Hebrew University ; Leiden : E.J. Brill, 1987</t>
        </is>
      </c>
      <c r="M513" t="inlineStr">
        <is>
          <t>1987</t>
        </is>
      </c>
      <c r="N513" t="inlineStr">
        <is>
          <t>2nd rev. ed.</t>
        </is>
      </c>
      <c r="O513" t="inlineStr">
        <is>
          <t>eng</t>
        </is>
      </c>
      <c r="P513" t="inlineStr">
        <is>
          <t xml:space="preserve">is </t>
        </is>
      </c>
      <c r="R513" t="inlineStr">
        <is>
          <t xml:space="preserve">P  </t>
        </is>
      </c>
      <c r="S513" t="n">
        <v>1</v>
      </c>
      <c r="T513" t="n">
        <v>1</v>
      </c>
      <c r="U513" t="inlineStr">
        <is>
          <t>2009-05-28</t>
        </is>
      </c>
      <c r="V513" t="inlineStr">
        <is>
          <t>2009-05-28</t>
        </is>
      </c>
      <c r="W513" t="inlineStr">
        <is>
          <t>2009-05-28</t>
        </is>
      </c>
      <c r="X513" t="inlineStr">
        <is>
          <t>2009-05-28</t>
        </is>
      </c>
      <c r="Y513" t="n">
        <v>81</v>
      </c>
      <c r="Z513" t="n">
        <v>59</v>
      </c>
      <c r="AA513" t="n">
        <v>296</v>
      </c>
      <c r="AB513" t="n">
        <v>1</v>
      </c>
      <c r="AC513" t="n">
        <v>1</v>
      </c>
      <c r="AD513" t="n">
        <v>6</v>
      </c>
      <c r="AE513" t="n">
        <v>14</v>
      </c>
      <c r="AF513" t="n">
        <v>5</v>
      </c>
      <c r="AG513" t="n">
        <v>8</v>
      </c>
      <c r="AH513" t="n">
        <v>0</v>
      </c>
      <c r="AI513" t="n">
        <v>2</v>
      </c>
      <c r="AJ513" t="n">
        <v>3</v>
      </c>
      <c r="AK513" t="n">
        <v>9</v>
      </c>
      <c r="AL513" t="n">
        <v>0</v>
      </c>
      <c r="AM513" t="n">
        <v>0</v>
      </c>
      <c r="AN513" t="n">
        <v>0</v>
      </c>
      <c r="AO513" t="n">
        <v>0</v>
      </c>
      <c r="AP513" t="inlineStr">
        <is>
          <t>No</t>
        </is>
      </c>
      <c r="AQ513" t="inlineStr">
        <is>
          <t>No</t>
        </is>
      </c>
      <c r="AS513">
        <f>HYPERLINK("https://creighton-primo.hosted.exlibrisgroup.com/primo-explore/search?tab=default_tab&amp;search_scope=EVERYTHING&amp;vid=01CRU&amp;lang=en_US&amp;offset=0&amp;query=any,contains,991005319719702656","Catalog Record")</f>
        <v/>
      </c>
      <c r="AT513">
        <f>HYPERLINK("http://www.worldcat.org/oclc/18592857","WorldCat Record")</f>
        <v/>
      </c>
      <c r="AU513" t="inlineStr">
        <is>
          <t>395019:eng</t>
        </is>
      </c>
      <c r="AV513" t="inlineStr">
        <is>
          <t>18592857</t>
        </is>
      </c>
      <c r="AW513" t="inlineStr">
        <is>
          <t>991005319719702656</t>
        </is>
      </c>
      <c r="AX513" t="inlineStr">
        <is>
          <t>991005319719702656</t>
        </is>
      </c>
      <c r="AY513" t="inlineStr">
        <is>
          <t>2261363590002656</t>
        </is>
      </c>
      <c r="AZ513" t="inlineStr">
        <is>
          <t>BOOK</t>
        </is>
      </c>
      <c r="BC513" t="inlineStr">
        <is>
          <t>32285005533194</t>
        </is>
      </c>
      <c r="BD513" t="inlineStr">
        <is>
          <t>893527299</t>
        </is>
      </c>
      <c r="BE513" t="inlineStr">
        <is>
          <t>Fajardo Acosta</t>
        </is>
      </c>
    </row>
    <row r="514">
      <c r="A514" t="inlineStr">
        <is>
          <t>No</t>
        </is>
      </c>
      <c r="B514" t="inlineStr">
        <is>
          <t>P211 .S69 1983</t>
        </is>
      </c>
      <c r="C514" t="inlineStr">
        <is>
          <t>0                      P  0211000S  69          1983</t>
        </is>
      </c>
      <c r="D514" t="inlineStr">
        <is>
          <t>The implications of literacy : written language and models of interpretation in the eleventh and twelfth centuries / Brian Stock.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K514" t="inlineStr">
        <is>
          <t>Stock, Brian.</t>
        </is>
      </c>
      <c r="L514" t="inlineStr">
        <is>
          <t>Princeton, N.J. : Princeton University Press, c1983.</t>
        </is>
      </c>
      <c r="M514" t="inlineStr">
        <is>
          <t>1983</t>
        </is>
      </c>
      <c r="O514" t="inlineStr">
        <is>
          <t>eng</t>
        </is>
      </c>
      <c r="P514" t="inlineStr">
        <is>
          <t>nju</t>
        </is>
      </c>
      <c r="R514" t="inlineStr">
        <is>
          <t xml:space="preserve">P  </t>
        </is>
      </c>
      <c r="S514" t="n">
        <v>5</v>
      </c>
      <c r="T514" t="n">
        <v>5</v>
      </c>
      <c r="U514" t="inlineStr">
        <is>
          <t>2001-10-15</t>
        </is>
      </c>
      <c r="V514" t="inlineStr">
        <is>
          <t>2001-10-15</t>
        </is>
      </c>
      <c r="W514" t="inlineStr">
        <is>
          <t>1990-02-06</t>
        </is>
      </c>
      <c r="X514" t="inlineStr">
        <is>
          <t>1990-02-06</t>
        </is>
      </c>
      <c r="Y514" t="n">
        <v>667</v>
      </c>
      <c r="Z514" t="n">
        <v>486</v>
      </c>
      <c r="AA514" t="n">
        <v>631</v>
      </c>
      <c r="AB514" t="n">
        <v>4</v>
      </c>
      <c r="AC514" t="n">
        <v>5</v>
      </c>
      <c r="AD514" t="n">
        <v>33</v>
      </c>
      <c r="AE514" t="n">
        <v>40</v>
      </c>
      <c r="AF514" t="n">
        <v>14</v>
      </c>
      <c r="AG514" t="n">
        <v>17</v>
      </c>
      <c r="AH514" t="n">
        <v>5</v>
      </c>
      <c r="AI514" t="n">
        <v>8</v>
      </c>
      <c r="AJ514" t="n">
        <v>17</v>
      </c>
      <c r="AK514" t="n">
        <v>20</v>
      </c>
      <c r="AL514" t="n">
        <v>3</v>
      </c>
      <c r="AM514" t="n">
        <v>4</v>
      </c>
      <c r="AN514" t="n">
        <v>1</v>
      </c>
      <c r="AO514" t="n">
        <v>1</v>
      </c>
      <c r="AP514" t="inlineStr">
        <is>
          <t>No</t>
        </is>
      </c>
      <c r="AQ514" t="inlineStr">
        <is>
          <t>No</t>
        </is>
      </c>
      <c r="AS514">
        <f>HYPERLINK("https://creighton-primo.hosted.exlibrisgroup.com/primo-explore/search?tab=default_tab&amp;search_scope=EVERYTHING&amp;vid=01CRU&amp;lang=en_US&amp;offset=0&amp;query=any,contains,991000019259702656","Catalog Record")</f>
        <v/>
      </c>
      <c r="AT514">
        <f>HYPERLINK("http://www.worldcat.org/oclc/8554299","WorldCat Record")</f>
        <v/>
      </c>
      <c r="AU514" t="inlineStr">
        <is>
          <t>441589:eng</t>
        </is>
      </c>
      <c r="AV514" t="inlineStr">
        <is>
          <t>8554299</t>
        </is>
      </c>
      <c r="AW514" t="inlineStr">
        <is>
          <t>991000019259702656</t>
        </is>
      </c>
      <c r="AX514" t="inlineStr">
        <is>
          <t>991000019259702656</t>
        </is>
      </c>
      <c r="AY514" t="inlineStr">
        <is>
          <t>2256264400002656</t>
        </is>
      </c>
      <c r="AZ514" t="inlineStr">
        <is>
          <t>BOOK</t>
        </is>
      </c>
      <c r="BB514" t="inlineStr">
        <is>
          <t>9780691053684</t>
        </is>
      </c>
      <c r="BC514" t="inlineStr">
        <is>
          <t>32285000033273</t>
        </is>
      </c>
      <c r="BD514" t="inlineStr">
        <is>
          <t>893777598</t>
        </is>
      </c>
      <c r="BE514" t="inlineStr">
        <is>
          <t>Fajardo Acosta</t>
        </is>
      </c>
    </row>
    <row r="515">
      <c r="A515" t="inlineStr">
        <is>
          <t>No</t>
        </is>
      </c>
      <c r="B515" t="inlineStr">
        <is>
          <t>P221 .J3</t>
        </is>
      </c>
      <c r="C515" t="inlineStr">
        <is>
          <t>0                      P  0221000J  3</t>
        </is>
      </c>
      <c r="D515" t="inlineStr">
        <is>
          <t>Fundamentals of language, by Roman Jakobson and Morris Halle.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K515" t="inlineStr">
        <is>
          <t>Jakobson, Roman, 1896-1982.</t>
        </is>
      </c>
      <c r="L515" t="inlineStr">
        <is>
          <t>'s-Gravenhage, Mouton, 1956.</t>
        </is>
      </c>
      <c r="M515" t="inlineStr">
        <is>
          <t>1956</t>
        </is>
      </c>
      <c r="O515" t="inlineStr">
        <is>
          <t>eng</t>
        </is>
      </c>
      <c r="P515" t="inlineStr">
        <is>
          <t xml:space="preserve">xx </t>
        </is>
      </c>
      <c r="Q515" t="inlineStr">
        <is>
          <t>Janua linguarum, nr. 1</t>
        </is>
      </c>
      <c r="R515" t="inlineStr">
        <is>
          <t xml:space="preserve">P  </t>
        </is>
      </c>
      <c r="S515" t="n">
        <v>2</v>
      </c>
      <c r="T515" t="n">
        <v>2</v>
      </c>
      <c r="U515" t="inlineStr">
        <is>
          <t>2005-04-07</t>
        </is>
      </c>
      <c r="V515" t="inlineStr">
        <is>
          <t>2005-04-07</t>
        </is>
      </c>
      <c r="W515" t="inlineStr">
        <is>
          <t>1997-08-19</t>
        </is>
      </c>
      <c r="X515" t="inlineStr">
        <is>
          <t>1997-08-19</t>
        </is>
      </c>
      <c r="Y515" t="n">
        <v>635</v>
      </c>
      <c r="Z515" t="n">
        <v>448</v>
      </c>
      <c r="AA515" t="n">
        <v>477</v>
      </c>
      <c r="AB515" t="n">
        <v>5</v>
      </c>
      <c r="AC515" t="n">
        <v>5</v>
      </c>
      <c r="AD515" t="n">
        <v>25</v>
      </c>
      <c r="AE515" t="n">
        <v>26</v>
      </c>
      <c r="AF515" t="n">
        <v>6</v>
      </c>
      <c r="AG515" t="n">
        <v>7</v>
      </c>
      <c r="AH515" t="n">
        <v>6</v>
      </c>
      <c r="AI515" t="n">
        <v>6</v>
      </c>
      <c r="AJ515" t="n">
        <v>13</v>
      </c>
      <c r="AK515" t="n">
        <v>14</v>
      </c>
      <c r="AL515" t="n">
        <v>4</v>
      </c>
      <c r="AM515" t="n">
        <v>4</v>
      </c>
      <c r="AN515" t="n">
        <v>0</v>
      </c>
      <c r="AO515" t="n">
        <v>0</v>
      </c>
      <c r="AP515" t="inlineStr">
        <is>
          <t>No</t>
        </is>
      </c>
      <c r="AQ515" t="inlineStr">
        <is>
          <t>Yes</t>
        </is>
      </c>
      <c r="AR515">
        <f>HYPERLINK("http://catalog.hathitrust.org/Record/001181101","HathiTrust Record")</f>
        <v/>
      </c>
      <c r="AS515">
        <f>HYPERLINK("https://creighton-primo.hosted.exlibrisgroup.com/primo-explore/search?tab=default_tab&amp;search_scope=EVERYTHING&amp;vid=01CRU&amp;lang=en_US&amp;offset=0&amp;query=any,contains,991002270799702656","Catalog Record")</f>
        <v/>
      </c>
      <c r="AT515">
        <f>HYPERLINK("http://www.worldcat.org/oclc/308137","WorldCat Record")</f>
        <v/>
      </c>
      <c r="AU515" t="inlineStr">
        <is>
          <t>118066424:eng</t>
        </is>
      </c>
      <c r="AV515" t="inlineStr">
        <is>
          <t>308137</t>
        </is>
      </c>
      <c r="AW515" t="inlineStr">
        <is>
          <t>991002270799702656</t>
        </is>
      </c>
      <c r="AX515" t="inlineStr">
        <is>
          <t>991002270799702656</t>
        </is>
      </c>
      <c r="AY515" t="inlineStr">
        <is>
          <t>2266218720002656</t>
        </is>
      </c>
      <c r="AZ515" t="inlineStr">
        <is>
          <t>BOOK</t>
        </is>
      </c>
      <c r="BC515" t="inlineStr">
        <is>
          <t>32285003097804</t>
        </is>
      </c>
      <c r="BD515" t="inlineStr">
        <is>
          <t>893517091</t>
        </is>
      </c>
      <c r="BE515" t="inlineStr">
        <is>
          <t>Fajardo Acosta</t>
        </is>
      </c>
    </row>
    <row r="516">
      <c r="A516" t="inlineStr">
        <is>
          <t>No</t>
        </is>
      </c>
      <c r="B516" t="inlineStr">
        <is>
          <t>P27 .C5</t>
        </is>
      </c>
      <c r="C516" t="inlineStr">
        <is>
          <t>0                      P  0027000C  5</t>
        </is>
      </c>
      <c r="D516" t="inlineStr">
        <is>
          <t>Chomsky : selected readings / edited by J. P. B. Allen and Paul Van Buren.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K516" t="inlineStr">
        <is>
          <t>Chomsky, Noam.</t>
        </is>
      </c>
      <c r="L516" t="inlineStr">
        <is>
          <t>London ; New York : Oxford University Press, 1971.</t>
        </is>
      </c>
      <c r="M516" t="inlineStr">
        <is>
          <t>1971</t>
        </is>
      </c>
      <c r="O516" t="inlineStr">
        <is>
          <t>eng</t>
        </is>
      </c>
      <c r="P516" t="inlineStr">
        <is>
          <t>enk</t>
        </is>
      </c>
      <c r="Q516" t="inlineStr">
        <is>
          <t>Language and language learning ; 31</t>
        </is>
      </c>
      <c r="R516" t="inlineStr">
        <is>
          <t xml:space="preserve">P  </t>
        </is>
      </c>
      <c r="S516" t="n">
        <v>7</v>
      </c>
      <c r="T516" t="n">
        <v>7</v>
      </c>
      <c r="U516" t="inlineStr">
        <is>
          <t>2005-05-01</t>
        </is>
      </c>
      <c r="V516" t="inlineStr">
        <is>
          <t>2005-05-01</t>
        </is>
      </c>
      <c r="W516" t="inlineStr">
        <is>
          <t>1990-04-04</t>
        </is>
      </c>
      <c r="X516" t="inlineStr">
        <is>
          <t>1990-04-04</t>
        </is>
      </c>
      <c r="Y516" t="n">
        <v>918</v>
      </c>
      <c r="Z516" t="n">
        <v>654</v>
      </c>
      <c r="AA516" t="n">
        <v>663</v>
      </c>
      <c r="AB516" t="n">
        <v>6</v>
      </c>
      <c r="AC516" t="n">
        <v>6</v>
      </c>
      <c r="AD516" t="n">
        <v>34</v>
      </c>
      <c r="AE516" t="n">
        <v>34</v>
      </c>
      <c r="AF516" t="n">
        <v>10</v>
      </c>
      <c r="AG516" t="n">
        <v>10</v>
      </c>
      <c r="AH516" t="n">
        <v>8</v>
      </c>
      <c r="AI516" t="n">
        <v>8</v>
      </c>
      <c r="AJ516" t="n">
        <v>20</v>
      </c>
      <c r="AK516" t="n">
        <v>20</v>
      </c>
      <c r="AL516" t="n">
        <v>5</v>
      </c>
      <c r="AM516" t="n">
        <v>5</v>
      </c>
      <c r="AN516" t="n">
        <v>0</v>
      </c>
      <c r="AO516" t="n">
        <v>0</v>
      </c>
      <c r="AP516" t="inlineStr">
        <is>
          <t>No</t>
        </is>
      </c>
      <c r="AQ516" t="inlineStr">
        <is>
          <t>Yes</t>
        </is>
      </c>
      <c r="AR516">
        <f>HYPERLINK("http://catalog.hathitrust.org/Record/001434663","HathiTrust Record")</f>
        <v/>
      </c>
      <c r="AS516">
        <f>HYPERLINK("https://creighton-primo.hosted.exlibrisgroup.com/primo-explore/search?tab=default_tab&amp;search_scope=EVERYTHING&amp;vid=01CRU&amp;lang=en_US&amp;offset=0&amp;query=any,contains,991000740499702656","Catalog Record")</f>
        <v/>
      </c>
      <c r="AT516">
        <f>HYPERLINK("http://www.worldcat.org/oclc/129256","WorldCat Record")</f>
        <v/>
      </c>
      <c r="AU516" t="inlineStr">
        <is>
          <t>22039902:eng</t>
        </is>
      </c>
      <c r="AV516" t="inlineStr">
        <is>
          <t>129256</t>
        </is>
      </c>
      <c r="AW516" t="inlineStr">
        <is>
          <t>991000740499702656</t>
        </is>
      </c>
      <c r="AX516" t="inlineStr">
        <is>
          <t>991000740499702656</t>
        </is>
      </c>
      <c r="AY516" t="inlineStr">
        <is>
          <t>2266628440002656</t>
        </is>
      </c>
      <c r="AZ516" t="inlineStr">
        <is>
          <t>BOOK</t>
        </is>
      </c>
      <c r="BB516" t="inlineStr">
        <is>
          <t>9780194371148</t>
        </is>
      </c>
      <c r="BC516" t="inlineStr">
        <is>
          <t>32285000101724</t>
        </is>
      </c>
      <c r="BD516" t="inlineStr">
        <is>
          <t>893255685</t>
        </is>
      </c>
      <c r="BE516" t="inlineStr">
        <is>
          <t>Fajardo Acosta</t>
        </is>
      </c>
    </row>
    <row r="517">
      <c r="A517" t="inlineStr">
        <is>
          <t>No</t>
        </is>
      </c>
      <c r="B517" t="inlineStr">
        <is>
          <t>P27 .S33</t>
        </is>
      </c>
      <c r="C517" t="inlineStr">
        <is>
          <t>0                      P  0027000S  33</t>
        </is>
      </c>
      <c r="D517" t="inlineStr">
        <is>
          <t>Selected writings of Edward Sapir in language, culture and personality edited by David G. Mandelbaum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Sapir, Edward, 1884-1939.</t>
        </is>
      </c>
      <c r="L517" t="inlineStr">
        <is>
          <t>Berkeley, CA University of California Press, [c1949]</t>
        </is>
      </c>
      <c r="M517" t="inlineStr">
        <is>
          <t>1949</t>
        </is>
      </c>
      <c r="O517" t="inlineStr">
        <is>
          <t>eng</t>
        </is>
      </c>
      <c r="P517" t="inlineStr">
        <is>
          <t xml:space="preserve">xx </t>
        </is>
      </c>
      <c r="R517" t="inlineStr">
        <is>
          <t xml:space="preserve">P  </t>
        </is>
      </c>
      <c r="S517" t="n">
        <v>4</v>
      </c>
      <c r="T517" t="n">
        <v>4</v>
      </c>
      <c r="U517" t="inlineStr">
        <is>
          <t>1999-12-05</t>
        </is>
      </c>
      <c r="V517" t="inlineStr">
        <is>
          <t>1999-12-05</t>
        </is>
      </c>
      <c r="W517" t="inlineStr">
        <is>
          <t>1997-08-11</t>
        </is>
      </c>
      <c r="X517" t="inlineStr">
        <is>
          <t>1997-08-11</t>
        </is>
      </c>
      <c r="Y517" t="n">
        <v>282</v>
      </c>
      <c r="Z517" t="n">
        <v>172</v>
      </c>
      <c r="AA517" t="n">
        <v>459</v>
      </c>
      <c r="AB517" t="n">
        <v>1</v>
      </c>
      <c r="AC517" t="n">
        <v>2</v>
      </c>
      <c r="AD517" t="n">
        <v>6</v>
      </c>
      <c r="AE517" t="n">
        <v>17</v>
      </c>
      <c r="AF517" t="n">
        <v>4</v>
      </c>
      <c r="AG517" t="n">
        <v>6</v>
      </c>
      <c r="AH517" t="n">
        <v>0</v>
      </c>
      <c r="AI517" t="n">
        <v>3</v>
      </c>
      <c r="AJ517" t="n">
        <v>3</v>
      </c>
      <c r="AK517" t="n">
        <v>10</v>
      </c>
      <c r="AL517" t="n">
        <v>0</v>
      </c>
      <c r="AM517" t="n">
        <v>1</v>
      </c>
      <c r="AN517" t="n">
        <v>0</v>
      </c>
      <c r="AO517" t="n">
        <v>0</v>
      </c>
      <c r="AP517" t="inlineStr">
        <is>
          <t>No</t>
        </is>
      </c>
      <c r="AQ517" t="inlineStr">
        <is>
          <t>No</t>
        </is>
      </c>
      <c r="AS517">
        <f>HYPERLINK("https://creighton-primo.hosted.exlibrisgroup.com/primo-explore/search?tab=default_tab&amp;search_scope=EVERYTHING&amp;vid=01CRU&amp;lang=en_US&amp;offset=0&amp;query=any,contains,991005142629702656","Catalog Record")</f>
        <v/>
      </c>
      <c r="AT517">
        <f>HYPERLINK("http://www.worldcat.org/oclc/7634052","WorldCat Record")</f>
        <v/>
      </c>
      <c r="AU517" t="inlineStr">
        <is>
          <t>886003:eng</t>
        </is>
      </c>
      <c r="AV517" t="inlineStr">
        <is>
          <t>7634052</t>
        </is>
      </c>
      <c r="AW517" t="inlineStr">
        <is>
          <t>991005142629702656</t>
        </is>
      </c>
      <c r="AX517" t="inlineStr">
        <is>
          <t>991005142629702656</t>
        </is>
      </c>
      <c r="AY517" t="inlineStr">
        <is>
          <t>2263738610002656</t>
        </is>
      </c>
      <c r="AZ517" t="inlineStr">
        <is>
          <t>BOOK</t>
        </is>
      </c>
      <c r="BB517" t="inlineStr">
        <is>
          <t>9780520011151</t>
        </is>
      </c>
      <c r="BC517" t="inlineStr">
        <is>
          <t>32285003049094</t>
        </is>
      </c>
      <c r="BD517" t="inlineStr">
        <is>
          <t>893801805</t>
        </is>
      </c>
      <c r="BE517" t="inlineStr">
        <is>
          <t>Fajardo Acosta</t>
        </is>
      </c>
    </row>
    <row r="518">
      <c r="A518" t="inlineStr">
        <is>
          <t>No</t>
        </is>
      </c>
      <c r="B518" t="inlineStr">
        <is>
          <t>P27 .S33 1956</t>
        </is>
      </c>
      <c r="C518" t="inlineStr">
        <is>
          <t>0                      P  0027000S  33          1956</t>
        </is>
      </c>
      <c r="D518" t="inlineStr">
        <is>
          <t>Culture, language and personality : selected essays / edited by David G. Mandelbaum.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Sapir, Edward, 1884-1939.</t>
        </is>
      </c>
      <c r="L518" t="inlineStr">
        <is>
          <t>Berkeley : University of California Press, 1956 [c1949]</t>
        </is>
      </c>
      <c r="M518" t="inlineStr">
        <is>
          <t>1956</t>
        </is>
      </c>
      <c r="N518" t="inlineStr">
        <is>
          <t>[1st paper-bound ed.]</t>
        </is>
      </c>
      <c r="O518" t="inlineStr">
        <is>
          <t>eng</t>
        </is>
      </c>
      <c r="P518" t="inlineStr">
        <is>
          <t>cau</t>
        </is>
      </c>
      <c r="R518" t="inlineStr">
        <is>
          <t xml:space="preserve">P  </t>
        </is>
      </c>
      <c r="S518" t="n">
        <v>8</v>
      </c>
      <c r="T518" t="n">
        <v>8</v>
      </c>
      <c r="U518" t="inlineStr">
        <is>
          <t>2005-04-07</t>
        </is>
      </c>
      <c r="V518" t="inlineStr">
        <is>
          <t>2005-04-07</t>
        </is>
      </c>
      <c r="W518" t="inlineStr">
        <is>
          <t>1993-03-30</t>
        </is>
      </c>
      <c r="X518" t="inlineStr">
        <is>
          <t>1993-03-30</t>
        </is>
      </c>
      <c r="Y518" t="n">
        <v>390</v>
      </c>
      <c r="Z518" t="n">
        <v>343</v>
      </c>
      <c r="AA518" t="n">
        <v>779</v>
      </c>
      <c r="AB518" t="n">
        <v>4</v>
      </c>
      <c r="AC518" t="n">
        <v>6</v>
      </c>
      <c r="AD518" t="n">
        <v>21</v>
      </c>
      <c r="AE518" t="n">
        <v>37</v>
      </c>
      <c r="AF518" t="n">
        <v>10</v>
      </c>
      <c r="AG518" t="n">
        <v>16</v>
      </c>
      <c r="AH518" t="n">
        <v>5</v>
      </c>
      <c r="AI518" t="n">
        <v>7</v>
      </c>
      <c r="AJ518" t="n">
        <v>9</v>
      </c>
      <c r="AK518" t="n">
        <v>17</v>
      </c>
      <c r="AL518" t="n">
        <v>3</v>
      </c>
      <c r="AM518" t="n">
        <v>5</v>
      </c>
      <c r="AN518" t="n">
        <v>0</v>
      </c>
      <c r="AO518" t="n">
        <v>0</v>
      </c>
      <c r="AP518" t="inlineStr">
        <is>
          <t>No</t>
        </is>
      </c>
      <c r="AQ518" t="inlineStr">
        <is>
          <t>No</t>
        </is>
      </c>
      <c r="AR518">
        <f>HYPERLINK("http://catalog.hathitrust.org/Record/001180654","HathiTrust Record")</f>
        <v/>
      </c>
      <c r="AS518">
        <f>HYPERLINK("https://creighton-primo.hosted.exlibrisgroup.com/primo-explore/search?tab=default_tab&amp;search_scope=EVERYTHING&amp;vid=01CRU&amp;lang=en_US&amp;offset=0&amp;query=any,contains,991004226639702656","Catalog Record")</f>
        <v/>
      </c>
      <c r="AT518">
        <f>HYPERLINK("http://www.worldcat.org/oclc/2732565","WorldCat Record")</f>
        <v/>
      </c>
      <c r="AU518" t="inlineStr">
        <is>
          <t>1359665:eng</t>
        </is>
      </c>
      <c r="AV518" t="inlineStr">
        <is>
          <t>2732565</t>
        </is>
      </c>
      <c r="AW518" t="inlineStr">
        <is>
          <t>991004226639702656</t>
        </is>
      </c>
      <c r="AX518" t="inlineStr">
        <is>
          <t>991004226639702656</t>
        </is>
      </c>
      <c r="AY518" t="inlineStr">
        <is>
          <t>2255721950002656</t>
        </is>
      </c>
      <c r="AZ518" t="inlineStr">
        <is>
          <t>BOOK</t>
        </is>
      </c>
      <c r="BC518" t="inlineStr">
        <is>
          <t>32285001610293</t>
        </is>
      </c>
      <c r="BD518" t="inlineStr">
        <is>
          <t>893869454</t>
        </is>
      </c>
      <c r="BE518" t="inlineStr">
        <is>
          <t>Fajardo Acosta</t>
        </is>
      </c>
    </row>
    <row r="519">
      <c r="A519" t="inlineStr">
        <is>
          <t>No</t>
        </is>
      </c>
      <c r="B519" t="inlineStr">
        <is>
          <t>P291 .C4</t>
        </is>
      </c>
      <c r="C519" t="inlineStr">
        <is>
          <t>0                      P  0291000C  4</t>
        </is>
      </c>
      <c r="D519" t="inlineStr">
        <is>
          <t>Aspects of the theory of syntax.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Chomsky, Noam.</t>
        </is>
      </c>
      <c r="L519" t="inlineStr">
        <is>
          <t>Cambridge, M.I.T. Press [1965]</t>
        </is>
      </c>
      <c r="M519" t="inlineStr">
        <is>
          <t>1965</t>
        </is>
      </c>
      <c r="O519" t="inlineStr">
        <is>
          <t>eng</t>
        </is>
      </c>
      <c r="P519" t="inlineStr">
        <is>
          <t>mau</t>
        </is>
      </c>
      <c r="Q519" t="inlineStr">
        <is>
          <t>Massachusetts Institute of Technology. Research Laboratory of Electronics. Special technical report no. 11</t>
        </is>
      </c>
      <c r="R519" t="inlineStr">
        <is>
          <t xml:space="preserve">P  </t>
        </is>
      </c>
      <c r="S519" t="n">
        <v>5</v>
      </c>
      <c r="T519" t="n">
        <v>5</v>
      </c>
      <c r="U519" t="inlineStr">
        <is>
          <t>1999-01-26</t>
        </is>
      </c>
      <c r="V519" t="inlineStr">
        <is>
          <t>1999-01-26</t>
        </is>
      </c>
      <c r="W519" t="inlineStr">
        <is>
          <t>1997-08-19</t>
        </is>
      </c>
      <c r="X519" t="inlineStr">
        <is>
          <t>1997-08-19</t>
        </is>
      </c>
      <c r="Y519" t="n">
        <v>1567</v>
      </c>
      <c r="Z519" t="n">
        <v>1231</v>
      </c>
      <c r="AA519" t="n">
        <v>1479</v>
      </c>
      <c r="AB519" t="n">
        <v>11</v>
      </c>
      <c r="AC519" t="n">
        <v>12</v>
      </c>
      <c r="AD519" t="n">
        <v>55</v>
      </c>
      <c r="AE519" t="n">
        <v>65</v>
      </c>
      <c r="AF519" t="n">
        <v>22</v>
      </c>
      <c r="AG519" t="n">
        <v>28</v>
      </c>
      <c r="AH519" t="n">
        <v>8</v>
      </c>
      <c r="AI519" t="n">
        <v>11</v>
      </c>
      <c r="AJ519" t="n">
        <v>26</v>
      </c>
      <c r="AK519" t="n">
        <v>27</v>
      </c>
      <c r="AL519" t="n">
        <v>10</v>
      </c>
      <c r="AM519" t="n">
        <v>11</v>
      </c>
      <c r="AN519" t="n">
        <v>1</v>
      </c>
      <c r="AO519" t="n">
        <v>2</v>
      </c>
      <c r="AP519" t="inlineStr">
        <is>
          <t>No</t>
        </is>
      </c>
      <c r="AQ519" t="inlineStr">
        <is>
          <t>No</t>
        </is>
      </c>
      <c r="AS519">
        <f>HYPERLINK("https://creighton-primo.hosted.exlibrisgroup.com/primo-explore/search?tab=default_tab&amp;search_scope=EVERYTHING&amp;vid=01CRU&amp;lang=en_US&amp;offset=0&amp;query=any,contains,991002274649702656","Catalog Record")</f>
        <v/>
      </c>
      <c r="AT519">
        <f>HYPERLINK("http://www.worldcat.org/oclc/309976","WorldCat Record")</f>
        <v/>
      </c>
      <c r="AU519" t="inlineStr">
        <is>
          <t>422382:eng</t>
        </is>
      </c>
      <c r="AV519" t="inlineStr">
        <is>
          <t>309976</t>
        </is>
      </c>
      <c r="AW519" t="inlineStr">
        <is>
          <t>991002274649702656</t>
        </is>
      </c>
      <c r="AX519" t="inlineStr">
        <is>
          <t>991002274649702656</t>
        </is>
      </c>
      <c r="AY519" t="inlineStr">
        <is>
          <t>2264648740002656</t>
        </is>
      </c>
      <c r="AZ519" t="inlineStr">
        <is>
          <t>BOOK</t>
        </is>
      </c>
      <c r="BC519" t="inlineStr">
        <is>
          <t>32285003097879</t>
        </is>
      </c>
      <c r="BD519" t="inlineStr">
        <is>
          <t>893685174</t>
        </is>
      </c>
      <c r="BE519" t="inlineStr">
        <is>
          <t>Fajardo Acosta</t>
        </is>
      </c>
    </row>
    <row r="520">
      <c r="A520" t="inlineStr">
        <is>
          <t>No</t>
        </is>
      </c>
      <c r="B520" t="inlineStr">
        <is>
          <t>P525 .R46 1990</t>
        </is>
      </c>
      <c r="C520" t="inlineStr">
        <is>
          <t>0                      P  0525000R  46          1990</t>
        </is>
      </c>
      <c r="D520" t="inlineStr">
        <is>
          <t>Archaeology and language : the puzzle of Indo-European origins / Colin Renfrew.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No</t>
        </is>
      </c>
      <c r="J520" t="inlineStr">
        <is>
          <t>0</t>
        </is>
      </c>
      <c r="K520" t="inlineStr">
        <is>
          <t>Renfrew, Colin, 1937-</t>
        </is>
      </c>
      <c r="L520" t="inlineStr">
        <is>
          <t>New York : Cambridge University Press, 1990, c1987.</t>
        </is>
      </c>
      <c r="M520" t="inlineStr">
        <is>
          <t>1990</t>
        </is>
      </c>
      <c r="N520" t="inlineStr">
        <is>
          <t>1st North American paperback ed.</t>
        </is>
      </c>
      <c r="O520" t="inlineStr">
        <is>
          <t>eng</t>
        </is>
      </c>
      <c r="P520" t="inlineStr">
        <is>
          <t>nyu</t>
        </is>
      </c>
      <c r="R520" t="inlineStr">
        <is>
          <t xml:space="preserve">P  </t>
        </is>
      </c>
      <c r="S520" t="n">
        <v>1</v>
      </c>
      <c r="T520" t="n">
        <v>1</v>
      </c>
      <c r="U520" t="inlineStr">
        <is>
          <t>2006-03-15</t>
        </is>
      </c>
      <c r="V520" t="inlineStr">
        <is>
          <t>2006-03-15</t>
        </is>
      </c>
      <c r="W520" t="inlineStr">
        <is>
          <t>2006-03-08</t>
        </is>
      </c>
      <c r="X520" t="inlineStr">
        <is>
          <t>2006-03-08</t>
        </is>
      </c>
      <c r="Y520" t="n">
        <v>176</v>
      </c>
      <c r="Z520" t="n">
        <v>164</v>
      </c>
      <c r="AA520" t="n">
        <v>767</v>
      </c>
      <c r="AB520" t="n">
        <v>2</v>
      </c>
      <c r="AC520" t="n">
        <v>5</v>
      </c>
      <c r="AD520" t="n">
        <v>7</v>
      </c>
      <c r="AE520" t="n">
        <v>30</v>
      </c>
      <c r="AF520" t="n">
        <v>3</v>
      </c>
      <c r="AG520" t="n">
        <v>12</v>
      </c>
      <c r="AH520" t="n">
        <v>2</v>
      </c>
      <c r="AI520" t="n">
        <v>9</v>
      </c>
      <c r="AJ520" t="n">
        <v>1</v>
      </c>
      <c r="AK520" t="n">
        <v>14</v>
      </c>
      <c r="AL520" t="n">
        <v>1</v>
      </c>
      <c r="AM520" t="n">
        <v>3</v>
      </c>
      <c r="AN520" t="n">
        <v>0</v>
      </c>
      <c r="AO520" t="n">
        <v>0</v>
      </c>
      <c r="AP520" t="inlineStr">
        <is>
          <t>No</t>
        </is>
      </c>
      <c r="AQ520" t="inlineStr">
        <is>
          <t>No</t>
        </is>
      </c>
      <c r="AS520">
        <f>HYPERLINK("https://creighton-primo.hosted.exlibrisgroup.com/primo-explore/search?tab=default_tab&amp;search_scope=EVERYTHING&amp;vid=01CRU&amp;lang=en_US&amp;offset=0&amp;query=any,contains,991004763589702656","Catalog Record")</f>
        <v/>
      </c>
      <c r="AT520">
        <f>HYPERLINK("http://www.worldcat.org/oclc/22606036","WorldCat Record")</f>
        <v/>
      </c>
      <c r="AU520" t="inlineStr">
        <is>
          <t>13643680:eng</t>
        </is>
      </c>
      <c r="AV520" t="inlineStr">
        <is>
          <t>22606036</t>
        </is>
      </c>
      <c r="AW520" t="inlineStr">
        <is>
          <t>991004763589702656</t>
        </is>
      </c>
      <c r="AX520" t="inlineStr">
        <is>
          <t>991004763589702656</t>
        </is>
      </c>
      <c r="AY520" t="inlineStr">
        <is>
          <t>2259415420002656</t>
        </is>
      </c>
      <c r="AZ520" t="inlineStr">
        <is>
          <t>BOOK</t>
        </is>
      </c>
      <c r="BB520" t="inlineStr">
        <is>
          <t>9780521386753</t>
        </is>
      </c>
      <c r="BC520" t="inlineStr">
        <is>
          <t>32285005165880</t>
        </is>
      </c>
      <c r="BD520" t="inlineStr">
        <is>
          <t>893260139</t>
        </is>
      </c>
      <c r="BE520" t="inlineStr">
        <is>
          <t>Fajardo Acosta</t>
        </is>
      </c>
    </row>
    <row r="521">
      <c r="A521" t="inlineStr">
        <is>
          <t>No</t>
        </is>
      </c>
      <c r="B521" t="inlineStr">
        <is>
          <t>P572 .G3613 1995</t>
        </is>
      </c>
      <c r="C521" t="inlineStr">
        <is>
          <t>0                      P  0572000G  3613        1995</t>
        </is>
      </c>
      <c r="D521" t="inlineStr">
        <is>
          <t>Indo-European and the Indo-Europeans : a reconstruction and historical analysis of a proto-language and a proto-culture / by Thomas V. Gamkrelidze, Vjačeslav V. Ivanov ; with a preface by Roman Jakobson ; English version by Johanna Nichols ; edited by Werner Winter.</t>
        </is>
      </c>
      <c r="E521" t="inlineStr">
        <is>
          <t>V. 1</t>
        </is>
      </c>
      <c r="F521" t="inlineStr">
        <is>
          <t>Yes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K521" t="inlineStr">
        <is>
          <t>Gamqreliże, Tʻamaz.</t>
        </is>
      </c>
      <c r="L521" t="inlineStr">
        <is>
          <t>Berlin ; New York : M. de Gruyter, 1995, c1994.</t>
        </is>
      </c>
      <c r="M521" t="inlineStr">
        <is>
          <t>1995</t>
        </is>
      </c>
      <c r="O521" t="inlineStr">
        <is>
          <t>eng</t>
        </is>
      </c>
      <c r="P521" t="inlineStr">
        <is>
          <t xml:space="preserve">gw </t>
        </is>
      </c>
      <c r="Q521" t="inlineStr">
        <is>
          <t>Trends in linguistics. Studies and monographs ; 80</t>
        </is>
      </c>
      <c r="R521" t="inlineStr">
        <is>
          <t xml:space="preserve">P  </t>
        </is>
      </c>
      <c r="S521" t="n">
        <v>1</v>
      </c>
      <c r="T521" t="n">
        <v>2</v>
      </c>
      <c r="U521" t="inlineStr">
        <is>
          <t>2006-05-09</t>
        </is>
      </c>
      <c r="V521" t="inlineStr">
        <is>
          <t>2006-05-09</t>
        </is>
      </c>
      <c r="W521" t="inlineStr">
        <is>
          <t>2006-03-08</t>
        </is>
      </c>
      <c r="X521" t="inlineStr">
        <is>
          <t>2006-05-09</t>
        </is>
      </c>
      <c r="Y521" t="n">
        <v>213</v>
      </c>
      <c r="Z521" t="n">
        <v>141</v>
      </c>
      <c r="AA521" t="n">
        <v>159</v>
      </c>
      <c r="AB521" t="n">
        <v>2</v>
      </c>
      <c r="AC521" t="n">
        <v>2</v>
      </c>
      <c r="AD521" t="n">
        <v>7</v>
      </c>
      <c r="AE521" t="n">
        <v>7</v>
      </c>
      <c r="AF521" t="n">
        <v>1</v>
      </c>
      <c r="AG521" t="n">
        <v>1</v>
      </c>
      <c r="AH521" t="n">
        <v>1</v>
      </c>
      <c r="AI521" t="n">
        <v>1</v>
      </c>
      <c r="AJ521" t="n">
        <v>5</v>
      </c>
      <c r="AK521" t="n">
        <v>5</v>
      </c>
      <c r="AL521" t="n">
        <v>1</v>
      </c>
      <c r="AM521" t="n">
        <v>1</v>
      </c>
      <c r="AN521" t="n">
        <v>0</v>
      </c>
      <c r="AO521" t="n">
        <v>0</v>
      </c>
      <c r="AP521" t="inlineStr">
        <is>
          <t>No</t>
        </is>
      </c>
      <c r="AQ521" t="inlineStr">
        <is>
          <t>Yes</t>
        </is>
      </c>
      <c r="AR521">
        <f>HYPERLINK("http://catalog.hathitrust.org/Record/003997147","HathiTrust Record")</f>
        <v/>
      </c>
      <c r="AS521">
        <f>HYPERLINK("https://creighton-primo.hosted.exlibrisgroup.com/primo-explore/search?tab=default_tab&amp;search_scope=EVERYTHING&amp;vid=01CRU&amp;lang=en_US&amp;offset=0&amp;query=any,contains,991004763149702656","Catalog Record")</f>
        <v/>
      </c>
      <c r="AT521">
        <f>HYPERLINK("http://www.worldcat.org/oclc/31608214","WorldCat Record")</f>
        <v/>
      </c>
      <c r="AU521" t="inlineStr">
        <is>
          <t>2452897673:eng</t>
        </is>
      </c>
      <c r="AV521" t="inlineStr">
        <is>
          <t>31608214</t>
        </is>
      </c>
      <c r="AW521" t="inlineStr">
        <is>
          <t>991004763149702656</t>
        </is>
      </c>
      <c r="AX521" t="inlineStr">
        <is>
          <t>991004763149702656</t>
        </is>
      </c>
      <c r="AY521" t="inlineStr">
        <is>
          <t>2264343280002656</t>
        </is>
      </c>
      <c r="AZ521" t="inlineStr">
        <is>
          <t>BOOK</t>
        </is>
      </c>
      <c r="BB521" t="inlineStr">
        <is>
          <t>9783110096460</t>
        </is>
      </c>
      <c r="BC521" t="inlineStr">
        <is>
          <t>32285005185508</t>
        </is>
      </c>
      <c r="BD521" t="inlineStr">
        <is>
          <t>893332013</t>
        </is>
      </c>
      <c r="BE521" t="inlineStr">
        <is>
          <t>Fajardo Acosta</t>
        </is>
      </c>
    </row>
    <row r="522">
      <c r="A522" t="inlineStr">
        <is>
          <t>No</t>
        </is>
      </c>
      <c r="B522" t="inlineStr">
        <is>
          <t>P572 .G3613 1995</t>
        </is>
      </c>
      <c r="C522" t="inlineStr">
        <is>
          <t>0                      P  0572000G  3613        1995</t>
        </is>
      </c>
      <c r="D522" t="inlineStr">
        <is>
          <t>Indo-European and the Indo-Europeans : a reconstruction and historical analysis of a proto-language and a proto-culture / by Thomas V. Gamkrelidze, Vjačeslav V. Ivanov ; with a preface by Roman Jakobson ; English version by Johanna Nichols ; edited by Werner Winter.</t>
        </is>
      </c>
      <c r="E522" t="inlineStr">
        <is>
          <t>V. 2</t>
        </is>
      </c>
      <c r="F522" t="inlineStr">
        <is>
          <t>Yes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K522" t="inlineStr">
        <is>
          <t>Gamqreliże, Tʻamaz.</t>
        </is>
      </c>
      <c r="L522" t="inlineStr">
        <is>
          <t>Berlin ; New York : M. de Gruyter, 1995, c1994.</t>
        </is>
      </c>
      <c r="M522" t="inlineStr">
        <is>
          <t>1995</t>
        </is>
      </c>
      <c r="O522" t="inlineStr">
        <is>
          <t>eng</t>
        </is>
      </c>
      <c r="P522" t="inlineStr">
        <is>
          <t xml:space="preserve">gw </t>
        </is>
      </c>
      <c r="Q522" t="inlineStr">
        <is>
          <t>Trends in linguistics. Studies and monographs ; 80</t>
        </is>
      </c>
      <c r="R522" t="inlineStr">
        <is>
          <t xml:space="preserve">P  </t>
        </is>
      </c>
      <c r="S522" t="n">
        <v>1</v>
      </c>
      <c r="T522" t="n">
        <v>2</v>
      </c>
      <c r="U522" t="inlineStr">
        <is>
          <t>2006-05-09</t>
        </is>
      </c>
      <c r="V522" t="inlineStr">
        <is>
          <t>2006-05-09</t>
        </is>
      </c>
      <c r="W522" t="inlineStr">
        <is>
          <t>2006-05-09</t>
        </is>
      </c>
      <c r="X522" t="inlineStr">
        <is>
          <t>2006-05-09</t>
        </is>
      </c>
      <c r="Y522" t="n">
        <v>213</v>
      </c>
      <c r="Z522" t="n">
        <v>141</v>
      </c>
      <c r="AA522" t="n">
        <v>159</v>
      </c>
      <c r="AB522" t="n">
        <v>2</v>
      </c>
      <c r="AC522" t="n">
        <v>2</v>
      </c>
      <c r="AD522" t="n">
        <v>7</v>
      </c>
      <c r="AE522" t="n">
        <v>7</v>
      </c>
      <c r="AF522" t="n">
        <v>1</v>
      </c>
      <c r="AG522" t="n">
        <v>1</v>
      </c>
      <c r="AH522" t="n">
        <v>1</v>
      </c>
      <c r="AI522" t="n">
        <v>1</v>
      </c>
      <c r="AJ522" t="n">
        <v>5</v>
      </c>
      <c r="AK522" t="n">
        <v>5</v>
      </c>
      <c r="AL522" t="n">
        <v>1</v>
      </c>
      <c r="AM522" t="n">
        <v>1</v>
      </c>
      <c r="AN522" t="n">
        <v>0</v>
      </c>
      <c r="AO522" t="n">
        <v>0</v>
      </c>
      <c r="AP522" t="inlineStr">
        <is>
          <t>No</t>
        </is>
      </c>
      <c r="AQ522" t="inlineStr">
        <is>
          <t>Yes</t>
        </is>
      </c>
      <c r="AR522">
        <f>HYPERLINK("http://catalog.hathitrust.org/Record/003997147","HathiTrust Record")</f>
        <v/>
      </c>
      <c r="AS522">
        <f>HYPERLINK("https://creighton-primo.hosted.exlibrisgroup.com/primo-explore/search?tab=default_tab&amp;search_scope=EVERYTHING&amp;vid=01CRU&amp;lang=en_US&amp;offset=0&amp;query=any,contains,991004763149702656","Catalog Record")</f>
        <v/>
      </c>
      <c r="AT522">
        <f>HYPERLINK("http://www.worldcat.org/oclc/31608214","WorldCat Record")</f>
        <v/>
      </c>
      <c r="AU522" t="inlineStr">
        <is>
          <t>2452897673:eng</t>
        </is>
      </c>
      <c r="AV522" t="inlineStr">
        <is>
          <t>31608214</t>
        </is>
      </c>
      <c r="AW522" t="inlineStr">
        <is>
          <t>991004763149702656</t>
        </is>
      </c>
      <c r="AX522" t="inlineStr">
        <is>
          <t>991004763149702656</t>
        </is>
      </c>
      <c r="AY522" t="inlineStr">
        <is>
          <t>2264343280002656</t>
        </is>
      </c>
      <c r="AZ522" t="inlineStr">
        <is>
          <t>BOOK</t>
        </is>
      </c>
      <c r="BB522" t="inlineStr">
        <is>
          <t>9783110096460</t>
        </is>
      </c>
      <c r="BC522" t="inlineStr">
        <is>
          <t>32285005185516</t>
        </is>
      </c>
      <c r="BD522" t="inlineStr">
        <is>
          <t>893350357</t>
        </is>
      </c>
      <c r="BE522" t="inlineStr">
        <is>
          <t>Fajardo Acosta</t>
        </is>
      </c>
    </row>
    <row r="523">
      <c r="A523" t="inlineStr">
        <is>
          <t>No</t>
        </is>
      </c>
      <c r="B523" t="inlineStr">
        <is>
          <t>P575 .H8</t>
        </is>
      </c>
      <c r="C523" t="inlineStr">
        <is>
          <t>0                      P  0575000H  8</t>
        </is>
      </c>
      <c r="D523" t="inlineStr">
        <is>
          <t>A short introduction to the study of comparative grammar (Indo-European)</t>
        </is>
      </c>
      <c r="F523" t="inlineStr">
        <is>
          <t>No</t>
        </is>
      </c>
      <c r="G523" t="inlineStr">
        <is>
          <t>1</t>
        </is>
      </c>
      <c r="H523" t="inlineStr">
        <is>
          <t>No</t>
        </is>
      </c>
      <c r="I523" t="inlineStr">
        <is>
          <t>No</t>
        </is>
      </c>
      <c r="J523" t="inlineStr">
        <is>
          <t>0</t>
        </is>
      </c>
      <c r="K523" t="inlineStr">
        <is>
          <t>Hudson-Williams, T. (Thomas), 1873-1961.</t>
        </is>
      </c>
      <c r="L523" t="inlineStr">
        <is>
          <t>Cardiff, The University of Wales Press Board, [1935]</t>
        </is>
      </c>
      <c r="M523" t="inlineStr">
        <is>
          <t>1935</t>
        </is>
      </c>
      <c r="O523" t="inlineStr">
        <is>
          <t>eng</t>
        </is>
      </c>
      <c r="P523" t="inlineStr">
        <is>
          <t xml:space="preserve">xx </t>
        </is>
      </c>
      <c r="R523" t="inlineStr">
        <is>
          <t xml:space="preserve">P  </t>
        </is>
      </c>
      <c r="S523" t="n">
        <v>5</v>
      </c>
      <c r="T523" t="n">
        <v>5</v>
      </c>
      <c r="U523" t="inlineStr">
        <is>
          <t>1999-03-24</t>
        </is>
      </c>
      <c r="V523" t="inlineStr">
        <is>
          <t>1999-03-24</t>
        </is>
      </c>
      <c r="W523" t="inlineStr">
        <is>
          <t>1997-08-19</t>
        </is>
      </c>
      <c r="X523" t="inlineStr">
        <is>
          <t>1997-08-19</t>
        </is>
      </c>
      <c r="Y523" t="n">
        <v>198</v>
      </c>
      <c r="Z523" t="n">
        <v>141</v>
      </c>
      <c r="AA523" t="n">
        <v>220</v>
      </c>
      <c r="AB523" t="n">
        <v>2</v>
      </c>
      <c r="AC523" t="n">
        <v>2</v>
      </c>
      <c r="AD523" t="n">
        <v>14</v>
      </c>
      <c r="AE523" t="n">
        <v>17</v>
      </c>
      <c r="AF523" t="n">
        <v>3</v>
      </c>
      <c r="AG523" t="n">
        <v>4</v>
      </c>
      <c r="AH523" t="n">
        <v>4</v>
      </c>
      <c r="AI523" t="n">
        <v>4</v>
      </c>
      <c r="AJ523" t="n">
        <v>11</v>
      </c>
      <c r="AK523" t="n">
        <v>14</v>
      </c>
      <c r="AL523" t="n">
        <v>1</v>
      </c>
      <c r="AM523" t="n">
        <v>1</v>
      </c>
      <c r="AN523" t="n">
        <v>0</v>
      </c>
      <c r="AO523" t="n">
        <v>0</v>
      </c>
      <c r="AP523" t="inlineStr">
        <is>
          <t>No</t>
        </is>
      </c>
      <c r="AQ523" t="inlineStr">
        <is>
          <t>Yes</t>
        </is>
      </c>
      <c r="AR523">
        <f>HYPERLINK("http://catalog.hathitrust.org/Record/001435227","HathiTrust Record")</f>
        <v/>
      </c>
      <c r="AS523">
        <f>HYPERLINK("https://creighton-primo.hosted.exlibrisgroup.com/primo-explore/search?tab=default_tab&amp;search_scope=EVERYTHING&amp;vid=01CRU&amp;lang=en_US&amp;offset=0&amp;query=any,contains,991002904859702656","Catalog Record")</f>
        <v/>
      </c>
      <c r="AT523">
        <f>HYPERLINK("http://www.worldcat.org/oclc/518970","WorldCat Record")</f>
        <v/>
      </c>
      <c r="AU523" t="inlineStr">
        <is>
          <t>1510549:eng</t>
        </is>
      </c>
      <c r="AV523" t="inlineStr">
        <is>
          <t>518970</t>
        </is>
      </c>
      <c r="AW523" t="inlineStr">
        <is>
          <t>991002904859702656</t>
        </is>
      </c>
      <c r="AX523" t="inlineStr">
        <is>
          <t>991002904859702656</t>
        </is>
      </c>
      <c r="AY523" t="inlineStr">
        <is>
          <t>2256023890002656</t>
        </is>
      </c>
      <c r="AZ523" t="inlineStr">
        <is>
          <t>BOOK</t>
        </is>
      </c>
      <c r="BC523" t="inlineStr">
        <is>
          <t>32285003098299</t>
        </is>
      </c>
      <c r="BD523" t="inlineStr">
        <is>
          <t>893233584</t>
        </is>
      </c>
      <c r="BE523" t="inlineStr">
        <is>
          <t>Fajardo Acosta</t>
        </is>
      </c>
    </row>
    <row r="524">
      <c r="A524" t="inlineStr">
        <is>
          <t>No</t>
        </is>
      </c>
      <c r="B524" t="inlineStr">
        <is>
          <t>P575 .S913 1996</t>
        </is>
      </c>
      <c r="C524" t="inlineStr">
        <is>
          <t>0                      P  0575000S  913         1996</t>
        </is>
      </c>
      <c r="D524" t="inlineStr">
        <is>
          <t>Introduction to Indo-European linguistics / Oswald J.L. Szemerényi.</t>
        </is>
      </c>
      <c r="F524" t="inlineStr">
        <is>
          <t>No</t>
        </is>
      </c>
      <c r="G524" t="inlineStr">
        <is>
          <t>1</t>
        </is>
      </c>
      <c r="H524" t="inlineStr">
        <is>
          <t>No</t>
        </is>
      </c>
      <c r="I524" t="inlineStr">
        <is>
          <t>No</t>
        </is>
      </c>
      <c r="J524" t="inlineStr">
        <is>
          <t>0</t>
        </is>
      </c>
      <c r="K524" t="inlineStr">
        <is>
          <t>Szemerényi, Oswald, 1913-1996.</t>
        </is>
      </c>
      <c r="L524" t="inlineStr">
        <is>
          <t>Oxford : Clarendon Press ; New York : Oxford University Press, 1996.</t>
        </is>
      </c>
      <c r="M524" t="inlineStr">
        <is>
          <t>1996</t>
        </is>
      </c>
      <c r="N524" t="inlineStr">
        <is>
          <t>[Rev., enlarged, 5th ed.].</t>
        </is>
      </c>
      <c r="O524" t="inlineStr">
        <is>
          <t>eng</t>
        </is>
      </c>
      <c r="P524" t="inlineStr">
        <is>
          <t>enk</t>
        </is>
      </c>
      <c r="R524" t="inlineStr">
        <is>
          <t xml:space="preserve">P  </t>
        </is>
      </c>
      <c r="S524" t="n">
        <v>5</v>
      </c>
      <c r="T524" t="n">
        <v>5</v>
      </c>
      <c r="U524" t="inlineStr">
        <is>
          <t>2010-11-18</t>
        </is>
      </c>
      <c r="V524" t="inlineStr">
        <is>
          <t>2010-11-18</t>
        </is>
      </c>
      <c r="W524" t="inlineStr">
        <is>
          <t>1998-05-13</t>
        </is>
      </c>
      <c r="X524" t="inlineStr">
        <is>
          <t>1998-05-13</t>
        </is>
      </c>
      <c r="Y524" t="n">
        <v>160</v>
      </c>
      <c r="Z524" t="n">
        <v>114</v>
      </c>
      <c r="AA524" t="n">
        <v>148</v>
      </c>
      <c r="AB524" t="n">
        <v>2</v>
      </c>
      <c r="AC524" t="n">
        <v>2</v>
      </c>
      <c r="AD524" t="n">
        <v>6</v>
      </c>
      <c r="AE524" t="n">
        <v>7</v>
      </c>
      <c r="AF524" t="n">
        <v>2</v>
      </c>
      <c r="AG524" t="n">
        <v>2</v>
      </c>
      <c r="AH524" t="n">
        <v>2</v>
      </c>
      <c r="AI524" t="n">
        <v>3</v>
      </c>
      <c r="AJ524" t="n">
        <v>3</v>
      </c>
      <c r="AK524" t="n">
        <v>4</v>
      </c>
      <c r="AL524" t="n">
        <v>1</v>
      </c>
      <c r="AM524" t="n">
        <v>1</v>
      </c>
      <c r="AN524" t="n">
        <v>0</v>
      </c>
      <c r="AO524" t="n">
        <v>0</v>
      </c>
      <c r="AP524" t="inlineStr">
        <is>
          <t>No</t>
        </is>
      </c>
      <c r="AQ524" t="inlineStr">
        <is>
          <t>Yes</t>
        </is>
      </c>
      <c r="AR524">
        <f>HYPERLINK("http://catalog.hathitrust.org/Record/003133514","HathiTrust Record")</f>
        <v/>
      </c>
      <c r="AS524">
        <f>HYPERLINK("https://creighton-primo.hosted.exlibrisgroup.com/primo-explore/search?tab=default_tab&amp;search_scope=EVERYTHING&amp;vid=01CRU&amp;lang=en_US&amp;offset=0&amp;query=any,contains,991002638619702656","Catalog Record")</f>
        <v/>
      </c>
      <c r="AT524">
        <f>HYPERLINK("http://www.worldcat.org/oclc/34548867","WorldCat Record")</f>
        <v/>
      </c>
      <c r="AU524" t="inlineStr">
        <is>
          <t>4785509:eng</t>
        </is>
      </c>
      <c r="AV524" t="inlineStr">
        <is>
          <t>34548867</t>
        </is>
      </c>
      <c r="AW524" t="inlineStr">
        <is>
          <t>991002638619702656</t>
        </is>
      </c>
      <c r="AX524" t="inlineStr">
        <is>
          <t>991002638619702656</t>
        </is>
      </c>
      <c r="AY524" t="inlineStr">
        <is>
          <t>2257035330002656</t>
        </is>
      </c>
      <c r="AZ524" t="inlineStr">
        <is>
          <t>BOOK</t>
        </is>
      </c>
      <c r="BB524" t="inlineStr">
        <is>
          <t>9780198240150</t>
        </is>
      </c>
      <c r="BC524" t="inlineStr">
        <is>
          <t>32285003409157</t>
        </is>
      </c>
      <c r="BD524" t="inlineStr">
        <is>
          <t>893517542</t>
        </is>
      </c>
      <c r="BE524" t="inlineStr">
        <is>
          <t>Fajardo Acosta</t>
        </is>
      </c>
    </row>
    <row r="525">
      <c r="A525" t="inlineStr">
        <is>
          <t>No</t>
        </is>
      </c>
      <c r="B525" t="inlineStr">
        <is>
          <t>P577 .L4</t>
        </is>
      </c>
      <c r="C525" t="inlineStr">
        <is>
          <t>0                      P  0577000L  4</t>
        </is>
      </c>
      <c r="D525" t="inlineStr">
        <is>
          <t>The Indo-European and Semitic languages; an exploration of structural similarities related to accent, chiefly in Greek, Sanskrit, and Hebrew.</t>
        </is>
      </c>
      <c r="F525" t="inlineStr">
        <is>
          <t>No</t>
        </is>
      </c>
      <c r="G525" t="inlineStr">
        <is>
          <t>1</t>
        </is>
      </c>
      <c r="H525" t="inlineStr">
        <is>
          <t>No</t>
        </is>
      </c>
      <c r="I525" t="inlineStr">
        <is>
          <t>No</t>
        </is>
      </c>
      <c r="J525" t="inlineStr">
        <is>
          <t>0</t>
        </is>
      </c>
      <c r="K525" t="inlineStr">
        <is>
          <t>Levin, Saul.</t>
        </is>
      </c>
      <c r="L525" t="inlineStr">
        <is>
          <t>Albany, State University of New York Press [1971]</t>
        </is>
      </c>
      <c r="M525" t="inlineStr">
        <is>
          <t>1971</t>
        </is>
      </c>
      <c r="O525" t="inlineStr">
        <is>
          <t>eng</t>
        </is>
      </c>
      <c r="P525" t="inlineStr">
        <is>
          <t>nyu</t>
        </is>
      </c>
      <c r="R525" t="inlineStr">
        <is>
          <t xml:space="preserve">P  </t>
        </is>
      </c>
      <c r="S525" t="n">
        <v>2</v>
      </c>
      <c r="T525" t="n">
        <v>2</v>
      </c>
      <c r="U525" t="inlineStr">
        <is>
          <t>1999-01-27</t>
        </is>
      </c>
      <c r="V525" t="inlineStr">
        <is>
          <t>1999-01-27</t>
        </is>
      </c>
      <c r="W525" t="inlineStr">
        <is>
          <t>1997-08-19</t>
        </is>
      </c>
      <c r="X525" t="inlineStr">
        <is>
          <t>1997-08-19</t>
        </is>
      </c>
      <c r="Y525" t="n">
        <v>378</v>
      </c>
      <c r="Z525" t="n">
        <v>329</v>
      </c>
      <c r="AA525" t="n">
        <v>330</v>
      </c>
      <c r="AB525" t="n">
        <v>2</v>
      </c>
      <c r="AC525" t="n">
        <v>2</v>
      </c>
      <c r="AD525" t="n">
        <v>12</v>
      </c>
      <c r="AE525" t="n">
        <v>12</v>
      </c>
      <c r="AF525" t="n">
        <v>2</v>
      </c>
      <c r="AG525" t="n">
        <v>2</v>
      </c>
      <c r="AH525" t="n">
        <v>4</v>
      </c>
      <c r="AI525" t="n">
        <v>4</v>
      </c>
      <c r="AJ525" t="n">
        <v>9</v>
      </c>
      <c r="AK525" t="n">
        <v>9</v>
      </c>
      <c r="AL525" t="n">
        <v>1</v>
      </c>
      <c r="AM525" t="n">
        <v>1</v>
      </c>
      <c r="AN525" t="n">
        <v>0</v>
      </c>
      <c r="AO525" t="n">
        <v>0</v>
      </c>
      <c r="AP525" t="inlineStr">
        <is>
          <t>No</t>
        </is>
      </c>
      <c r="AQ525" t="inlineStr">
        <is>
          <t>No</t>
        </is>
      </c>
      <c r="AS525">
        <f>HYPERLINK("https://creighton-primo.hosted.exlibrisgroup.com/primo-explore/search?tab=default_tab&amp;search_scope=EVERYTHING&amp;vid=01CRU&amp;lang=en_US&amp;offset=0&amp;query=any,contains,991000772209702656","Catalog Record")</f>
        <v/>
      </c>
      <c r="AT525">
        <f>HYPERLINK("http://www.worldcat.org/oclc/131314","WorldCat Record")</f>
        <v/>
      </c>
      <c r="AU525" t="inlineStr">
        <is>
          <t>3943286616:eng</t>
        </is>
      </c>
      <c r="AV525" t="inlineStr">
        <is>
          <t>131314</t>
        </is>
      </c>
      <c r="AW525" t="inlineStr">
        <is>
          <t>991000772209702656</t>
        </is>
      </c>
      <c r="AX525" t="inlineStr">
        <is>
          <t>991000772209702656</t>
        </is>
      </c>
      <c r="AY525" t="inlineStr">
        <is>
          <t>2255384170002656</t>
        </is>
      </c>
      <c r="AZ525" t="inlineStr">
        <is>
          <t>BOOK</t>
        </is>
      </c>
      <c r="BB525" t="inlineStr">
        <is>
          <t>9780873950558</t>
        </is>
      </c>
      <c r="BC525" t="inlineStr">
        <is>
          <t>32285003098307</t>
        </is>
      </c>
      <c r="BD525" t="inlineStr">
        <is>
          <t>893502790</t>
        </is>
      </c>
      <c r="BE525" t="inlineStr">
        <is>
          <t>Fajardo Acosta</t>
        </is>
      </c>
    </row>
    <row r="526">
      <c r="A526" t="inlineStr">
        <is>
          <t>No</t>
        </is>
      </c>
      <c r="B526" t="inlineStr">
        <is>
          <t>P85.S18 C8 1986</t>
        </is>
      </c>
      <c r="C526" t="inlineStr">
        <is>
          <t>0                      P  0085000S  18                 C  8           1986</t>
        </is>
      </c>
      <c r="D526" t="inlineStr">
        <is>
          <t>Ferdinand de Saussure / Jonathan Culler.</t>
        </is>
      </c>
      <c r="F526" t="inlineStr">
        <is>
          <t>No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K526" t="inlineStr">
        <is>
          <t>Culler, Jonathan D.</t>
        </is>
      </c>
      <c r="L526" t="inlineStr">
        <is>
          <t>Ithaca, N.Y. : Cornell University Press, 1986.</t>
        </is>
      </c>
      <c r="M526" t="inlineStr">
        <is>
          <t>1986</t>
        </is>
      </c>
      <c r="N526" t="inlineStr">
        <is>
          <t>Rev. ed.</t>
        </is>
      </c>
      <c r="O526" t="inlineStr">
        <is>
          <t>eng</t>
        </is>
      </c>
      <c r="P526" t="inlineStr">
        <is>
          <t>nyu</t>
        </is>
      </c>
      <c r="R526" t="inlineStr">
        <is>
          <t xml:space="preserve">P  </t>
        </is>
      </c>
      <c r="S526" t="n">
        <v>6</v>
      </c>
      <c r="T526" t="n">
        <v>6</v>
      </c>
      <c r="U526" t="inlineStr">
        <is>
          <t>2000-11-01</t>
        </is>
      </c>
      <c r="V526" t="inlineStr">
        <is>
          <t>2000-11-01</t>
        </is>
      </c>
      <c r="W526" t="inlineStr">
        <is>
          <t>1993-03-30</t>
        </is>
      </c>
      <c r="X526" t="inlineStr">
        <is>
          <t>1993-03-30</t>
        </is>
      </c>
      <c r="Y526" t="n">
        <v>504</v>
      </c>
      <c r="Z526" t="n">
        <v>404</v>
      </c>
      <c r="AA526" t="n">
        <v>648</v>
      </c>
      <c r="AB526" t="n">
        <v>4</v>
      </c>
      <c r="AC526" t="n">
        <v>5</v>
      </c>
      <c r="AD526" t="n">
        <v>27</v>
      </c>
      <c r="AE526" t="n">
        <v>40</v>
      </c>
      <c r="AF526" t="n">
        <v>12</v>
      </c>
      <c r="AG526" t="n">
        <v>19</v>
      </c>
      <c r="AH526" t="n">
        <v>7</v>
      </c>
      <c r="AI526" t="n">
        <v>9</v>
      </c>
      <c r="AJ526" t="n">
        <v>13</v>
      </c>
      <c r="AK526" t="n">
        <v>19</v>
      </c>
      <c r="AL526" t="n">
        <v>3</v>
      </c>
      <c r="AM526" t="n">
        <v>4</v>
      </c>
      <c r="AN526" t="n">
        <v>0</v>
      </c>
      <c r="AO526" t="n">
        <v>0</v>
      </c>
      <c r="AP526" t="inlineStr">
        <is>
          <t>No</t>
        </is>
      </c>
      <c r="AQ526" t="inlineStr">
        <is>
          <t>Yes</t>
        </is>
      </c>
      <c r="AR526">
        <f>HYPERLINK("http://catalog.hathitrust.org/Record/000537448","HathiTrust Record")</f>
        <v/>
      </c>
      <c r="AS526">
        <f>HYPERLINK("https://creighton-primo.hosted.exlibrisgroup.com/primo-explore/search?tab=default_tab&amp;search_scope=EVERYTHING&amp;vid=01CRU&amp;lang=en_US&amp;offset=0&amp;query=any,contains,991000817809702656","Catalog Record")</f>
        <v/>
      </c>
      <c r="AT526">
        <f>HYPERLINK("http://www.worldcat.org/oclc/13360870","WorldCat Record")</f>
        <v/>
      </c>
      <c r="AU526" t="inlineStr">
        <is>
          <t>8907776078:eng</t>
        </is>
      </c>
      <c r="AV526" t="inlineStr">
        <is>
          <t>13360870</t>
        </is>
      </c>
      <c r="AW526" t="inlineStr">
        <is>
          <t>991000817809702656</t>
        </is>
      </c>
      <c r="AX526" t="inlineStr">
        <is>
          <t>991000817809702656</t>
        </is>
      </c>
      <c r="AY526" t="inlineStr">
        <is>
          <t>2271775170002656</t>
        </is>
      </c>
      <c r="AZ526" t="inlineStr">
        <is>
          <t>BOOK</t>
        </is>
      </c>
      <c r="BB526" t="inlineStr">
        <is>
          <t>9780801493898</t>
        </is>
      </c>
      <c r="BC526" t="inlineStr">
        <is>
          <t>32285001611523</t>
        </is>
      </c>
      <c r="BD526" t="inlineStr">
        <is>
          <t>893509136</t>
        </is>
      </c>
      <c r="BE526" t="inlineStr">
        <is>
          <t>Fajardo Acosta</t>
        </is>
      </c>
    </row>
    <row r="527">
      <c r="A527" t="inlineStr">
        <is>
          <t>No</t>
        </is>
      </c>
      <c r="B527" t="inlineStr">
        <is>
          <t>P91 .M27 1969</t>
        </is>
      </c>
      <c r="C527" t="inlineStr">
        <is>
          <t>0                      P  0091000M  27          1969</t>
        </is>
      </c>
      <c r="D527" t="inlineStr">
        <is>
          <t>Counter blast / [by] Marshall McLuhan. Designed by Harley Parker.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K527" t="inlineStr">
        <is>
          <t>McLuhan, Marshall, 1911-1980.</t>
        </is>
      </c>
      <c r="L527" t="inlineStr">
        <is>
          <t>New York : Harcourt, Brace &amp; World, [1969]</t>
        </is>
      </c>
      <c r="M527" t="inlineStr">
        <is>
          <t>1969</t>
        </is>
      </c>
      <c r="O527" t="inlineStr">
        <is>
          <t>eng</t>
        </is>
      </c>
      <c r="P527" t="inlineStr">
        <is>
          <t>nyu</t>
        </is>
      </c>
      <c r="R527" t="inlineStr">
        <is>
          <t xml:space="preserve">P  </t>
        </is>
      </c>
      <c r="S527" t="n">
        <v>5</v>
      </c>
      <c r="T527" t="n">
        <v>5</v>
      </c>
      <c r="U527" t="inlineStr">
        <is>
          <t>2010-05-18</t>
        </is>
      </c>
      <c r="V527" t="inlineStr">
        <is>
          <t>2010-05-18</t>
        </is>
      </c>
      <c r="W527" t="inlineStr">
        <is>
          <t>1993-03-30</t>
        </is>
      </c>
      <c r="X527" t="inlineStr">
        <is>
          <t>1993-03-30</t>
        </is>
      </c>
      <c r="Y527" t="n">
        <v>784</v>
      </c>
      <c r="Z527" t="n">
        <v>676</v>
      </c>
      <c r="AA527" t="n">
        <v>702</v>
      </c>
      <c r="AB527" t="n">
        <v>7</v>
      </c>
      <c r="AC527" t="n">
        <v>7</v>
      </c>
      <c r="AD527" t="n">
        <v>24</v>
      </c>
      <c r="AE527" t="n">
        <v>25</v>
      </c>
      <c r="AF527" t="n">
        <v>9</v>
      </c>
      <c r="AG527" t="n">
        <v>9</v>
      </c>
      <c r="AH527" t="n">
        <v>4</v>
      </c>
      <c r="AI527" t="n">
        <v>5</v>
      </c>
      <c r="AJ527" t="n">
        <v>11</v>
      </c>
      <c r="AK527" t="n">
        <v>11</v>
      </c>
      <c r="AL527" t="n">
        <v>6</v>
      </c>
      <c r="AM527" t="n">
        <v>6</v>
      </c>
      <c r="AN527" t="n">
        <v>0</v>
      </c>
      <c r="AO527" t="n">
        <v>0</v>
      </c>
      <c r="AP527" t="inlineStr">
        <is>
          <t>No</t>
        </is>
      </c>
      <c r="AQ527" t="inlineStr">
        <is>
          <t>Yes</t>
        </is>
      </c>
      <c r="AR527">
        <f>HYPERLINK("http://catalog.hathitrust.org/Record/007119966","HathiTrust Record")</f>
        <v/>
      </c>
      <c r="AS527">
        <f>HYPERLINK("https://creighton-primo.hosted.exlibrisgroup.com/primo-explore/search?tab=default_tab&amp;search_scope=EVERYTHING&amp;vid=01CRU&amp;lang=en_US&amp;offset=0&amp;query=any,contains,991000071389702656","Catalog Record")</f>
        <v/>
      </c>
      <c r="AT527">
        <f>HYPERLINK("http://www.worldcat.org/oclc/28339","WorldCat Record")</f>
        <v/>
      </c>
      <c r="AU527" t="inlineStr">
        <is>
          <t>52566677:eng</t>
        </is>
      </c>
      <c r="AV527" t="inlineStr">
        <is>
          <t>28339</t>
        </is>
      </c>
      <c r="AW527" t="inlineStr">
        <is>
          <t>991000071389702656</t>
        </is>
      </c>
      <c r="AX527" t="inlineStr">
        <is>
          <t>991000071389702656</t>
        </is>
      </c>
      <c r="AY527" t="inlineStr">
        <is>
          <t>2264836520002656</t>
        </is>
      </c>
      <c r="AZ527" t="inlineStr">
        <is>
          <t>BOOK</t>
        </is>
      </c>
      <c r="BC527" t="inlineStr">
        <is>
          <t>32285001611887</t>
        </is>
      </c>
      <c r="BD527" t="inlineStr">
        <is>
          <t>893796378</t>
        </is>
      </c>
      <c r="BE527" t="inlineStr">
        <is>
          <t>Fajardo Acosta</t>
        </is>
      </c>
    </row>
    <row r="528">
      <c r="A528" t="inlineStr">
        <is>
          <t>No</t>
        </is>
      </c>
      <c r="B528" t="inlineStr">
        <is>
          <t>P91 .M276 1970</t>
        </is>
      </c>
      <c r="C528" t="inlineStr">
        <is>
          <t>0                      P  0091000M  276         1970</t>
        </is>
      </c>
      <c r="D528" t="inlineStr">
        <is>
          <t>From cliche to archetype / [by] Marshall McLuhan with Wilfred Watson.</t>
        </is>
      </c>
      <c r="F528" t="inlineStr">
        <is>
          <t>No</t>
        </is>
      </c>
      <c r="G528" t="inlineStr">
        <is>
          <t>1</t>
        </is>
      </c>
      <c r="H528" t="inlineStr">
        <is>
          <t>No</t>
        </is>
      </c>
      <c r="I528" t="inlineStr">
        <is>
          <t>No</t>
        </is>
      </c>
      <c r="J528" t="inlineStr">
        <is>
          <t>0</t>
        </is>
      </c>
      <c r="K528" t="inlineStr">
        <is>
          <t>McLuhan, Marshall, 1911-1980.</t>
        </is>
      </c>
      <c r="L528" t="inlineStr">
        <is>
          <t>New York : Viking Press, [1970]</t>
        </is>
      </c>
      <c r="M528" t="inlineStr">
        <is>
          <t>1970</t>
        </is>
      </c>
      <c r="O528" t="inlineStr">
        <is>
          <t>eng</t>
        </is>
      </c>
      <c r="P528" t="inlineStr">
        <is>
          <t>nyu</t>
        </is>
      </c>
      <c r="R528" t="inlineStr">
        <is>
          <t xml:space="preserve">P  </t>
        </is>
      </c>
      <c r="S528" t="n">
        <v>3</v>
      </c>
      <c r="T528" t="n">
        <v>3</v>
      </c>
      <c r="U528" t="inlineStr">
        <is>
          <t>2010-03-22</t>
        </is>
      </c>
      <c r="V528" t="inlineStr">
        <is>
          <t>2010-03-22</t>
        </is>
      </c>
      <c r="W528" t="inlineStr">
        <is>
          <t>1992-11-30</t>
        </is>
      </c>
      <c r="X528" t="inlineStr">
        <is>
          <t>1992-11-30</t>
        </is>
      </c>
      <c r="Y528" t="n">
        <v>914</v>
      </c>
      <c r="Z528" t="n">
        <v>771</v>
      </c>
      <c r="AA528" t="n">
        <v>818</v>
      </c>
      <c r="AB528" t="n">
        <v>4</v>
      </c>
      <c r="AC528" t="n">
        <v>4</v>
      </c>
      <c r="AD528" t="n">
        <v>28</v>
      </c>
      <c r="AE528" t="n">
        <v>30</v>
      </c>
      <c r="AF528" t="n">
        <v>8</v>
      </c>
      <c r="AG528" t="n">
        <v>10</v>
      </c>
      <c r="AH528" t="n">
        <v>6</v>
      </c>
      <c r="AI528" t="n">
        <v>6</v>
      </c>
      <c r="AJ528" t="n">
        <v>18</v>
      </c>
      <c r="AK528" t="n">
        <v>19</v>
      </c>
      <c r="AL528" t="n">
        <v>3</v>
      </c>
      <c r="AM528" t="n">
        <v>3</v>
      </c>
      <c r="AN528" t="n">
        <v>0</v>
      </c>
      <c r="AO528" t="n">
        <v>0</v>
      </c>
      <c r="AP528" t="inlineStr">
        <is>
          <t>No</t>
        </is>
      </c>
      <c r="AQ528" t="inlineStr">
        <is>
          <t>Yes</t>
        </is>
      </c>
      <c r="AR528">
        <f>HYPERLINK("http://catalog.hathitrust.org/Record/001180814","HathiTrust Record")</f>
        <v/>
      </c>
      <c r="AS528">
        <f>HYPERLINK("https://creighton-primo.hosted.exlibrisgroup.com/primo-explore/search?tab=default_tab&amp;search_scope=EVERYTHING&amp;vid=01CRU&amp;lang=en_US&amp;offset=0&amp;query=any,contains,991000615479702656","Catalog Record")</f>
        <v/>
      </c>
      <c r="AT528">
        <f>HYPERLINK("http://www.worldcat.org/oclc/101588","WorldCat Record")</f>
        <v/>
      </c>
      <c r="AU528" t="inlineStr">
        <is>
          <t>52364946:eng</t>
        </is>
      </c>
      <c r="AV528" t="inlineStr">
        <is>
          <t>101588</t>
        </is>
      </c>
      <c r="AW528" t="inlineStr">
        <is>
          <t>991000615479702656</t>
        </is>
      </c>
      <c r="AX528" t="inlineStr">
        <is>
          <t>991000615479702656</t>
        </is>
      </c>
      <c r="AY528" t="inlineStr">
        <is>
          <t>2261301950002656</t>
        </is>
      </c>
      <c r="AZ528" t="inlineStr">
        <is>
          <t>BOOK</t>
        </is>
      </c>
      <c r="BB528" t="inlineStr">
        <is>
          <t>9780670330935</t>
        </is>
      </c>
      <c r="BC528" t="inlineStr">
        <is>
          <t>32285001410074</t>
        </is>
      </c>
      <c r="BD528" t="inlineStr">
        <is>
          <t>893321191</t>
        </is>
      </c>
      <c r="BE528" t="inlineStr">
        <is>
          <t>Fajardo Acosta</t>
        </is>
      </c>
    </row>
    <row r="529">
      <c r="A529" t="inlineStr">
        <is>
          <t>No</t>
        </is>
      </c>
      <c r="B529" t="inlineStr">
        <is>
          <t>P96.T42 M38 1992</t>
        </is>
      </c>
      <c r="C529" t="inlineStr">
        <is>
          <t>0                      P  0096000T  42                 M  38          1992</t>
        </is>
      </c>
      <c r="D529" t="inlineStr">
        <is>
          <t>The global village : transformations in world life and media in the 21st century / Marshall McLuhan and Bruce R. Powers.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K529" t="inlineStr">
        <is>
          <t>McLuhan, Marshall, 1911-1980.</t>
        </is>
      </c>
      <c r="L529" t="inlineStr">
        <is>
          <t>New York ; Oxford : Oxford University Press, 1992, c1989.</t>
        </is>
      </c>
      <c r="M529" t="inlineStr">
        <is>
          <t>1992</t>
        </is>
      </c>
      <c r="O529" t="inlineStr">
        <is>
          <t>eng</t>
        </is>
      </c>
      <c r="P529" t="inlineStr">
        <is>
          <t>enk</t>
        </is>
      </c>
      <c r="R529" t="inlineStr">
        <is>
          <t xml:space="preserve">P  </t>
        </is>
      </c>
      <c r="S529" t="n">
        <v>3</v>
      </c>
      <c r="T529" t="n">
        <v>3</v>
      </c>
      <c r="U529" t="inlineStr">
        <is>
          <t>2010-05-18</t>
        </is>
      </c>
      <c r="V529" t="inlineStr">
        <is>
          <t>2010-05-18</t>
        </is>
      </c>
      <c r="W529" t="inlineStr">
        <is>
          <t>1995-05-15</t>
        </is>
      </c>
      <c r="X529" t="inlineStr">
        <is>
          <t>1995-05-15</t>
        </is>
      </c>
      <c r="Y529" t="n">
        <v>1119</v>
      </c>
      <c r="Z529" t="n">
        <v>845</v>
      </c>
      <c r="AA529" t="n">
        <v>871</v>
      </c>
      <c r="AB529" t="n">
        <v>4</v>
      </c>
      <c r="AC529" t="n">
        <v>4</v>
      </c>
      <c r="AD529" t="n">
        <v>32</v>
      </c>
      <c r="AE529" t="n">
        <v>33</v>
      </c>
      <c r="AF529" t="n">
        <v>14</v>
      </c>
      <c r="AG529" t="n">
        <v>15</v>
      </c>
      <c r="AH529" t="n">
        <v>6</v>
      </c>
      <c r="AI529" t="n">
        <v>6</v>
      </c>
      <c r="AJ529" t="n">
        <v>12</v>
      </c>
      <c r="AK529" t="n">
        <v>13</v>
      </c>
      <c r="AL529" t="n">
        <v>3</v>
      </c>
      <c r="AM529" t="n">
        <v>3</v>
      </c>
      <c r="AN529" t="n">
        <v>2</v>
      </c>
      <c r="AO529" t="n">
        <v>2</v>
      </c>
      <c r="AP529" t="inlineStr">
        <is>
          <t>No</t>
        </is>
      </c>
      <c r="AQ529" t="inlineStr">
        <is>
          <t>Yes</t>
        </is>
      </c>
      <c r="AR529">
        <f>HYPERLINK("http://catalog.hathitrust.org/Record/001529835","HathiTrust Record")</f>
        <v/>
      </c>
      <c r="AS529">
        <f>HYPERLINK("https://creighton-primo.hosted.exlibrisgroup.com/primo-explore/search?tab=default_tab&amp;search_scope=EVERYTHING&amp;vid=01CRU&amp;lang=en_US&amp;offset=0&amp;query=any,contains,991002124489702656","Catalog Record")</f>
        <v/>
      </c>
      <c r="AT529">
        <f>HYPERLINK("http://www.worldcat.org/oclc/18291588","WorldCat Record")</f>
        <v/>
      </c>
      <c r="AU529" t="inlineStr">
        <is>
          <t>808481734:eng</t>
        </is>
      </c>
      <c r="AV529" t="inlineStr">
        <is>
          <t>18291588</t>
        </is>
      </c>
      <c r="AW529" t="inlineStr">
        <is>
          <t>991002124489702656</t>
        </is>
      </c>
      <c r="AX529" t="inlineStr">
        <is>
          <t>991002124489702656</t>
        </is>
      </c>
      <c r="AY529" t="inlineStr">
        <is>
          <t>2272150480002656</t>
        </is>
      </c>
      <c r="AZ529" t="inlineStr">
        <is>
          <t>BOOK</t>
        </is>
      </c>
      <c r="BB529" t="inlineStr">
        <is>
          <t>9780195079104</t>
        </is>
      </c>
      <c r="BC529" t="inlineStr">
        <is>
          <t>32285002045390</t>
        </is>
      </c>
      <c r="BD529" t="inlineStr">
        <is>
          <t>893516925</t>
        </is>
      </c>
      <c r="BE529" t="inlineStr">
        <is>
          <t>Fajardo Acosta</t>
        </is>
      </c>
    </row>
    <row r="530">
      <c r="A530" t="inlineStr">
        <is>
          <t>No</t>
        </is>
      </c>
      <c r="B530" t="inlineStr">
        <is>
          <t>P99 .B29514 1970</t>
        </is>
      </c>
      <c r="C530" t="inlineStr">
        <is>
          <t>0                      P  0099000B  29514       1970</t>
        </is>
      </c>
      <c r="D530" t="inlineStr">
        <is>
          <t>S/Z / Roland Barthes.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K530" t="inlineStr">
        <is>
          <t>Barthes, Roland.</t>
        </is>
      </c>
      <c r="L530" t="inlineStr">
        <is>
          <t>Paris, Éditions du Seuil [1970]</t>
        </is>
      </c>
      <c r="M530" t="inlineStr">
        <is>
          <t>1970</t>
        </is>
      </c>
      <c r="O530" t="inlineStr">
        <is>
          <t>fre</t>
        </is>
      </c>
      <c r="P530" t="inlineStr">
        <is>
          <t xml:space="preserve">fr </t>
        </is>
      </c>
      <c r="Q530" t="inlineStr">
        <is>
          <t>Collection Tel quel</t>
        </is>
      </c>
      <c r="R530" t="inlineStr">
        <is>
          <t xml:space="preserve">P  </t>
        </is>
      </c>
      <c r="S530" t="n">
        <v>7</v>
      </c>
      <c r="T530" t="n">
        <v>7</v>
      </c>
      <c r="U530" t="inlineStr">
        <is>
          <t>2007-05-31</t>
        </is>
      </c>
      <c r="V530" t="inlineStr">
        <is>
          <t>2007-05-31</t>
        </is>
      </c>
      <c r="W530" t="inlineStr">
        <is>
          <t>1997-05-13</t>
        </is>
      </c>
      <c r="X530" t="inlineStr">
        <is>
          <t>1997-05-13</t>
        </is>
      </c>
      <c r="Y530" t="n">
        <v>340</v>
      </c>
      <c r="Z530" t="n">
        <v>230</v>
      </c>
      <c r="AA530" t="n">
        <v>320</v>
      </c>
      <c r="AB530" t="n">
        <v>3</v>
      </c>
      <c r="AC530" t="n">
        <v>4</v>
      </c>
      <c r="AD530" t="n">
        <v>12</v>
      </c>
      <c r="AE530" t="n">
        <v>18</v>
      </c>
      <c r="AF530" t="n">
        <v>2</v>
      </c>
      <c r="AG530" t="n">
        <v>3</v>
      </c>
      <c r="AH530" t="n">
        <v>3</v>
      </c>
      <c r="AI530" t="n">
        <v>4</v>
      </c>
      <c r="AJ530" t="n">
        <v>7</v>
      </c>
      <c r="AK530" t="n">
        <v>11</v>
      </c>
      <c r="AL530" t="n">
        <v>2</v>
      </c>
      <c r="AM530" t="n">
        <v>3</v>
      </c>
      <c r="AN530" t="n">
        <v>0</v>
      </c>
      <c r="AO530" t="n">
        <v>0</v>
      </c>
      <c r="AP530" t="inlineStr">
        <is>
          <t>No</t>
        </is>
      </c>
      <c r="AQ530" t="inlineStr">
        <is>
          <t>Yes</t>
        </is>
      </c>
      <c r="AR530">
        <f>HYPERLINK("http://catalog.hathitrust.org/Record/000007537","HathiTrust Record")</f>
        <v/>
      </c>
      <c r="AS530">
        <f>HYPERLINK("https://creighton-primo.hosted.exlibrisgroup.com/primo-explore/search?tab=default_tab&amp;search_scope=EVERYTHING&amp;vid=01CRU&amp;lang=en_US&amp;offset=0&amp;query=any,contains,991002981679702656","Catalog Record")</f>
        <v/>
      </c>
      <c r="AT530">
        <f>HYPERLINK("http://www.worldcat.org/oclc/555325","WorldCat Record")</f>
        <v/>
      </c>
      <c r="AU530" t="inlineStr">
        <is>
          <t>1614351:fre</t>
        </is>
      </c>
      <c r="AV530" t="inlineStr">
        <is>
          <t>555325</t>
        </is>
      </c>
      <c r="AW530" t="inlineStr">
        <is>
          <t>991002981679702656</t>
        </is>
      </c>
      <c r="AX530" t="inlineStr">
        <is>
          <t>991002981679702656</t>
        </is>
      </c>
      <c r="AY530" t="inlineStr">
        <is>
          <t>2260385230002656</t>
        </is>
      </c>
      <c r="AZ530" t="inlineStr">
        <is>
          <t>BOOK</t>
        </is>
      </c>
      <c r="BC530" t="inlineStr">
        <is>
          <t>32285002653805</t>
        </is>
      </c>
      <c r="BD530" t="inlineStr">
        <is>
          <t>893774255</t>
        </is>
      </c>
      <c r="BE530" t="inlineStr">
        <is>
          <t>Fajardo Acosta</t>
        </is>
      </c>
    </row>
    <row r="531">
      <c r="A531" t="inlineStr">
        <is>
          <t>No</t>
        </is>
      </c>
      <c r="B531" t="inlineStr">
        <is>
          <t>P99 .E2713 2000</t>
        </is>
      </c>
      <c r="C531" t="inlineStr">
        <is>
          <t>0                      P  0099000E  2713        2000</t>
        </is>
      </c>
      <c r="D531" t="inlineStr">
        <is>
          <t>Kant and the platypus : essays on language and cognition / Umberto Eco ; translated from the Italian by Alastair McEwen.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K531" t="inlineStr">
        <is>
          <t>Eco, Umberto.</t>
        </is>
      </c>
      <c r="L531" t="inlineStr">
        <is>
          <t>New York : Harcourt Brace, c2000.</t>
        </is>
      </c>
      <c r="M531" t="inlineStr">
        <is>
          <t>2000</t>
        </is>
      </c>
      <c r="N531" t="inlineStr">
        <is>
          <t>1st ed.</t>
        </is>
      </c>
      <c r="O531" t="inlineStr">
        <is>
          <t>eng</t>
        </is>
      </c>
      <c r="P531" t="inlineStr">
        <is>
          <t>nyu</t>
        </is>
      </c>
      <c r="R531" t="inlineStr">
        <is>
          <t xml:space="preserve">P  </t>
        </is>
      </c>
      <c r="S531" t="n">
        <v>8</v>
      </c>
      <c r="T531" t="n">
        <v>8</v>
      </c>
      <c r="U531" t="inlineStr">
        <is>
          <t>2010-03-19</t>
        </is>
      </c>
      <c r="V531" t="inlineStr">
        <is>
          <t>2010-03-19</t>
        </is>
      </c>
      <c r="W531" t="inlineStr">
        <is>
          <t>2000-02-25</t>
        </is>
      </c>
      <c r="X531" t="inlineStr">
        <is>
          <t>2000-02-25</t>
        </is>
      </c>
      <c r="Y531" t="n">
        <v>723</v>
      </c>
      <c r="Z531" t="n">
        <v>642</v>
      </c>
      <c r="AA531" t="n">
        <v>746</v>
      </c>
      <c r="AB531" t="n">
        <v>8</v>
      </c>
      <c r="AC531" t="n">
        <v>8</v>
      </c>
      <c r="AD531" t="n">
        <v>24</v>
      </c>
      <c r="AE531" t="n">
        <v>32</v>
      </c>
      <c r="AF531" t="n">
        <v>6</v>
      </c>
      <c r="AG531" t="n">
        <v>10</v>
      </c>
      <c r="AH531" t="n">
        <v>7</v>
      </c>
      <c r="AI531" t="n">
        <v>8</v>
      </c>
      <c r="AJ531" t="n">
        <v>9</v>
      </c>
      <c r="AK531" t="n">
        <v>14</v>
      </c>
      <c r="AL531" t="n">
        <v>6</v>
      </c>
      <c r="AM531" t="n">
        <v>6</v>
      </c>
      <c r="AN531" t="n">
        <v>0</v>
      </c>
      <c r="AO531" t="n">
        <v>0</v>
      </c>
      <c r="AP531" t="inlineStr">
        <is>
          <t>No</t>
        </is>
      </c>
      <c r="AQ531" t="inlineStr">
        <is>
          <t>Yes</t>
        </is>
      </c>
      <c r="AR531">
        <f>HYPERLINK("http://catalog.hathitrust.org/Record/004061698","HathiTrust Record")</f>
        <v/>
      </c>
      <c r="AS531">
        <f>HYPERLINK("https://creighton-primo.hosted.exlibrisgroup.com/primo-explore/search?tab=default_tab&amp;search_scope=EVERYTHING&amp;vid=01CRU&amp;lang=en_US&amp;offset=0&amp;query=any,contains,991000036179702656","Catalog Record")</f>
        <v/>
      </c>
      <c r="AT531">
        <f>HYPERLINK("http://www.worldcat.org/oclc/41326537","WorldCat Record")</f>
        <v/>
      </c>
      <c r="AU531" t="inlineStr">
        <is>
          <t>1151962440:eng</t>
        </is>
      </c>
      <c r="AV531" t="inlineStr">
        <is>
          <t>41326537</t>
        </is>
      </c>
      <c r="AW531" t="inlineStr">
        <is>
          <t>991000036179702656</t>
        </is>
      </c>
      <c r="AX531" t="inlineStr">
        <is>
          <t>991000036179702656</t>
        </is>
      </c>
      <c r="AY531" t="inlineStr">
        <is>
          <t>2264889840002656</t>
        </is>
      </c>
      <c r="AZ531" t="inlineStr">
        <is>
          <t>BOOK</t>
        </is>
      </c>
      <c r="BB531" t="inlineStr">
        <is>
          <t>9780151004478</t>
        </is>
      </c>
      <c r="BC531" t="inlineStr">
        <is>
          <t>32285003649026</t>
        </is>
      </c>
      <c r="BD531" t="inlineStr">
        <is>
          <t>893508441</t>
        </is>
      </c>
      <c r="BE531" t="inlineStr">
        <is>
          <t>Fajardo Acosta</t>
        </is>
      </c>
    </row>
    <row r="532">
      <c r="A532" t="inlineStr">
        <is>
          <t>No</t>
        </is>
      </c>
      <c r="B532" t="inlineStr">
        <is>
          <t>P99 .O37 2005</t>
        </is>
      </c>
      <c r="C532" t="inlineStr">
        <is>
          <t>0                      P  0099000O  37          2005</t>
        </is>
      </c>
      <c r="D532" t="inlineStr">
        <is>
          <t>Sensus spiritualis : studies in medieval significs and the philology of culture / Friedrich Ohly ; edited and with an epilogue by Samuel P. Jaffe ; translated by Kenneth J. Northcott.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K532" t="inlineStr">
        <is>
          <t>Ohly, Friedrich, 1914-1996.</t>
        </is>
      </c>
      <c r="L532" t="inlineStr">
        <is>
          <t>Chicago : University of Chicago Press, 2005.</t>
        </is>
      </c>
      <c r="M532" t="inlineStr">
        <is>
          <t>2005</t>
        </is>
      </c>
      <c r="O532" t="inlineStr">
        <is>
          <t>eng</t>
        </is>
      </c>
      <c r="P532" t="inlineStr">
        <is>
          <t>ilu</t>
        </is>
      </c>
      <c r="R532" t="inlineStr">
        <is>
          <t xml:space="preserve">P  </t>
        </is>
      </c>
      <c r="S532" t="n">
        <v>2</v>
      </c>
      <c r="T532" t="n">
        <v>2</v>
      </c>
      <c r="U532" t="inlineStr">
        <is>
          <t>2009-04-03</t>
        </is>
      </c>
      <c r="V532" t="inlineStr">
        <is>
          <t>2009-04-03</t>
        </is>
      </c>
      <c r="W532" t="inlineStr">
        <is>
          <t>2007-03-15</t>
        </is>
      </c>
      <c r="X532" t="inlineStr">
        <is>
          <t>2007-03-15</t>
        </is>
      </c>
      <c r="Y532" t="n">
        <v>210</v>
      </c>
      <c r="Z532" t="n">
        <v>168</v>
      </c>
      <c r="AA532" t="n">
        <v>169</v>
      </c>
      <c r="AB532" t="n">
        <v>2</v>
      </c>
      <c r="AC532" t="n">
        <v>2</v>
      </c>
      <c r="AD532" t="n">
        <v>8</v>
      </c>
      <c r="AE532" t="n">
        <v>8</v>
      </c>
      <c r="AF532" t="n">
        <v>1</v>
      </c>
      <c r="AG532" t="n">
        <v>1</v>
      </c>
      <c r="AH532" t="n">
        <v>4</v>
      </c>
      <c r="AI532" t="n">
        <v>4</v>
      </c>
      <c r="AJ532" t="n">
        <v>3</v>
      </c>
      <c r="AK532" t="n">
        <v>3</v>
      </c>
      <c r="AL532" t="n">
        <v>1</v>
      </c>
      <c r="AM532" t="n">
        <v>1</v>
      </c>
      <c r="AN532" t="n">
        <v>0</v>
      </c>
      <c r="AO532" t="n">
        <v>0</v>
      </c>
      <c r="AP532" t="inlineStr">
        <is>
          <t>No</t>
        </is>
      </c>
      <c r="AQ532" t="inlineStr">
        <is>
          <t>Yes</t>
        </is>
      </c>
      <c r="AR532">
        <f>HYPERLINK("http://catalog.hathitrust.org/Record/005104846","HathiTrust Record")</f>
        <v/>
      </c>
      <c r="AS532">
        <f>HYPERLINK("https://creighton-primo.hosted.exlibrisgroup.com/primo-explore/search?tab=default_tab&amp;search_scope=EVERYTHING&amp;vid=01CRU&amp;lang=en_US&amp;offset=0&amp;query=any,contains,991005021299702656","Catalog Record")</f>
        <v/>
      </c>
      <c r="AT532">
        <f>HYPERLINK("http://www.worldcat.org/oclc/52937494","WorldCat Record")</f>
        <v/>
      </c>
      <c r="AU532" t="inlineStr">
        <is>
          <t>666888:eng</t>
        </is>
      </c>
      <c r="AV532" t="inlineStr">
        <is>
          <t>52937494</t>
        </is>
      </c>
      <c r="AW532" t="inlineStr">
        <is>
          <t>991005021299702656</t>
        </is>
      </c>
      <c r="AX532" t="inlineStr">
        <is>
          <t>991005021299702656</t>
        </is>
      </c>
      <c r="AY532" t="inlineStr">
        <is>
          <t>2263008820002656</t>
        </is>
      </c>
      <c r="AZ532" t="inlineStr">
        <is>
          <t>BOOK</t>
        </is>
      </c>
      <c r="BB532" t="inlineStr">
        <is>
          <t>9780226620893</t>
        </is>
      </c>
      <c r="BC532" t="inlineStr">
        <is>
          <t>32285005282032</t>
        </is>
      </c>
      <c r="BD532" t="inlineStr">
        <is>
          <t>893319901</t>
        </is>
      </c>
      <c r="BE532" t="inlineStr">
        <is>
          <t>Fajardo Acosta</t>
        </is>
      </c>
    </row>
    <row r="533">
      <c r="A533" t="inlineStr">
        <is>
          <t>No</t>
        </is>
      </c>
      <c r="B533" t="inlineStr">
        <is>
          <t>P99 .P4 1977</t>
        </is>
      </c>
      <c r="C533" t="inlineStr">
        <is>
          <t>0                      P  0099000P  4           1977</t>
        </is>
      </c>
      <c r="D533" t="inlineStr">
        <is>
          <t>Semiotic and significs : the correspondence between Charles S. Peirce and Lady Victoria Welby / edited by Charles S. Hardwick, with the assistance of James Cook.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K533" t="inlineStr">
        <is>
          <t>Peirce, Charles S. (Charles Sanders), 1839-1914.</t>
        </is>
      </c>
      <c r="L533" t="inlineStr">
        <is>
          <t>Bloomington : Indiana University Press, c1977.</t>
        </is>
      </c>
      <c r="M533" t="inlineStr">
        <is>
          <t>1977</t>
        </is>
      </c>
      <c r="O533" t="inlineStr">
        <is>
          <t>eng</t>
        </is>
      </c>
      <c r="P533" t="inlineStr">
        <is>
          <t>inu</t>
        </is>
      </c>
      <c r="R533" t="inlineStr">
        <is>
          <t xml:space="preserve">P  </t>
        </is>
      </c>
      <c r="S533" t="n">
        <v>4</v>
      </c>
      <c r="T533" t="n">
        <v>4</v>
      </c>
      <c r="U533" t="inlineStr">
        <is>
          <t>2003-05-05</t>
        </is>
      </c>
      <c r="V533" t="inlineStr">
        <is>
          <t>2003-05-05</t>
        </is>
      </c>
      <c r="W533" t="inlineStr">
        <is>
          <t>1997-08-18</t>
        </is>
      </c>
      <c r="X533" t="inlineStr">
        <is>
          <t>1997-08-18</t>
        </is>
      </c>
      <c r="Y533" t="n">
        <v>487</v>
      </c>
      <c r="Z533" t="n">
        <v>396</v>
      </c>
      <c r="AA533" t="n">
        <v>408</v>
      </c>
      <c r="AB533" t="n">
        <v>3</v>
      </c>
      <c r="AC533" t="n">
        <v>3</v>
      </c>
      <c r="AD533" t="n">
        <v>25</v>
      </c>
      <c r="AE533" t="n">
        <v>25</v>
      </c>
      <c r="AF533" t="n">
        <v>9</v>
      </c>
      <c r="AG533" t="n">
        <v>9</v>
      </c>
      <c r="AH533" t="n">
        <v>9</v>
      </c>
      <c r="AI533" t="n">
        <v>9</v>
      </c>
      <c r="AJ533" t="n">
        <v>14</v>
      </c>
      <c r="AK533" t="n">
        <v>14</v>
      </c>
      <c r="AL533" t="n">
        <v>2</v>
      </c>
      <c r="AM533" t="n">
        <v>2</v>
      </c>
      <c r="AN533" t="n">
        <v>0</v>
      </c>
      <c r="AO533" t="n">
        <v>0</v>
      </c>
      <c r="AP533" t="inlineStr">
        <is>
          <t>No</t>
        </is>
      </c>
      <c r="AQ533" t="inlineStr">
        <is>
          <t>Yes</t>
        </is>
      </c>
      <c r="AR533">
        <f>HYPERLINK("http://catalog.hathitrust.org/Record/000742954","HathiTrust Record")</f>
        <v/>
      </c>
      <c r="AS533">
        <f>HYPERLINK("https://creighton-primo.hosted.exlibrisgroup.com/primo-explore/search?tab=default_tab&amp;search_scope=EVERYTHING&amp;vid=01CRU&amp;lang=en_US&amp;offset=0&amp;query=any,contains,991004112449702656","Catalog Record")</f>
        <v/>
      </c>
      <c r="AT533">
        <f>HYPERLINK("http://www.worldcat.org/oclc/2401585","WorldCat Record")</f>
        <v/>
      </c>
      <c r="AU533" t="inlineStr">
        <is>
          <t>889401428:eng</t>
        </is>
      </c>
      <c r="AV533" t="inlineStr">
        <is>
          <t>2401585</t>
        </is>
      </c>
      <c r="AW533" t="inlineStr">
        <is>
          <t>991004112449702656</t>
        </is>
      </c>
      <c r="AX533" t="inlineStr">
        <is>
          <t>991004112449702656</t>
        </is>
      </c>
      <c r="AY533" t="inlineStr">
        <is>
          <t>2266439140002656</t>
        </is>
      </c>
      <c r="AZ533" t="inlineStr">
        <is>
          <t>BOOK</t>
        </is>
      </c>
      <c r="BB533" t="inlineStr">
        <is>
          <t>9780253351630</t>
        </is>
      </c>
      <c r="BC533" t="inlineStr">
        <is>
          <t>32285003095782</t>
        </is>
      </c>
      <c r="BD533" t="inlineStr">
        <is>
          <t>893599441</t>
        </is>
      </c>
      <c r="BE533" t="inlineStr">
        <is>
          <t>Fajardo Acosta</t>
        </is>
      </c>
    </row>
    <row r="534">
      <c r="A534" t="inlineStr">
        <is>
          <t>No</t>
        </is>
      </c>
      <c r="B534" t="inlineStr">
        <is>
          <t>P99 .S324 1986</t>
        </is>
      </c>
      <c r="C534" t="inlineStr">
        <is>
          <t>0                      P  0099000S  324         1986</t>
        </is>
      </c>
      <c r="D534" t="inlineStr">
        <is>
          <t>I think I am a verb : more contributions to the doctrine of signs / Thomas A. Sebeok.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No</t>
        </is>
      </c>
      <c r="J534" t="inlineStr">
        <is>
          <t>0</t>
        </is>
      </c>
      <c r="K534" t="inlineStr">
        <is>
          <t>Sebeok, Thomas A. (Thomas Albert), 1920-2001.</t>
        </is>
      </c>
      <c r="L534" t="inlineStr">
        <is>
          <t>New York : Plenum Press, c1986.</t>
        </is>
      </c>
      <c r="M534" t="inlineStr">
        <is>
          <t>1986</t>
        </is>
      </c>
      <c r="O534" t="inlineStr">
        <is>
          <t>eng</t>
        </is>
      </c>
      <c r="P534" t="inlineStr">
        <is>
          <t>nyu</t>
        </is>
      </c>
      <c r="Q534" t="inlineStr">
        <is>
          <t>Topics in contemporary semiotics</t>
        </is>
      </c>
      <c r="R534" t="inlineStr">
        <is>
          <t xml:space="preserve">P  </t>
        </is>
      </c>
      <c r="S534" t="n">
        <v>4</v>
      </c>
      <c r="T534" t="n">
        <v>4</v>
      </c>
      <c r="U534" t="inlineStr">
        <is>
          <t>2003-05-05</t>
        </is>
      </c>
      <c r="V534" t="inlineStr">
        <is>
          <t>2003-05-05</t>
        </is>
      </c>
      <c r="W534" t="inlineStr">
        <is>
          <t>1993-04-01</t>
        </is>
      </c>
      <c r="X534" t="inlineStr">
        <is>
          <t>1993-04-01</t>
        </is>
      </c>
      <c r="Y534" t="n">
        <v>275</v>
      </c>
      <c r="Z534" t="n">
        <v>205</v>
      </c>
      <c r="AA534" t="n">
        <v>226</v>
      </c>
      <c r="AB534" t="n">
        <v>1</v>
      </c>
      <c r="AC534" t="n">
        <v>1</v>
      </c>
      <c r="AD534" t="n">
        <v>7</v>
      </c>
      <c r="AE534" t="n">
        <v>9</v>
      </c>
      <c r="AF534" t="n">
        <v>4</v>
      </c>
      <c r="AG534" t="n">
        <v>6</v>
      </c>
      <c r="AH534" t="n">
        <v>2</v>
      </c>
      <c r="AI534" t="n">
        <v>2</v>
      </c>
      <c r="AJ534" t="n">
        <v>5</v>
      </c>
      <c r="AK534" t="n">
        <v>6</v>
      </c>
      <c r="AL534" t="n">
        <v>0</v>
      </c>
      <c r="AM534" t="n">
        <v>0</v>
      </c>
      <c r="AN534" t="n">
        <v>0</v>
      </c>
      <c r="AO534" t="n">
        <v>0</v>
      </c>
      <c r="AP534" t="inlineStr">
        <is>
          <t>No</t>
        </is>
      </c>
      <c r="AQ534" t="inlineStr">
        <is>
          <t>Yes</t>
        </is>
      </c>
      <c r="AR534">
        <f>HYPERLINK("http://catalog.hathitrust.org/Record/000634546","HathiTrust Record")</f>
        <v/>
      </c>
      <c r="AS534">
        <f>HYPERLINK("https://creighton-primo.hosted.exlibrisgroup.com/primo-explore/search?tab=default_tab&amp;search_scope=EVERYTHING&amp;vid=01CRU&amp;lang=en_US&amp;offset=0&amp;query=any,contains,991000842439702656","Catalog Record")</f>
        <v/>
      </c>
      <c r="AT534">
        <f>HYPERLINK("http://www.worldcat.org/oclc/13526182","WorldCat Record")</f>
        <v/>
      </c>
      <c r="AU534" t="inlineStr">
        <is>
          <t>138567372:eng</t>
        </is>
      </c>
      <c r="AV534" t="inlineStr">
        <is>
          <t>13526182</t>
        </is>
      </c>
      <c r="AW534" t="inlineStr">
        <is>
          <t>991000842439702656</t>
        </is>
      </c>
      <c r="AX534" t="inlineStr">
        <is>
          <t>991000842439702656</t>
        </is>
      </c>
      <c r="AY534" t="inlineStr">
        <is>
          <t>2260930890002656</t>
        </is>
      </c>
      <c r="AZ534" t="inlineStr">
        <is>
          <t>BOOK</t>
        </is>
      </c>
      <c r="BB534" t="inlineStr">
        <is>
          <t>9780306420368</t>
        </is>
      </c>
      <c r="BC534" t="inlineStr">
        <is>
          <t>32285001612794</t>
        </is>
      </c>
      <c r="BD534" t="inlineStr">
        <is>
          <t>893891064</t>
        </is>
      </c>
      <c r="BE534" t="inlineStr">
        <is>
          <t>Fajardo Acosta</t>
        </is>
      </c>
    </row>
    <row r="535">
      <c r="A535" t="inlineStr">
        <is>
          <t>No</t>
        </is>
      </c>
      <c r="B535" t="inlineStr">
        <is>
          <t>P99 .S47</t>
        </is>
      </c>
      <c r="C535" t="inlineStr">
        <is>
          <t>0                      P  0099000S  47</t>
        </is>
      </c>
      <c r="D535" t="inlineStr">
        <is>
          <t>Sight, sound, and sense / edited by Thomas A. Sebeok.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L535" t="inlineStr">
        <is>
          <t>Bloomington : Indiana University Press, c1978.</t>
        </is>
      </c>
      <c r="M535" t="inlineStr">
        <is>
          <t>1978</t>
        </is>
      </c>
      <c r="O535" t="inlineStr">
        <is>
          <t>eng</t>
        </is>
      </c>
      <c r="P535" t="inlineStr">
        <is>
          <t>inu</t>
        </is>
      </c>
      <c r="Q535" t="inlineStr">
        <is>
          <t>Advances in semiotics</t>
        </is>
      </c>
      <c r="R535" t="inlineStr">
        <is>
          <t xml:space="preserve">P  </t>
        </is>
      </c>
      <c r="S535" t="n">
        <v>3</v>
      </c>
      <c r="T535" t="n">
        <v>3</v>
      </c>
      <c r="U535" t="inlineStr">
        <is>
          <t>2003-05-05</t>
        </is>
      </c>
      <c r="V535" t="inlineStr">
        <is>
          <t>2003-05-05</t>
        </is>
      </c>
      <c r="W535" t="inlineStr">
        <is>
          <t>1993-04-01</t>
        </is>
      </c>
      <c r="X535" t="inlineStr">
        <is>
          <t>1993-04-01</t>
        </is>
      </c>
      <c r="Y535" t="n">
        <v>670</v>
      </c>
      <c r="Z535" t="n">
        <v>540</v>
      </c>
      <c r="AA535" t="n">
        <v>542</v>
      </c>
      <c r="AB535" t="n">
        <v>4</v>
      </c>
      <c r="AC535" t="n">
        <v>4</v>
      </c>
      <c r="AD535" t="n">
        <v>28</v>
      </c>
      <c r="AE535" t="n">
        <v>28</v>
      </c>
      <c r="AF535" t="n">
        <v>9</v>
      </c>
      <c r="AG535" t="n">
        <v>9</v>
      </c>
      <c r="AH535" t="n">
        <v>8</v>
      </c>
      <c r="AI535" t="n">
        <v>8</v>
      </c>
      <c r="AJ535" t="n">
        <v>15</v>
      </c>
      <c r="AK535" t="n">
        <v>15</v>
      </c>
      <c r="AL535" t="n">
        <v>3</v>
      </c>
      <c r="AM535" t="n">
        <v>3</v>
      </c>
      <c r="AN535" t="n">
        <v>0</v>
      </c>
      <c r="AO535" t="n">
        <v>0</v>
      </c>
      <c r="AP535" t="inlineStr">
        <is>
          <t>No</t>
        </is>
      </c>
      <c r="AQ535" t="inlineStr">
        <is>
          <t>Yes</t>
        </is>
      </c>
      <c r="AR535">
        <f>HYPERLINK("http://catalog.hathitrust.org/Record/000293612","HathiTrust Record")</f>
        <v/>
      </c>
      <c r="AS535">
        <f>HYPERLINK("https://creighton-primo.hosted.exlibrisgroup.com/primo-explore/search?tab=default_tab&amp;search_scope=EVERYTHING&amp;vid=01CRU&amp;lang=en_US&amp;offset=0&amp;query=any,contains,991004363409702656","Catalog Record")</f>
        <v/>
      </c>
      <c r="AT535">
        <f>HYPERLINK("http://www.worldcat.org/oclc/3168432","WorldCat Record")</f>
        <v/>
      </c>
      <c r="AU535" t="inlineStr">
        <is>
          <t>3857799431:eng</t>
        </is>
      </c>
      <c r="AV535" t="inlineStr">
        <is>
          <t>3168432</t>
        </is>
      </c>
      <c r="AW535" t="inlineStr">
        <is>
          <t>991004363409702656</t>
        </is>
      </c>
      <c r="AX535" t="inlineStr">
        <is>
          <t>991004363409702656</t>
        </is>
      </c>
      <c r="AY535" t="inlineStr">
        <is>
          <t>2262970700002656</t>
        </is>
      </c>
      <c r="AZ535" t="inlineStr">
        <is>
          <t>BOOK</t>
        </is>
      </c>
      <c r="BB535" t="inlineStr">
        <is>
          <t>9780253352309</t>
        </is>
      </c>
      <c r="BC535" t="inlineStr">
        <is>
          <t>32285001612836</t>
        </is>
      </c>
      <c r="BD535" t="inlineStr">
        <is>
          <t>893687638</t>
        </is>
      </c>
      <c r="BE535" t="inlineStr">
        <is>
          <t>Fajardo Acosta</t>
        </is>
      </c>
    </row>
    <row r="536">
      <c r="A536" t="inlineStr">
        <is>
          <t>No</t>
        </is>
      </c>
      <c r="B536" t="inlineStr">
        <is>
          <t>P99 .T613 1982</t>
        </is>
      </c>
      <c r="C536" t="inlineStr">
        <is>
          <t>0                      P  0099000T  613         1982</t>
        </is>
      </c>
      <c r="D536" t="inlineStr">
        <is>
          <t>Theories of the symbol / Tzvetan Todorov ; Catherine Porter, translator.</t>
        </is>
      </c>
      <c r="F536" t="inlineStr">
        <is>
          <t>No</t>
        </is>
      </c>
      <c r="G536" t="inlineStr">
        <is>
          <t>1</t>
        </is>
      </c>
      <c r="H536" t="inlineStr">
        <is>
          <t>No</t>
        </is>
      </c>
      <c r="I536" t="inlineStr">
        <is>
          <t>No</t>
        </is>
      </c>
      <c r="J536" t="inlineStr">
        <is>
          <t>0</t>
        </is>
      </c>
      <c r="K536" t="inlineStr">
        <is>
          <t>Todorov, Tzvetan, 1939-2017.</t>
        </is>
      </c>
      <c r="L536" t="inlineStr">
        <is>
          <t>Oxford : Blackwell ; Ithaca, N.Y. : Cornell University Press, c1982.</t>
        </is>
      </c>
      <c r="M536" t="inlineStr">
        <is>
          <t>1982</t>
        </is>
      </c>
      <c r="O536" t="inlineStr">
        <is>
          <t>eng</t>
        </is>
      </c>
      <c r="P536" t="inlineStr">
        <is>
          <t>enk</t>
        </is>
      </c>
      <c r="R536" t="inlineStr">
        <is>
          <t xml:space="preserve">P  </t>
        </is>
      </c>
      <c r="S536" t="n">
        <v>4</v>
      </c>
      <c r="T536" t="n">
        <v>4</v>
      </c>
      <c r="U536" t="inlineStr">
        <is>
          <t>1997-05-14</t>
        </is>
      </c>
      <c r="V536" t="inlineStr">
        <is>
          <t>1997-05-14</t>
        </is>
      </c>
      <c r="W536" t="inlineStr">
        <is>
          <t>1993-04-01</t>
        </is>
      </c>
      <c r="X536" t="inlineStr">
        <is>
          <t>1993-04-01</t>
        </is>
      </c>
      <c r="Y536" t="n">
        <v>744</v>
      </c>
      <c r="Z536" t="n">
        <v>633</v>
      </c>
      <c r="AA536" t="n">
        <v>668</v>
      </c>
      <c r="AB536" t="n">
        <v>4</v>
      </c>
      <c r="AC536" t="n">
        <v>4</v>
      </c>
      <c r="AD536" t="n">
        <v>38</v>
      </c>
      <c r="AE536" t="n">
        <v>38</v>
      </c>
      <c r="AF536" t="n">
        <v>15</v>
      </c>
      <c r="AG536" t="n">
        <v>15</v>
      </c>
      <c r="AH536" t="n">
        <v>9</v>
      </c>
      <c r="AI536" t="n">
        <v>9</v>
      </c>
      <c r="AJ536" t="n">
        <v>20</v>
      </c>
      <c r="AK536" t="n">
        <v>20</v>
      </c>
      <c r="AL536" t="n">
        <v>3</v>
      </c>
      <c r="AM536" t="n">
        <v>3</v>
      </c>
      <c r="AN536" t="n">
        <v>1</v>
      </c>
      <c r="AO536" t="n">
        <v>1</v>
      </c>
      <c r="AP536" t="inlineStr">
        <is>
          <t>No</t>
        </is>
      </c>
      <c r="AQ536" t="inlineStr">
        <is>
          <t>No</t>
        </is>
      </c>
      <c r="AS536">
        <f>HYPERLINK("https://creighton-primo.hosted.exlibrisgroup.com/primo-explore/search?tab=default_tab&amp;search_scope=EVERYTHING&amp;vid=01CRU&amp;lang=en_US&amp;offset=0&amp;query=any,contains,991005183119702656","Catalog Record")</f>
        <v/>
      </c>
      <c r="AT536">
        <f>HYPERLINK("http://www.worldcat.org/oclc/7947634","WorldCat Record")</f>
        <v/>
      </c>
      <c r="AU536" t="inlineStr">
        <is>
          <t>450426:eng</t>
        </is>
      </c>
      <c r="AV536" t="inlineStr">
        <is>
          <t>7947634</t>
        </is>
      </c>
      <c r="AW536" t="inlineStr">
        <is>
          <t>991005183119702656</t>
        </is>
      </c>
      <c r="AX536" t="inlineStr">
        <is>
          <t>991005183119702656</t>
        </is>
      </c>
      <c r="AY536" t="inlineStr">
        <is>
          <t>2270010780002656</t>
        </is>
      </c>
      <c r="AZ536" t="inlineStr">
        <is>
          <t>BOOK</t>
        </is>
      </c>
      <c r="BB536" t="inlineStr">
        <is>
          <t>9780801411922</t>
        </is>
      </c>
      <c r="BC536" t="inlineStr">
        <is>
          <t>32285001612869</t>
        </is>
      </c>
      <c r="BD536" t="inlineStr">
        <is>
          <t>893437296</t>
        </is>
      </c>
      <c r="BE536" t="inlineStr">
        <is>
          <t>Fajardo Acosta</t>
        </is>
      </c>
    </row>
    <row r="537">
      <c r="A537" t="inlineStr">
        <is>
          <t>No</t>
        </is>
      </c>
      <c r="B537" t="inlineStr">
        <is>
          <t>QD281.O9 S528</t>
        </is>
      </c>
      <c r="C537" t="inlineStr">
        <is>
          <t>0                      QD 0281000O  9                  S  528</t>
        </is>
      </c>
      <c r="D537" t="inlineStr">
        <is>
          <t>Singlet oxygen / [edited by] Harry H. Wasserman, Robert W. Murray.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L537" t="inlineStr">
        <is>
          <t>New York : Academic Press, 1978.</t>
        </is>
      </c>
      <c r="M537" t="inlineStr">
        <is>
          <t>1978</t>
        </is>
      </c>
      <c r="O537" t="inlineStr">
        <is>
          <t>eng</t>
        </is>
      </c>
      <c r="P537" t="inlineStr">
        <is>
          <t>nyu</t>
        </is>
      </c>
      <c r="Q537" t="inlineStr">
        <is>
          <t>Organic chemistry, a series of monographs ; vol. 40</t>
        </is>
      </c>
      <c r="R537" t="inlineStr">
        <is>
          <t xml:space="preserve">QD </t>
        </is>
      </c>
      <c r="S537" t="n">
        <v>3</v>
      </c>
      <c r="T537" t="n">
        <v>3</v>
      </c>
      <c r="U537" t="inlineStr">
        <is>
          <t>1997-10-22</t>
        </is>
      </c>
      <c r="V537" t="inlineStr">
        <is>
          <t>1997-10-22</t>
        </is>
      </c>
      <c r="W537" t="inlineStr">
        <is>
          <t>1993-01-28</t>
        </is>
      </c>
      <c r="X537" t="inlineStr">
        <is>
          <t>1993-01-28</t>
        </is>
      </c>
      <c r="Y537" t="n">
        <v>414</v>
      </c>
      <c r="Z537" t="n">
        <v>293</v>
      </c>
      <c r="AA537" t="n">
        <v>301</v>
      </c>
      <c r="AB537" t="n">
        <v>2</v>
      </c>
      <c r="AC537" t="n">
        <v>2</v>
      </c>
      <c r="AD537" t="n">
        <v>15</v>
      </c>
      <c r="AE537" t="n">
        <v>15</v>
      </c>
      <c r="AF537" t="n">
        <v>4</v>
      </c>
      <c r="AG537" t="n">
        <v>4</v>
      </c>
      <c r="AH537" t="n">
        <v>3</v>
      </c>
      <c r="AI537" t="n">
        <v>3</v>
      </c>
      <c r="AJ537" t="n">
        <v>9</v>
      </c>
      <c r="AK537" t="n">
        <v>9</v>
      </c>
      <c r="AL537" t="n">
        <v>1</v>
      </c>
      <c r="AM537" t="n">
        <v>1</v>
      </c>
      <c r="AN537" t="n">
        <v>0</v>
      </c>
      <c r="AO537" t="n">
        <v>0</v>
      </c>
      <c r="AP537" t="inlineStr">
        <is>
          <t>No</t>
        </is>
      </c>
      <c r="AQ537" t="inlineStr">
        <is>
          <t>Yes</t>
        </is>
      </c>
      <c r="AR537">
        <f>HYPERLINK("http://catalog.hathitrust.org/Record/000138405","HathiTrust Record")</f>
        <v/>
      </c>
      <c r="AS537">
        <f>HYPERLINK("https://creighton-primo.hosted.exlibrisgroup.com/primo-explore/search?tab=default_tab&amp;search_scope=EVERYTHING&amp;vid=01CRU&amp;lang=en_US&amp;offset=0&amp;query=any,contains,991004664599702656","Catalog Record")</f>
        <v/>
      </c>
      <c r="AT537">
        <f>HYPERLINK("http://www.worldcat.org/oclc/4500003","WorldCat Record")</f>
        <v/>
      </c>
      <c r="AU537" t="inlineStr">
        <is>
          <t>355548387:eng</t>
        </is>
      </c>
      <c r="AV537" t="inlineStr">
        <is>
          <t>4500003</t>
        </is>
      </c>
      <c r="AW537" t="inlineStr">
        <is>
          <t>991004664599702656</t>
        </is>
      </c>
      <c r="AX537" t="inlineStr">
        <is>
          <t>991004664599702656</t>
        </is>
      </c>
      <c r="AY537" t="inlineStr">
        <is>
          <t>2266643510002656</t>
        </is>
      </c>
      <c r="AZ537" t="inlineStr">
        <is>
          <t>BOOK</t>
        </is>
      </c>
      <c r="BB537" t="inlineStr">
        <is>
          <t>9780127366500</t>
        </is>
      </c>
      <c r="BC537" t="inlineStr">
        <is>
          <t>32285001516052</t>
        </is>
      </c>
      <c r="BD537" t="inlineStr">
        <is>
          <t>893624942</t>
        </is>
      </c>
      <c r="BE537" t="inlineStr">
        <is>
          <t>Parsons</t>
        </is>
      </c>
    </row>
    <row r="538">
      <c r="A538" t="inlineStr">
        <is>
          <t>No</t>
        </is>
      </c>
      <c r="B538" t="inlineStr">
        <is>
          <t>QD453 .A27 v. 119</t>
        </is>
      </c>
      <c r="C538" t="inlineStr">
        <is>
          <t>0                      QD 0453000A  27                                                      v. 119</t>
        </is>
      </c>
      <c r="D538" t="inlineStr">
        <is>
          <t>Modern nonlinear optics / edited by Myron W. Evans ; series editors, I. Prigogine and Stuart A. Rice.</t>
        </is>
      </c>
      <c r="E538" t="inlineStr">
        <is>
          <t>V. 119 PT. 1</t>
        </is>
      </c>
      <c r="F538" t="inlineStr">
        <is>
          <t>Yes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L538" t="inlineStr">
        <is>
          <t>New York : J. Wiley, c2001.</t>
        </is>
      </c>
      <c r="M538" t="inlineStr">
        <is>
          <t>2001</t>
        </is>
      </c>
      <c r="N538" t="inlineStr">
        <is>
          <t>[2nd ed.]</t>
        </is>
      </c>
      <c r="O538" t="inlineStr">
        <is>
          <t>eng</t>
        </is>
      </c>
      <c r="P538" t="inlineStr">
        <is>
          <t>nyu</t>
        </is>
      </c>
      <c r="Q538" t="inlineStr">
        <is>
          <t>Advances in chemical physics, 0065-2385 ; 119</t>
        </is>
      </c>
      <c r="R538" t="inlineStr">
        <is>
          <t xml:space="preserve">QD </t>
        </is>
      </c>
      <c r="S538" t="n">
        <v>2</v>
      </c>
      <c r="T538" t="n">
        <v>6</v>
      </c>
      <c r="U538" t="inlineStr">
        <is>
          <t>2002-10-14</t>
        </is>
      </c>
      <c r="V538" t="inlineStr">
        <is>
          <t>2002-10-14</t>
        </is>
      </c>
      <c r="W538" t="inlineStr">
        <is>
          <t>2001-12-05</t>
        </is>
      </c>
      <c r="X538" t="inlineStr">
        <is>
          <t>2001-12-05</t>
        </is>
      </c>
      <c r="Y538" t="n">
        <v>130</v>
      </c>
      <c r="Z538" t="n">
        <v>102</v>
      </c>
      <c r="AA538" t="n">
        <v>176</v>
      </c>
      <c r="AB538" t="n">
        <v>1</v>
      </c>
      <c r="AC538" t="n">
        <v>1</v>
      </c>
      <c r="AD538" t="n">
        <v>5</v>
      </c>
      <c r="AE538" t="n">
        <v>5</v>
      </c>
      <c r="AF538" t="n">
        <v>1</v>
      </c>
      <c r="AG538" t="n">
        <v>1</v>
      </c>
      <c r="AH538" t="n">
        <v>0</v>
      </c>
      <c r="AI538" t="n">
        <v>0</v>
      </c>
      <c r="AJ538" t="n">
        <v>5</v>
      </c>
      <c r="AK538" t="n">
        <v>5</v>
      </c>
      <c r="AL538" t="n">
        <v>0</v>
      </c>
      <c r="AM538" t="n">
        <v>0</v>
      </c>
      <c r="AN538" t="n">
        <v>0</v>
      </c>
      <c r="AO538" t="n">
        <v>0</v>
      </c>
      <c r="AP538" t="inlineStr">
        <is>
          <t>No</t>
        </is>
      </c>
      <c r="AQ538" t="inlineStr">
        <is>
          <t>Yes</t>
        </is>
      </c>
      <c r="AR538">
        <f>HYPERLINK("http://catalog.hathitrust.org/Record/003580459","HathiTrust Record")</f>
        <v/>
      </c>
      <c r="AS538">
        <f>HYPERLINK("https://creighton-primo.hosted.exlibrisgroup.com/primo-explore/search?tab=default_tab&amp;search_scope=EVERYTHING&amp;vid=01CRU&amp;lang=en_US&amp;offset=0&amp;query=any,contains,991003685849702656","Catalog Record")</f>
        <v/>
      </c>
      <c r="AT538">
        <f>HYPERLINK("http://www.worldcat.org/oclc/47995316","WorldCat Record")</f>
        <v/>
      </c>
      <c r="AU538" t="inlineStr">
        <is>
          <t>4095822433:eng</t>
        </is>
      </c>
      <c r="AV538" t="inlineStr">
        <is>
          <t>47995316</t>
        </is>
      </c>
      <c r="AW538" t="inlineStr">
        <is>
          <t>991003685849702656</t>
        </is>
      </c>
      <c r="AX538" t="inlineStr">
        <is>
          <t>991003685849702656</t>
        </is>
      </c>
      <c r="AY538" t="inlineStr">
        <is>
          <t>2272325880002656</t>
        </is>
      </c>
      <c r="AZ538" t="inlineStr">
        <is>
          <t>BOOK</t>
        </is>
      </c>
      <c r="BB538" t="inlineStr">
        <is>
          <t>9780471387367</t>
        </is>
      </c>
      <c r="BC538" t="inlineStr">
        <is>
          <t>32285004426150</t>
        </is>
      </c>
      <c r="BD538" t="inlineStr">
        <is>
          <t>893711658</t>
        </is>
      </c>
      <c r="BE538" t="inlineStr">
        <is>
          <t>Parsons</t>
        </is>
      </c>
    </row>
    <row r="539">
      <c r="A539" t="inlineStr">
        <is>
          <t>No</t>
        </is>
      </c>
      <c r="B539" t="inlineStr">
        <is>
          <t>QD453 .A27 v. 119</t>
        </is>
      </c>
      <c r="C539" t="inlineStr">
        <is>
          <t>0                      QD 0453000A  27                                                      v. 119</t>
        </is>
      </c>
      <c r="D539" t="inlineStr">
        <is>
          <t>Modern nonlinear optics / edited by Myron W. Evans ; series editors, I. Prigogine and Stuart A. Rice.</t>
        </is>
      </c>
      <c r="E539" t="inlineStr">
        <is>
          <t>V. 119 PT. 3</t>
        </is>
      </c>
      <c r="F539" t="inlineStr">
        <is>
          <t>Yes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L539" t="inlineStr">
        <is>
          <t>New York : J. Wiley, c2001.</t>
        </is>
      </c>
      <c r="M539" t="inlineStr">
        <is>
          <t>2001</t>
        </is>
      </c>
      <c r="N539" t="inlineStr">
        <is>
          <t>[2nd ed.]</t>
        </is>
      </c>
      <c r="O539" t="inlineStr">
        <is>
          <t>eng</t>
        </is>
      </c>
      <c r="P539" t="inlineStr">
        <is>
          <t>nyu</t>
        </is>
      </c>
      <c r="Q539" t="inlineStr">
        <is>
          <t>Advances in chemical physics, 0065-2385 ; 119</t>
        </is>
      </c>
      <c r="R539" t="inlineStr">
        <is>
          <t xml:space="preserve">QD </t>
        </is>
      </c>
      <c r="S539" t="n">
        <v>2</v>
      </c>
      <c r="T539" t="n">
        <v>6</v>
      </c>
      <c r="U539" t="inlineStr">
        <is>
          <t>2002-10-14</t>
        </is>
      </c>
      <c r="V539" t="inlineStr">
        <is>
          <t>2002-10-14</t>
        </is>
      </c>
      <c r="W539" t="inlineStr">
        <is>
          <t>2001-12-05</t>
        </is>
      </c>
      <c r="X539" t="inlineStr">
        <is>
          <t>2001-12-05</t>
        </is>
      </c>
      <c r="Y539" t="n">
        <v>130</v>
      </c>
      <c r="Z539" t="n">
        <v>102</v>
      </c>
      <c r="AA539" t="n">
        <v>176</v>
      </c>
      <c r="AB539" t="n">
        <v>1</v>
      </c>
      <c r="AC539" t="n">
        <v>1</v>
      </c>
      <c r="AD539" t="n">
        <v>5</v>
      </c>
      <c r="AE539" t="n">
        <v>5</v>
      </c>
      <c r="AF539" t="n">
        <v>1</v>
      </c>
      <c r="AG539" t="n">
        <v>1</v>
      </c>
      <c r="AH539" t="n">
        <v>0</v>
      </c>
      <c r="AI539" t="n">
        <v>0</v>
      </c>
      <c r="AJ539" t="n">
        <v>5</v>
      </c>
      <c r="AK539" t="n">
        <v>5</v>
      </c>
      <c r="AL539" t="n">
        <v>0</v>
      </c>
      <c r="AM539" t="n">
        <v>0</v>
      </c>
      <c r="AN539" t="n">
        <v>0</v>
      </c>
      <c r="AO539" t="n">
        <v>0</v>
      </c>
      <c r="AP539" t="inlineStr">
        <is>
          <t>No</t>
        </is>
      </c>
      <c r="AQ539" t="inlineStr">
        <is>
          <t>Yes</t>
        </is>
      </c>
      <c r="AR539">
        <f>HYPERLINK("http://catalog.hathitrust.org/Record/003580459","HathiTrust Record")</f>
        <v/>
      </c>
      <c r="AS539">
        <f>HYPERLINK("https://creighton-primo.hosted.exlibrisgroup.com/primo-explore/search?tab=default_tab&amp;search_scope=EVERYTHING&amp;vid=01CRU&amp;lang=en_US&amp;offset=0&amp;query=any,contains,991003685849702656","Catalog Record")</f>
        <v/>
      </c>
      <c r="AT539">
        <f>HYPERLINK("http://www.worldcat.org/oclc/47995316","WorldCat Record")</f>
        <v/>
      </c>
      <c r="AU539" t="inlineStr">
        <is>
          <t>4095822433:eng</t>
        </is>
      </c>
      <c r="AV539" t="inlineStr">
        <is>
          <t>47995316</t>
        </is>
      </c>
      <c r="AW539" t="inlineStr">
        <is>
          <t>991003685849702656</t>
        </is>
      </c>
      <c r="AX539" t="inlineStr">
        <is>
          <t>991003685849702656</t>
        </is>
      </c>
      <c r="AY539" t="inlineStr">
        <is>
          <t>2272325880002656</t>
        </is>
      </c>
      <c r="AZ539" t="inlineStr">
        <is>
          <t>BOOK</t>
        </is>
      </c>
      <c r="BB539" t="inlineStr">
        <is>
          <t>9780471387367</t>
        </is>
      </c>
      <c r="BC539" t="inlineStr">
        <is>
          <t>32285004426176</t>
        </is>
      </c>
      <c r="BD539" t="inlineStr">
        <is>
          <t>893711657</t>
        </is>
      </c>
      <c r="BE539" t="inlineStr">
        <is>
          <t>Parsons</t>
        </is>
      </c>
    </row>
    <row r="540">
      <c r="A540" t="inlineStr">
        <is>
          <t>No</t>
        </is>
      </c>
      <c r="B540" t="inlineStr">
        <is>
          <t>QD453 .A27 v. 119</t>
        </is>
      </c>
      <c r="C540" t="inlineStr">
        <is>
          <t>0                      QD 0453000A  27                                                      v. 119</t>
        </is>
      </c>
      <c r="D540" t="inlineStr">
        <is>
          <t>Modern nonlinear optics / edited by Myron W. Evans ; series editors, I. Prigogine and Stuart A. Rice.</t>
        </is>
      </c>
      <c r="E540" t="inlineStr">
        <is>
          <t>V. 119 PT. 2</t>
        </is>
      </c>
      <c r="F540" t="inlineStr">
        <is>
          <t>Yes</t>
        </is>
      </c>
      <c r="G540" t="inlineStr">
        <is>
          <t>1</t>
        </is>
      </c>
      <c r="H540" t="inlineStr">
        <is>
          <t>No</t>
        </is>
      </c>
      <c r="I540" t="inlineStr">
        <is>
          <t>No</t>
        </is>
      </c>
      <c r="J540" t="inlineStr">
        <is>
          <t>0</t>
        </is>
      </c>
      <c r="L540" t="inlineStr">
        <is>
          <t>New York : J. Wiley, c2001.</t>
        </is>
      </c>
      <c r="M540" t="inlineStr">
        <is>
          <t>2001</t>
        </is>
      </c>
      <c r="N540" t="inlineStr">
        <is>
          <t>[2nd ed.]</t>
        </is>
      </c>
      <c r="O540" t="inlineStr">
        <is>
          <t>eng</t>
        </is>
      </c>
      <c r="P540" t="inlineStr">
        <is>
          <t>nyu</t>
        </is>
      </c>
      <c r="Q540" t="inlineStr">
        <is>
          <t>Advances in chemical physics, 0065-2385 ; 119</t>
        </is>
      </c>
      <c r="R540" t="inlineStr">
        <is>
          <t xml:space="preserve">QD </t>
        </is>
      </c>
      <c r="S540" t="n">
        <v>2</v>
      </c>
      <c r="T540" t="n">
        <v>6</v>
      </c>
      <c r="U540" t="inlineStr">
        <is>
          <t>2002-10-14</t>
        </is>
      </c>
      <c r="V540" t="inlineStr">
        <is>
          <t>2002-10-14</t>
        </is>
      </c>
      <c r="W540" t="inlineStr">
        <is>
          <t>2001-12-05</t>
        </is>
      </c>
      <c r="X540" t="inlineStr">
        <is>
          <t>2001-12-05</t>
        </is>
      </c>
      <c r="Y540" t="n">
        <v>130</v>
      </c>
      <c r="Z540" t="n">
        <v>102</v>
      </c>
      <c r="AA540" t="n">
        <v>176</v>
      </c>
      <c r="AB540" t="n">
        <v>1</v>
      </c>
      <c r="AC540" t="n">
        <v>1</v>
      </c>
      <c r="AD540" t="n">
        <v>5</v>
      </c>
      <c r="AE540" t="n">
        <v>5</v>
      </c>
      <c r="AF540" t="n">
        <v>1</v>
      </c>
      <c r="AG540" t="n">
        <v>1</v>
      </c>
      <c r="AH540" t="n">
        <v>0</v>
      </c>
      <c r="AI540" t="n">
        <v>0</v>
      </c>
      <c r="AJ540" t="n">
        <v>5</v>
      </c>
      <c r="AK540" t="n">
        <v>5</v>
      </c>
      <c r="AL540" t="n">
        <v>0</v>
      </c>
      <c r="AM540" t="n">
        <v>0</v>
      </c>
      <c r="AN540" t="n">
        <v>0</v>
      </c>
      <c r="AO540" t="n">
        <v>0</v>
      </c>
      <c r="AP540" t="inlineStr">
        <is>
          <t>No</t>
        </is>
      </c>
      <c r="AQ540" t="inlineStr">
        <is>
          <t>Yes</t>
        </is>
      </c>
      <c r="AR540">
        <f>HYPERLINK("http://catalog.hathitrust.org/Record/003580459","HathiTrust Record")</f>
        <v/>
      </c>
      <c r="AS540">
        <f>HYPERLINK("https://creighton-primo.hosted.exlibrisgroup.com/primo-explore/search?tab=default_tab&amp;search_scope=EVERYTHING&amp;vid=01CRU&amp;lang=en_US&amp;offset=0&amp;query=any,contains,991003685849702656","Catalog Record")</f>
        <v/>
      </c>
      <c r="AT540">
        <f>HYPERLINK("http://www.worldcat.org/oclc/47995316","WorldCat Record")</f>
        <v/>
      </c>
      <c r="AU540" t="inlineStr">
        <is>
          <t>4095822433:eng</t>
        </is>
      </c>
      <c r="AV540" t="inlineStr">
        <is>
          <t>47995316</t>
        </is>
      </c>
      <c r="AW540" t="inlineStr">
        <is>
          <t>991003685849702656</t>
        </is>
      </c>
      <c r="AX540" t="inlineStr">
        <is>
          <t>991003685849702656</t>
        </is>
      </c>
      <c r="AY540" t="inlineStr">
        <is>
          <t>2272325880002656</t>
        </is>
      </c>
      <c r="AZ540" t="inlineStr">
        <is>
          <t>BOOK</t>
        </is>
      </c>
      <c r="BB540" t="inlineStr">
        <is>
          <t>9780471387367</t>
        </is>
      </c>
      <c r="BC540" t="inlineStr">
        <is>
          <t>32285004426168</t>
        </is>
      </c>
      <c r="BD540" t="inlineStr">
        <is>
          <t>893711659</t>
        </is>
      </c>
      <c r="BE540" t="inlineStr">
        <is>
          <t>Parsons</t>
        </is>
      </c>
    </row>
    <row r="541">
      <c r="A541" t="inlineStr">
        <is>
          <t>No</t>
        </is>
      </c>
      <c r="B541" t="inlineStr">
        <is>
          <t>QD453 .A27 v.10</t>
        </is>
      </c>
      <c r="C541" t="inlineStr">
        <is>
          <t>0                      QD 0453000A  27                                                      v.10</t>
        </is>
      </c>
      <c r="D541" t="inlineStr">
        <is>
          <t>Molecular beams / edited by John Ross.</t>
        </is>
      </c>
      <c r="E541" t="inlineStr">
        <is>
          <t>V. 10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0</t>
        </is>
      </c>
      <c r="L541" t="inlineStr">
        <is>
          <t>New York : Interscience Publishers, [1966]</t>
        </is>
      </c>
      <c r="M541" t="inlineStr">
        <is>
          <t>1966</t>
        </is>
      </c>
      <c r="O541" t="inlineStr">
        <is>
          <t>eng</t>
        </is>
      </c>
      <c r="P541" t="inlineStr">
        <is>
          <t xml:space="preserve">xx </t>
        </is>
      </c>
      <c r="Q541" t="inlineStr">
        <is>
          <t>Advances in chemical physics ; v. 10</t>
        </is>
      </c>
      <c r="R541" t="inlineStr">
        <is>
          <t xml:space="preserve">QD </t>
        </is>
      </c>
      <c r="S541" t="n">
        <v>1</v>
      </c>
      <c r="T541" t="n">
        <v>1</v>
      </c>
      <c r="U541" t="inlineStr">
        <is>
          <t>1998-07-30</t>
        </is>
      </c>
      <c r="V541" t="inlineStr">
        <is>
          <t>1998-07-30</t>
        </is>
      </c>
      <c r="W541" t="inlineStr">
        <is>
          <t>1991-09-11</t>
        </is>
      </c>
      <c r="X541" t="inlineStr">
        <is>
          <t>1991-09-11</t>
        </is>
      </c>
      <c r="Y541" t="n">
        <v>204</v>
      </c>
      <c r="Z541" t="n">
        <v>138</v>
      </c>
      <c r="AA541" t="n">
        <v>159</v>
      </c>
      <c r="AB541" t="n">
        <v>2</v>
      </c>
      <c r="AC541" t="n">
        <v>2</v>
      </c>
      <c r="AD541" t="n">
        <v>9</v>
      </c>
      <c r="AE541" t="n">
        <v>9</v>
      </c>
      <c r="AF541" t="n">
        <v>3</v>
      </c>
      <c r="AG541" t="n">
        <v>3</v>
      </c>
      <c r="AH541" t="n">
        <v>2</v>
      </c>
      <c r="AI541" t="n">
        <v>2</v>
      </c>
      <c r="AJ541" t="n">
        <v>6</v>
      </c>
      <c r="AK541" t="n">
        <v>6</v>
      </c>
      <c r="AL541" t="n">
        <v>1</v>
      </c>
      <c r="AM541" t="n">
        <v>1</v>
      </c>
      <c r="AN541" t="n">
        <v>0</v>
      </c>
      <c r="AO541" t="n">
        <v>0</v>
      </c>
      <c r="AP541" t="inlineStr">
        <is>
          <t>No</t>
        </is>
      </c>
      <c r="AQ541" t="inlineStr">
        <is>
          <t>No</t>
        </is>
      </c>
      <c r="AS541">
        <f>HYPERLINK("https://creighton-primo.hosted.exlibrisgroup.com/primo-explore/search?tab=default_tab&amp;search_scope=EVERYTHING&amp;vid=01CRU&amp;lang=en_US&amp;offset=0&amp;query=any,contains,991005358119702656","Catalog Record")</f>
        <v/>
      </c>
      <c r="AT541">
        <f>HYPERLINK("http://www.worldcat.org/oclc/1263558","WorldCat Record")</f>
        <v/>
      </c>
      <c r="AU541" t="inlineStr">
        <is>
          <t>766779408:eng</t>
        </is>
      </c>
      <c r="AV541" t="inlineStr">
        <is>
          <t>1263558</t>
        </is>
      </c>
      <c r="AW541" t="inlineStr">
        <is>
          <t>991005358119702656</t>
        </is>
      </c>
      <c r="AX541" t="inlineStr">
        <is>
          <t>991005358119702656</t>
        </is>
      </c>
      <c r="AY541" t="inlineStr">
        <is>
          <t>2262464820002656</t>
        </is>
      </c>
      <c r="AZ541" t="inlineStr">
        <is>
          <t>BOOK</t>
        </is>
      </c>
      <c r="BC541" t="inlineStr">
        <is>
          <t>32285000646157</t>
        </is>
      </c>
      <c r="BD541" t="inlineStr">
        <is>
          <t>893896286</t>
        </is>
      </c>
      <c r="BE541" t="inlineStr">
        <is>
          <t>Parsons</t>
        </is>
      </c>
    </row>
    <row r="542">
      <c r="A542" t="inlineStr">
        <is>
          <t>No</t>
        </is>
      </c>
      <c r="B542" t="inlineStr">
        <is>
          <t>QD453 .A27 v.85</t>
        </is>
      </c>
      <c r="C542" t="inlineStr">
        <is>
          <t>0                      QD 0453000A  27                                                      v.85</t>
        </is>
      </c>
      <c r="D542" t="inlineStr">
        <is>
          <t>Modern nonlinear optics / edited by Myron Evans, Stanisław Kielich.</t>
        </is>
      </c>
      <c r="E542" t="inlineStr">
        <is>
          <t>V. 85 PT. 2</t>
        </is>
      </c>
      <c r="F542" t="inlineStr">
        <is>
          <t>Yes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L542" t="inlineStr">
        <is>
          <t>New York : Wiley, c1993.</t>
        </is>
      </c>
      <c r="M542" t="inlineStr">
        <is>
          <t>1993</t>
        </is>
      </c>
      <c r="O542" t="inlineStr">
        <is>
          <t>eng</t>
        </is>
      </c>
      <c r="P542" t="inlineStr">
        <is>
          <t>nyu</t>
        </is>
      </c>
      <c r="Q542" t="inlineStr">
        <is>
          <t>Advances in chemical physics ; v. 85, pt. 1</t>
        </is>
      </c>
      <c r="R542" t="inlineStr">
        <is>
          <t xml:space="preserve">QD </t>
        </is>
      </c>
      <c r="S542" t="n">
        <v>2</v>
      </c>
      <c r="T542" t="n">
        <v>4</v>
      </c>
      <c r="U542" t="inlineStr">
        <is>
          <t>1998-05-28</t>
        </is>
      </c>
      <c r="V542" t="inlineStr">
        <is>
          <t>1998-05-28</t>
        </is>
      </c>
      <c r="W542" t="inlineStr">
        <is>
          <t>1994-01-26</t>
        </is>
      </c>
      <c r="X542" t="inlineStr">
        <is>
          <t>1994-01-26</t>
        </is>
      </c>
      <c r="Y542" t="n">
        <v>198</v>
      </c>
      <c r="Z542" t="n">
        <v>138</v>
      </c>
      <c r="AA542" t="n">
        <v>187</v>
      </c>
      <c r="AB542" t="n">
        <v>1</v>
      </c>
      <c r="AC542" t="n">
        <v>1</v>
      </c>
      <c r="AD542" t="n">
        <v>10</v>
      </c>
      <c r="AE542" t="n">
        <v>10</v>
      </c>
      <c r="AF542" t="n">
        <v>3</v>
      </c>
      <c r="AG542" t="n">
        <v>3</v>
      </c>
      <c r="AH542" t="n">
        <v>2</v>
      </c>
      <c r="AI542" t="n">
        <v>2</v>
      </c>
      <c r="AJ542" t="n">
        <v>7</v>
      </c>
      <c r="AK542" t="n">
        <v>7</v>
      </c>
      <c r="AL542" t="n">
        <v>0</v>
      </c>
      <c r="AM542" t="n">
        <v>0</v>
      </c>
      <c r="AN542" t="n">
        <v>0</v>
      </c>
      <c r="AO542" t="n">
        <v>0</v>
      </c>
      <c r="AP542" t="inlineStr">
        <is>
          <t>No</t>
        </is>
      </c>
      <c r="AQ542" t="inlineStr">
        <is>
          <t>No</t>
        </is>
      </c>
      <c r="AS542">
        <f>HYPERLINK("https://creighton-primo.hosted.exlibrisgroup.com/primo-explore/search?tab=default_tab&amp;search_scope=EVERYTHING&amp;vid=01CRU&amp;lang=en_US&amp;offset=0&amp;query=any,contains,991002235709702656","Catalog Record")</f>
        <v/>
      </c>
      <c r="AT542">
        <f>HYPERLINK("http://www.worldcat.org/oclc/28828912","WorldCat Record")</f>
        <v/>
      </c>
      <c r="AU542" t="inlineStr">
        <is>
          <t>5377699132:eng</t>
        </is>
      </c>
      <c r="AV542" t="inlineStr">
        <is>
          <t>28828912</t>
        </is>
      </c>
      <c r="AW542" t="inlineStr">
        <is>
          <t>991002235709702656</t>
        </is>
      </c>
      <c r="AX542" t="inlineStr">
        <is>
          <t>991002235709702656</t>
        </is>
      </c>
      <c r="AY542" t="inlineStr">
        <is>
          <t>2254723900002656</t>
        </is>
      </c>
      <c r="AZ542" t="inlineStr">
        <is>
          <t>BOOK</t>
        </is>
      </c>
      <c r="BB542" t="inlineStr">
        <is>
          <t>9780471575481</t>
        </is>
      </c>
      <c r="BC542" t="inlineStr">
        <is>
          <t>32285001860203</t>
        </is>
      </c>
      <c r="BD542" t="inlineStr">
        <is>
          <t>893347267</t>
        </is>
      </c>
      <c r="BE542" t="inlineStr">
        <is>
          <t>Parsons</t>
        </is>
      </c>
    </row>
    <row r="543">
      <c r="A543" t="inlineStr">
        <is>
          <t>No</t>
        </is>
      </c>
      <c r="B543" t="inlineStr">
        <is>
          <t>QD453 .A27 v.85</t>
        </is>
      </c>
      <c r="C543" t="inlineStr">
        <is>
          <t>0                      QD 0453000A  27                                                      v.85</t>
        </is>
      </c>
      <c r="D543" t="inlineStr">
        <is>
          <t>Modern nonlinear optics / edited by Myron Evans, Stanisław Kielich.</t>
        </is>
      </c>
      <c r="E543" t="inlineStr">
        <is>
          <t>V. 85 PT. 1</t>
        </is>
      </c>
      <c r="F543" t="inlineStr">
        <is>
          <t>Yes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L543" t="inlineStr">
        <is>
          <t>New York : Wiley, c1993.</t>
        </is>
      </c>
      <c r="M543" t="inlineStr">
        <is>
          <t>1993</t>
        </is>
      </c>
      <c r="O543" t="inlineStr">
        <is>
          <t>eng</t>
        </is>
      </c>
      <c r="P543" t="inlineStr">
        <is>
          <t>nyu</t>
        </is>
      </c>
      <c r="Q543" t="inlineStr">
        <is>
          <t>Advances in chemical physics ; v. 85, pt. 1</t>
        </is>
      </c>
      <c r="R543" t="inlineStr">
        <is>
          <t xml:space="preserve">QD </t>
        </is>
      </c>
      <c r="S543" t="n">
        <v>1</v>
      </c>
      <c r="T543" t="n">
        <v>4</v>
      </c>
      <c r="U543" t="inlineStr">
        <is>
          <t>1998-05-28</t>
        </is>
      </c>
      <c r="V543" t="inlineStr">
        <is>
          <t>1998-05-28</t>
        </is>
      </c>
      <c r="W543" t="inlineStr">
        <is>
          <t>1993-10-07</t>
        </is>
      </c>
      <c r="X543" t="inlineStr">
        <is>
          <t>1994-01-26</t>
        </is>
      </c>
      <c r="Y543" t="n">
        <v>198</v>
      </c>
      <c r="Z543" t="n">
        <v>138</v>
      </c>
      <c r="AA543" t="n">
        <v>187</v>
      </c>
      <c r="AB543" t="n">
        <v>1</v>
      </c>
      <c r="AC543" t="n">
        <v>1</v>
      </c>
      <c r="AD543" t="n">
        <v>10</v>
      </c>
      <c r="AE543" t="n">
        <v>10</v>
      </c>
      <c r="AF543" t="n">
        <v>3</v>
      </c>
      <c r="AG543" t="n">
        <v>3</v>
      </c>
      <c r="AH543" t="n">
        <v>2</v>
      </c>
      <c r="AI543" t="n">
        <v>2</v>
      </c>
      <c r="AJ543" t="n">
        <v>7</v>
      </c>
      <c r="AK543" t="n">
        <v>7</v>
      </c>
      <c r="AL543" t="n">
        <v>0</v>
      </c>
      <c r="AM543" t="n">
        <v>0</v>
      </c>
      <c r="AN543" t="n">
        <v>0</v>
      </c>
      <c r="AO543" t="n">
        <v>0</v>
      </c>
      <c r="AP543" t="inlineStr">
        <is>
          <t>No</t>
        </is>
      </c>
      <c r="AQ543" t="inlineStr">
        <is>
          <t>No</t>
        </is>
      </c>
      <c r="AS543">
        <f>HYPERLINK("https://creighton-primo.hosted.exlibrisgroup.com/primo-explore/search?tab=default_tab&amp;search_scope=EVERYTHING&amp;vid=01CRU&amp;lang=en_US&amp;offset=0&amp;query=any,contains,991002235709702656","Catalog Record")</f>
        <v/>
      </c>
      <c r="AT543">
        <f>HYPERLINK("http://www.worldcat.org/oclc/28828912","WorldCat Record")</f>
        <v/>
      </c>
      <c r="AU543" t="inlineStr">
        <is>
          <t>5377699132:eng</t>
        </is>
      </c>
      <c r="AV543" t="inlineStr">
        <is>
          <t>28828912</t>
        </is>
      </c>
      <c r="AW543" t="inlineStr">
        <is>
          <t>991002235709702656</t>
        </is>
      </c>
      <c r="AX543" t="inlineStr">
        <is>
          <t>991002235709702656</t>
        </is>
      </c>
      <c r="AY543" t="inlineStr">
        <is>
          <t>2254723900002656</t>
        </is>
      </c>
      <c r="AZ543" t="inlineStr">
        <is>
          <t>BOOK</t>
        </is>
      </c>
      <c r="BB543" t="inlineStr">
        <is>
          <t>9780471575481</t>
        </is>
      </c>
      <c r="BC543" t="inlineStr">
        <is>
          <t>32285001800621</t>
        </is>
      </c>
      <c r="BD543" t="inlineStr">
        <is>
          <t>893316553</t>
        </is>
      </c>
      <c r="BE543" t="inlineStr">
        <is>
          <t>Parsons</t>
        </is>
      </c>
    </row>
    <row r="544">
      <c r="A544" t="inlineStr">
        <is>
          <t>No</t>
        </is>
      </c>
      <c r="B544" t="inlineStr">
        <is>
          <t>QD453 .A27 v.85</t>
        </is>
      </c>
      <c r="C544" t="inlineStr">
        <is>
          <t>0                      QD 0453000A  27                                                      v.85</t>
        </is>
      </c>
      <c r="D544" t="inlineStr">
        <is>
          <t>Modern nonlinear optics / edited by Myron Evans, Stanisław Kielich.</t>
        </is>
      </c>
      <c r="E544" t="inlineStr">
        <is>
          <t>V. 85 PT. 3</t>
        </is>
      </c>
      <c r="F544" t="inlineStr">
        <is>
          <t>Yes</t>
        </is>
      </c>
      <c r="G544" t="inlineStr">
        <is>
          <t>1</t>
        </is>
      </c>
      <c r="H544" t="inlineStr">
        <is>
          <t>No</t>
        </is>
      </c>
      <c r="I544" t="inlineStr">
        <is>
          <t>No</t>
        </is>
      </c>
      <c r="J544" t="inlineStr">
        <is>
          <t>0</t>
        </is>
      </c>
      <c r="L544" t="inlineStr">
        <is>
          <t>New York : Wiley, c1993.</t>
        </is>
      </c>
      <c r="M544" t="inlineStr">
        <is>
          <t>1993</t>
        </is>
      </c>
      <c r="O544" t="inlineStr">
        <is>
          <t>eng</t>
        </is>
      </c>
      <c r="P544" t="inlineStr">
        <is>
          <t>nyu</t>
        </is>
      </c>
      <c r="Q544" t="inlineStr">
        <is>
          <t>Advances in chemical physics ; v. 85, pt. 1</t>
        </is>
      </c>
      <c r="R544" t="inlineStr">
        <is>
          <t xml:space="preserve">QD </t>
        </is>
      </c>
      <c r="S544" t="n">
        <v>1</v>
      </c>
      <c r="T544" t="n">
        <v>4</v>
      </c>
      <c r="U544" t="inlineStr">
        <is>
          <t>1998-05-28</t>
        </is>
      </c>
      <c r="V544" t="inlineStr">
        <is>
          <t>1998-05-28</t>
        </is>
      </c>
      <c r="W544" t="inlineStr">
        <is>
          <t>1994-01-26</t>
        </is>
      </c>
      <c r="X544" t="inlineStr">
        <is>
          <t>1994-01-26</t>
        </is>
      </c>
      <c r="Y544" t="n">
        <v>198</v>
      </c>
      <c r="Z544" t="n">
        <v>138</v>
      </c>
      <c r="AA544" t="n">
        <v>187</v>
      </c>
      <c r="AB544" t="n">
        <v>1</v>
      </c>
      <c r="AC544" t="n">
        <v>1</v>
      </c>
      <c r="AD544" t="n">
        <v>10</v>
      </c>
      <c r="AE544" t="n">
        <v>10</v>
      </c>
      <c r="AF544" t="n">
        <v>3</v>
      </c>
      <c r="AG544" t="n">
        <v>3</v>
      </c>
      <c r="AH544" t="n">
        <v>2</v>
      </c>
      <c r="AI544" t="n">
        <v>2</v>
      </c>
      <c r="AJ544" t="n">
        <v>7</v>
      </c>
      <c r="AK544" t="n">
        <v>7</v>
      </c>
      <c r="AL544" t="n">
        <v>0</v>
      </c>
      <c r="AM544" t="n">
        <v>0</v>
      </c>
      <c r="AN544" t="n">
        <v>0</v>
      </c>
      <c r="AO544" t="n">
        <v>0</v>
      </c>
      <c r="AP544" t="inlineStr">
        <is>
          <t>No</t>
        </is>
      </c>
      <c r="AQ544" t="inlineStr">
        <is>
          <t>No</t>
        </is>
      </c>
      <c r="AS544">
        <f>HYPERLINK("https://creighton-primo.hosted.exlibrisgroup.com/primo-explore/search?tab=default_tab&amp;search_scope=EVERYTHING&amp;vid=01CRU&amp;lang=en_US&amp;offset=0&amp;query=any,contains,991002235709702656","Catalog Record")</f>
        <v/>
      </c>
      <c r="AT544">
        <f>HYPERLINK("http://www.worldcat.org/oclc/28828912","WorldCat Record")</f>
        <v/>
      </c>
      <c r="AU544" t="inlineStr">
        <is>
          <t>5377699132:eng</t>
        </is>
      </c>
      <c r="AV544" t="inlineStr">
        <is>
          <t>28828912</t>
        </is>
      </c>
      <c r="AW544" t="inlineStr">
        <is>
          <t>991002235709702656</t>
        </is>
      </c>
      <c r="AX544" t="inlineStr">
        <is>
          <t>991002235709702656</t>
        </is>
      </c>
      <c r="AY544" t="inlineStr">
        <is>
          <t>2254723900002656</t>
        </is>
      </c>
      <c r="AZ544" t="inlineStr">
        <is>
          <t>BOOK</t>
        </is>
      </c>
      <c r="BB544" t="inlineStr">
        <is>
          <t>9780471575481</t>
        </is>
      </c>
      <c r="BC544" t="inlineStr">
        <is>
          <t>32285001860211</t>
        </is>
      </c>
      <c r="BD544" t="inlineStr">
        <is>
          <t>893352213</t>
        </is>
      </c>
      <c r="BE544" t="inlineStr">
        <is>
          <t>Parsons</t>
        </is>
      </c>
    </row>
    <row r="545">
      <c r="A545" t="inlineStr">
        <is>
          <t>No</t>
        </is>
      </c>
      <c r="B545" t="inlineStr">
        <is>
          <t>QD453.3 .S56 2003</t>
        </is>
      </c>
      <c r="C545" t="inlineStr">
        <is>
          <t>0                      QD 0453300S  56          2003</t>
        </is>
      </c>
      <c r="D545" t="inlineStr">
        <is>
          <t>An introduction to theoretical chemistry / Jack Simons.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No</t>
        </is>
      </c>
      <c r="J545" t="inlineStr">
        <is>
          <t>0</t>
        </is>
      </c>
      <c r="K545" t="inlineStr">
        <is>
          <t>Simons, Jack.</t>
        </is>
      </c>
      <c r="L545" t="inlineStr">
        <is>
          <t>New York : Cambridge University Press, 2003.</t>
        </is>
      </c>
      <c r="M545" t="inlineStr">
        <is>
          <t>2003</t>
        </is>
      </c>
      <c r="O545" t="inlineStr">
        <is>
          <t>eng</t>
        </is>
      </c>
      <c r="P545" t="inlineStr">
        <is>
          <t>nyu</t>
        </is>
      </c>
      <c r="R545" t="inlineStr">
        <is>
          <t xml:space="preserve">QD </t>
        </is>
      </c>
      <c r="S545" t="n">
        <v>1</v>
      </c>
      <c r="T545" t="n">
        <v>1</v>
      </c>
      <c r="U545" t="inlineStr">
        <is>
          <t>2003-04-23</t>
        </is>
      </c>
      <c r="V545" t="inlineStr">
        <is>
          <t>2003-04-23</t>
        </is>
      </c>
      <c r="W545" t="inlineStr">
        <is>
          <t>2003-04-23</t>
        </is>
      </c>
      <c r="X545" t="inlineStr">
        <is>
          <t>2003-04-23</t>
        </is>
      </c>
      <c r="Y545" t="n">
        <v>451</v>
      </c>
      <c r="Z545" t="n">
        <v>328</v>
      </c>
      <c r="AA545" t="n">
        <v>329</v>
      </c>
      <c r="AB545" t="n">
        <v>4</v>
      </c>
      <c r="AC545" t="n">
        <v>4</v>
      </c>
      <c r="AD545" t="n">
        <v>22</v>
      </c>
      <c r="AE545" t="n">
        <v>22</v>
      </c>
      <c r="AF545" t="n">
        <v>8</v>
      </c>
      <c r="AG545" t="n">
        <v>8</v>
      </c>
      <c r="AH545" t="n">
        <v>4</v>
      </c>
      <c r="AI545" t="n">
        <v>4</v>
      </c>
      <c r="AJ545" t="n">
        <v>11</v>
      </c>
      <c r="AK545" t="n">
        <v>11</v>
      </c>
      <c r="AL545" t="n">
        <v>3</v>
      </c>
      <c r="AM545" t="n">
        <v>3</v>
      </c>
      <c r="AN545" t="n">
        <v>0</v>
      </c>
      <c r="AO545" t="n">
        <v>0</v>
      </c>
      <c r="AP545" t="inlineStr">
        <is>
          <t>No</t>
        </is>
      </c>
      <c r="AQ545" t="inlineStr">
        <is>
          <t>No</t>
        </is>
      </c>
      <c r="AS545">
        <f>HYPERLINK("https://creighton-primo.hosted.exlibrisgroup.com/primo-explore/search?tab=default_tab&amp;search_scope=EVERYTHING&amp;vid=01CRU&amp;lang=en_US&amp;offset=0&amp;query=any,contains,991003998939702656","Catalog Record")</f>
        <v/>
      </c>
      <c r="AT545">
        <f>HYPERLINK("http://www.worldcat.org/oclc/50022970","WorldCat Record")</f>
        <v/>
      </c>
      <c r="AU545" t="inlineStr">
        <is>
          <t>1025870:eng</t>
        </is>
      </c>
      <c r="AV545" t="inlineStr">
        <is>
          <t>50022970</t>
        </is>
      </c>
      <c r="AW545" t="inlineStr">
        <is>
          <t>991003998939702656</t>
        </is>
      </c>
      <c r="AX545" t="inlineStr">
        <is>
          <t>991003998939702656</t>
        </is>
      </c>
      <c r="AY545" t="inlineStr">
        <is>
          <t>2258102080002656</t>
        </is>
      </c>
      <c r="AZ545" t="inlineStr">
        <is>
          <t>BOOK</t>
        </is>
      </c>
      <c r="BB545" t="inlineStr">
        <is>
          <t>9780521530477</t>
        </is>
      </c>
      <c r="BC545" t="inlineStr">
        <is>
          <t>32285004743828</t>
        </is>
      </c>
      <c r="BD545" t="inlineStr">
        <is>
          <t>893337228</t>
        </is>
      </c>
      <c r="BE545" t="inlineStr">
        <is>
          <t>Freitag</t>
        </is>
      </c>
    </row>
    <row r="546">
      <c r="A546" t="inlineStr">
        <is>
          <t>No</t>
        </is>
      </c>
      <c r="B546" t="inlineStr">
        <is>
          <t>QD456 .W64</t>
        </is>
      </c>
      <c r="C546" t="inlineStr">
        <is>
          <t>0                      QD 0456000W  64</t>
        </is>
      </c>
      <c r="D546" t="inlineStr">
        <is>
          <t>Problems in physical chemistry / [by] A. Wood.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K546" t="inlineStr">
        <is>
          <t>Wood, Alexander.</t>
        </is>
      </c>
      <c r="L546" t="inlineStr">
        <is>
          <t>Oxford : Clarendon Press, 1974.</t>
        </is>
      </c>
      <c r="M546" t="inlineStr">
        <is>
          <t>1974</t>
        </is>
      </c>
      <c r="O546" t="inlineStr">
        <is>
          <t>eng</t>
        </is>
      </c>
      <c r="P546" t="inlineStr">
        <is>
          <t>enk</t>
        </is>
      </c>
      <c r="R546" t="inlineStr">
        <is>
          <t xml:space="preserve">QD </t>
        </is>
      </c>
      <c r="S546" t="n">
        <v>7</v>
      </c>
      <c r="T546" t="n">
        <v>7</v>
      </c>
      <c r="U546" t="inlineStr">
        <is>
          <t>1999-05-25</t>
        </is>
      </c>
      <c r="V546" t="inlineStr">
        <is>
          <t>1999-05-25</t>
        </is>
      </c>
      <c r="W546" t="inlineStr">
        <is>
          <t>1994-12-12</t>
        </is>
      </c>
      <c r="X546" t="inlineStr">
        <is>
          <t>1994-12-12</t>
        </is>
      </c>
      <c r="Y546" t="n">
        <v>123</v>
      </c>
      <c r="Z546" t="n">
        <v>62</v>
      </c>
      <c r="AA546" t="n">
        <v>89</v>
      </c>
      <c r="AB546" t="n">
        <v>1</v>
      </c>
      <c r="AC546" t="n">
        <v>1</v>
      </c>
      <c r="AD546" t="n">
        <v>1</v>
      </c>
      <c r="AE546" t="n">
        <v>2</v>
      </c>
      <c r="AF546" t="n">
        <v>1</v>
      </c>
      <c r="AG546" t="n">
        <v>1</v>
      </c>
      <c r="AH546" t="n">
        <v>0</v>
      </c>
      <c r="AI546" t="n">
        <v>1</v>
      </c>
      <c r="AJ546" t="n">
        <v>1</v>
      </c>
      <c r="AK546" t="n">
        <v>1</v>
      </c>
      <c r="AL546" t="n">
        <v>0</v>
      </c>
      <c r="AM546" t="n">
        <v>0</v>
      </c>
      <c r="AN546" t="n">
        <v>0</v>
      </c>
      <c r="AO546" t="n">
        <v>0</v>
      </c>
      <c r="AP546" t="inlineStr">
        <is>
          <t>No</t>
        </is>
      </c>
      <c r="AQ546" t="inlineStr">
        <is>
          <t>No</t>
        </is>
      </c>
      <c r="AS546">
        <f>HYPERLINK("https://creighton-primo.hosted.exlibrisgroup.com/primo-explore/search?tab=default_tab&amp;search_scope=EVERYTHING&amp;vid=01CRU&amp;lang=en_US&amp;offset=0&amp;query=any,contains,991004342949702656","Catalog Record")</f>
        <v/>
      </c>
      <c r="AT546">
        <f>HYPERLINK("http://www.worldcat.org/oclc/3090549","WorldCat Record")</f>
        <v/>
      </c>
      <c r="AU546" t="inlineStr">
        <is>
          <t>3943318824:eng</t>
        </is>
      </c>
      <c r="AV546" t="inlineStr">
        <is>
          <t>3090549</t>
        </is>
      </c>
      <c r="AW546" t="inlineStr">
        <is>
          <t>991004342949702656</t>
        </is>
      </c>
      <c r="AX546" t="inlineStr">
        <is>
          <t>991004342949702656</t>
        </is>
      </c>
      <c r="AY546" t="inlineStr">
        <is>
          <t>2260419010002656</t>
        </is>
      </c>
      <c r="AZ546" t="inlineStr">
        <is>
          <t>BOOK</t>
        </is>
      </c>
      <c r="BB546" t="inlineStr">
        <is>
          <t>9780198551348</t>
        </is>
      </c>
      <c r="BC546" t="inlineStr">
        <is>
          <t>32285001981447</t>
        </is>
      </c>
      <c r="BD546" t="inlineStr">
        <is>
          <t>893894880</t>
        </is>
      </c>
      <c r="BE546" t="inlineStr">
        <is>
          <t>Freitag</t>
        </is>
      </c>
    </row>
    <row r="547">
      <c r="A547" t="inlineStr">
        <is>
          <t>No</t>
        </is>
      </c>
      <c r="B547" t="inlineStr">
        <is>
          <t>QD502 .E86</t>
        </is>
      </c>
      <c r="C547" t="inlineStr">
        <is>
          <t>0                      QD 0502000E  86</t>
        </is>
      </c>
      <c r="D547" t="inlineStr">
        <is>
          <t>Chemical kinetics and reaction mechanisms / James H. Espenson.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K547" t="inlineStr">
        <is>
          <t>Espenson, James H.</t>
        </is>
      </c>
      <c r="L547" t="inlineStr">
        <is>
          <t>New York : McGraw-Hill, c1981.</t>
        </is>
      </c>
      <c r="M547" t="inlineStr">
        <is>
          <t>1981</t>
        </is>
      </c>
      <c r="O547" t="inlineStr">
        <is>
          <t>eng</t>
        </is>
      </c>
      <c r="P547" t="inlineStr">
        <is>
          <t>nyu</t>
        </is>
      </c>
      <c r="Q547" t="inlineStr">
        <is>
          <t>McGraw-Hill series in advanced chemistry</t>
        </is>
      </c>
      <c r="R547" t="inlineStr">
        <is>
          <t xml:space="preserve">QD </t>
        </is>
      </c>
      <c r="S547" t="n">
        <v>14</v>
      </c>
      <c r="T547" t="n">
        <v>14</v>
      </c>
      <c r="U547" t="inlineStr">
        <is>
          <t>1997-04-27</t>
        </is>
      </c>
      <c r="V547" t="inlineStr">
        <is>
          <t>1997-04-27</t>
        </is>
      </c>
      <c r="W547" t="inlineStr">
        <is>
          <t>1990-08-15</t>
        </is>
      </c>
      <c r="X547" t="inlineStr">
        <is>
          <t>1990-08-15</t>
        </is>
      </c>
      <c r="Y547" t="n">
        <v>399</v>
      </c>
      <c r="Z547" t="n">
        <v>283</v>
      </c>
      <c r="AA547" t="n">
        <v>386</v>
      </c>
      <c r="AB547" t="n">
        <v>2</v>
      </c>
      <c r="AC547" t="n">
        <v>3</v>
      </c>
      <c r="AD547" t="n">
        <v>8</v>
      </c>
      <c r="AE547" t="n">
        <v>14</v>
      </c>
      <c r="AF547" t="n">
        <v>3</v>
      </c>
      <c r="AG547" t="n">
        <v>6</v>
      </c>
      <c r="AH547" t="n">
        <v>4</v>
      </c>
      <c r="AI547" t="n">
        <v>5</v>
      </c>
      <c r="AJ547" t="n">
        <v>4</v>
      </c>
      <c r="AK547" t="n">
        <v>6</v>
      </c>
      <c r="AL547" t="n">
        <v>1</v>
      </c>
      <c r="AM547" t="n">
        <v>2</v>
      </c>
      <c r="AN547" t="n">
        <v>0</v>
      </c>
      <c r="AO547" t="n">
        <v>0</v>
      </c>
      <c r="AP547" t="inlineStr">
        <is>
          <t>No</t>
        </is>
      </c>
      <c r="AQ547" t="inlineStr">
        <is>
          <t>Yes</t>
        </is>
      </c>
      <c r="AR547">
        <f>HYPERLINK("http://catalog.hathitrust.org/Record/000263360","HathiTrust Record")</f>
        <v/>
      </c>
      <c r="AS547">
        <f>HYPERLINK("https://creighton-primo.hosted.exlibrisgroup.com/primo-explore/search?tab=default_tab&amp;search_scope=EVERYTHING&amp;vid=01CRU&amp;lang=en_US&amp;offset=0&amp;query=any,contains,991004980259702656","Catalog Record")</f>
        <v/>
      </c>
      <c r="AT547">
        <f>HYPERLINK("http://www.worldcat.org/oclc/6421692","WorldCat Record")</f>
        <v/>
      </c>
      <c r="AU547" t="inlineStr">
        <is>
          <t>654537:eng</t>
        </is>
      </c>
      <c r="AV547" t="inlineStr">
        <is>
          <t>6421692</t>
        </is>
      </c>
      <c r="AW547" t="inlineStr">
        <is>
          <t>991004980259702656</t>
        </is>
      </c>
      <c r="AX547" t="inlineStr">
        <is>
          <t>991004980259702656</t>
        </is>
      </c>
      <c r="AY547" t="inlineStr">
        <is>
          <t>2270378100002656</t>
        </is>
      </c>
      <c r="AZ547" t="inlineStr">
        <is>
          <t>BOOK</t>
        </is>
      </c>
      <c r="BB547" t="inlineStr">
        <is>
          <t>9780070196674</t>
        </is>
      </c>
      <c r="BC547" t="inlineStr">
        <is>
          <t>32285000269109</t>
        </is>
      </c>
      <c r="BD547" t="inlineStr">
        <is>
          <t>893782861</t>
        </is>
      </c>
      <c r="BE547" t="inlineStr">
        <is>
          <t>Freitag</t>
        </is>
      </c>
    </row>
    <row r="548">
      <c r="A548" t="inlineStr">
        <is>
          <t>No</t>
        </is>
      </c>
      <c r="B548" t="inlineStr">
        <is>
          <t>QD502 .E97</t>
        </is>
      </c>
      <c r="C548" t="inlineStr">
        <is>
          <t>0                      QD 0502000E  97</t>
        </is>
      </c>
      <c r="D548" t="inlineStr">
        <is>
          <t>Basic chemical kinetics / H. Eyring, S. H. Lin, S. M. Lin.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K548" t="inlineStr">
        <is>
          <t>Eyring, Henry, 1901-1981.</t>
        </is>
      </c>
      <c r="L548" t="inlineStr">
        <is>
          <t>New York : Wiley, c1980.</t>
        </is>
      </c>
      <c r="M548" t="inlineStr">
        <is>
          <t>1980</t>
        </is>
      </c>
      <c r="O548" t="inlineStr">
        <is>
          <t>eng</t>
        </is>
      </c>
      <c r="P548" t="inlineStr">
        <is>
          <t>nyu</t>
        </is>
      </c>
      <c r="R548" t="inlineStr">
        <is>
          <t xml:space="preserve">QD </t>
        </is>
      </c>
      <c r="S548" t="n">
        <v>7</v>
      </c>
      <c r="T548" t="n">
        <v>7</v>
      </c>
      <c r="U548" t="inlineStr">
        <is>
          <t>1995-08-07</t>
        </is>
      </c>
      <c r="V548" t="inlineStr">
        <is>
          <t>1995-08-07</t>
        </is>
      </c>
      <c r="W548" t="inlineStr">
        <is>
          <t>1992-03-23</t>
        </is>
      </c>
      <c r="X548" t="inlineStr">
        <is>
          <t>1992-03-23</t>
        </is>
      </c>
      <c r="Y548" t="n">
        <v>592</v>
      </c>
      <c r="Z548" t="n">
        <v>469</v>
      </c>
      <c r="AA548" t="n">
        <v>476</v>
      </c>
      <c r="AB548" t="n">
        <v>3</v>
      </c>
      <c r="AC548" t="n">
        <v>3</v>
      </c>
      <c r="AD548" t="n">
        <v>18</v>
      </c>
      <c r="AE548" t="n">
        <v>18</v>
      </c>
      <c r="AF548" t="n">
        <v>6</v>
      </c>
      <c r="AG548" t="n">
        <v>6</v>
      </c>
      <c r="AH548" t="n">
        <v>6</v>
      </c>
      <c r="AI548" t="n">
        <v>6</v>
      </c>
      <c r="AJ548" t="n">
        <v>9</v>
      </c>
      <c r="AK548" t="n">
        <v>9</v>
      </c>
      <c r="AL548" t="n">
        <v>2</v>
      </c>
      <c r="AM548" t="n">
        <v>2</v>
      </c>
      <c r="AN548" t="n">
        <v>0</v>
      </c>
      <c r="AO548" t="n">
        <v>0</v>
      </c>
      <c r="AP548" t="inlineStr">
        <is>
          <t>No</t>
        </is>
      </c>
      <c r="AQ548" t="inlineStr">
        <is>
          <t>Yes</t>
        </is>
      </c>
      <c r="AR548">
        <f>HYPERLINK("http://catalog.hathitrust.org/Record/000686707","HathiTrust Record")</f>
        <v/>
      </c>
      <c r="AS548">
        <f>HYPERLINK("https://creighton-primo.hosted.exlibrisgroup.com/primo-explore/search?tab=default_tab&amp;search_scope=EVERYTHING&amp;vid=01CRU&amp;lang=en_US&amp;offset=0&amp;query=any,contains,991004858259702656","Catalog Record")</f>
        <v/>
      </c>
      <c r="AT548">
        <f>HYPERLINK("http://www.worldcat.org/oclc/5677131","WorldCat Record")</f>
        <v/>
      </c>
      <c r="AU548" t="inlineStr">
        <is>
          <t>18940962:eng</t>
        </is>
      </c>
      <c r="AV548" t="inlineStr">
        <is>
          <t>5677131</t>
        </is>
      </c>
      <c r="AW548" t="inlineStr">
        <is>
          <t>991004858259702656</t>
        </is>
      </c>
      <c r="AX548" t="inlineStr">
        <is>
          <t>991004858259702656</t>
        </is>
      </c>
      <c r="AY548" t="inlineStr">
        <is>
          <t>2261504850002656</t>
        </is>
      </c>
      <c r="AZ548" t="inlineStr">
        <is>
          <t>BOOK</t>
        </is>
      </c>
      <c r="BB548" t="inlineStr">
        <is>
          <t>9780471054962</t>
        </is>
      </c>
      <c r="BC548" t="inlineStr">
        <is>
          <t>32285001026805</t>
        </is>
      </c>
      <c r="BD548" t="inlineStr">
        <is>
          <t>893436829</t>
        </is>
      </c>
      <c r="BE548" t="inlineStr">
        <is>
          <t>Freitag</t>
        </is>
      </c>
    </row>
    <row r="549">
      <c r="A549" t="inlineStr">
        <is>
          <t>No</t>
        </is>
      </c>
      <c r="B549" t="inlineStr">
        <is>
          <t>QD504 .M335 1999</t>
        </is>
      </c>
      <c r="C549" t="inlineStr">
        <is>
          <t>0                      QD 0504000M  335         1999</t>
        </is>
      </c>
      <c r="D549" t="inlineStr">
        <is>
          <t>Molecular thermodynamics / Donald A. McQuarrie, John D. Simon.</t>
        </is>
      </c>
      <c r="F549" t="inlineStr">
        <is>
          <t>No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K549" t="inlineStr">
        <is>
          <t>McQuarrie, Donald A. (Donald Allan)</t>
        </is>
      </c>
      <c r="L549" t="inlineStr">
        <is>
          <t>Sausalito, Calif. : University Science Books, c1999.</t>
        </is>
      </c>
      <c r="M549" t="inlineStr">
        <is>
          <t>1999</t>
        </is>
      </c>
      <c r="O549" t="inlineStr">
        <is>
          <t>eng</t>
        </is>
      </c>
      <c r="P549" t="inlineStr">
        <is>
          <t>cau</t>
        </is>
      </c>
      <c r="R549" t="inlineStr">
        <is>
          <t xml:space="preserve">QD </t>
        </is>
      </c>
      <c r="S549" t="n">
        <v>4</v>
      </c>
      <c r="T549" t="n">
        <v>4</v>
      </c>
      <c r="U549" t="inlineStr">
        <is>
          <t>2001-05-16</t>
        </is>
      </c>
      <c r="V549" t="inlineStr">
        <is>
          <t>2001-05-16</t>
        </is>
      </c>
      <c r="W549" t="inlineStr">
        <is>
          <t>2001-04-11</t>
        </is>
      </c>
      <c r="X549" t="inlineStr">
        <is>
          <t>2001-04-11</t>
        </is>
      </c>
      <c r="Y549" t="n">
        <v>400</v>
      </c>
      <c r="Z549" t="n">
        <v>283</v>
      </c>
      <c r="AA549" t="n">
        <v>284</v>
      </c>
      <c r="AB549" t="n">
        <v>2</v>
      </c>
      <c r="AC549" t="n">
        <v>2</v>
      </c>
      <c r="AD549" t="n">
        <v>16</v>
      </c>
      <c r="AE549" t="n">
        <v>16</v>
      </c>
      <c r="AF549" t="n">
        <v>6</v>
      </c>
      <c r="AG549" t="n">
        <v>6</v>
      </c>
      <c r="AH549" t="n">
        <v>5</v>
      </c>
      <c r="AI549" t="n">
        <v>5</v>
      </c>
      <c r="AJ549" t="n">
        <v>9</v>
      </c>
      <c r="AK549" t="n">
        <v>9</v>
      </c>
      <c r="AL549" t="n">
        <v>1</v>
      </c>
      <c r="AM549" t="n">
        <v>1</v>
      </c>
      <c r="AN549" t="n">
        <v>0</v>
      </c>
      <c r="AO549" t="n">
        <v>0</v>
      </c>
      <c r="AP549" t="inlineStr">
        <is>
          <t>No</t>
        </is>
      </c>
      <c r="AQ549" t="inlineStr">
        <is>
          <t>No</t>
        </is>
      </c>
      <c r="AS549">
        <f>HYPERLINK("https://creighton-primo.hosted.exlibrisgroup.com/primo-explore/search?tab=default_tab&amp;search_scope=EVERYTHING&amp;vid=01CRU&amp;lang=en_US&amp;offset=0&amp;query=any,contains,991003526069702656","Catalog Record")</f>
        <v/>
      </c>
      <c r="AT549">
        <f>HYPERLINK("http://www.worldcat.org/oclc/40125103","WorldCat Record")</f>
        <v/>
      </c>
      <c r="AU549" t="inlineStr">
        <is>
          <t>14549182:eng</t>
        </is>
      </c>
      <c r="AV549" t="inlineStr">
        <is>
          <t>40125103</t>
        </is>
      </c>
      <c r="AW549" t="inlineStr">
        <is>
          <t>991003526069702656</t>
        </is>
      </c>
      <c r="AX549" t="inlineStr">
        <is>
          <t>991003526069702656</t>
        </is>
      </c>
      <c r="AY549" t="inlineStr">
        <is>
          <t>2268788670002656</t>
        </is>
      </c>
      <c r="AZ549" t="inlineStr">
        <is>
          <t>BOOK</t>
        </is>
      </c>
      <c r="BB549" t="inlineStr">
        <is>
          <t>9781891389054</t>
        </is>
      </c>
      <c r="BC549" t="inlineStr">
        <is>
          <t>32285004311741</t>
        </is>
      </c>
      <c r="BD549" t="inlineStr">
        <is>
          <t>893441383</t>
        </is>
      </c>
      <c r="BE549" t="inlineStr">
        <is>
          <t>Freitag</t>
        </is>
      </c>
    </row>
    <row r="550">
      <c r="A550" t="inlineStr">
        <is>
          <t>No</t>
        </is>
      </c>
      <c r="B550" t="inlineStr">
        <is>
          <t>QD79.C454 L324 1997</t>
        </is>
      </c>
      <c r="C550" t="inlineStr">
        <is>
          <t>0                      QD 0079000C  454                L  324         1997</t>
        </is>
      </c>
      <c r="D550" t="inlineStr">
        <is>
          <t>Pulsed electrochemical detection in high-performance liquid chromatography / William R. LaCourse.</t>
        </is>
      </c>
      <c r="F550" t="inlineStr">
        <is>
          <t>No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LaCourse, William R., 1957-</t>
        </is>
      </c>
      <c r="L550" t="inlineStr">
        <is>
          <t>New York : Wiley, 1997.</t>
        </is>
      </c>
      <c r="M550" t="inlineStr">
        <is>
          <t>1997</t>
        </is>
      </c>
      <c r="O550" t="inlineStr">
        <is>
          <t>eng</t>
        </is>
      </c>
      <c r="P550" t="inlineStr">
        <is>
          <t>nyu</t>
        </is>
      </c>
      <c r="Q550" t="inlineStr">
        <is>
          <t>Techniques in analytical chemistry series</t>
        </is>
      </c>
      <c r="R550" t="inlineStr">
        <is>
          <t xml:space="preserve">QD </t>
        </is>
      </c>
      <c r="S550" t="n">
        <v>7</v>
      </c>
      <c r="T550" t="n">
        <v>7</v>
      </c>
      <c r="U550" t="inlineStr">
        <is>
          <t>2002-08-26</t>
        </is>
      </c>
      <c r="V550" t="inlineStr">
        <is>
          <t>2002-08-26</t>
        </is>
      </c>
      <c r="W550" t="inlineStr">
        <is>
          <t>1999-01-04</t>
        </is>
      </c>
      <c r="X550" t="inlineStr">
        <is>
          <t>1999-01-04</t>
        </is>
      </c>
      <c r="Y550" t="n">
        <v>239</v>
      </c>
      <c r="Z550" t="n">
        <v>194</v>
      </c>
      <c r="AA550" t="n">
        <v>195</v>
      </c>
      <c r="AB550" t="n">
        <v>2</v>
      </c>
      <c r="AC550" t="n">
        <v>2</v>
      </c>
      <c r="AD550" t="n">
        <v>9</v>
      </c>
      <c r="AE550" t="n">
        <v>9</v>
      </c>
      <c r="AF550" t="n">
        <v>2</v>
      </c>
      <c r="AG550" t="n">
        <v>2</v>
      </c>
      <c r="AH550" t="n">
        <v>4</v>
      </c>
      <c r="AI550" t="n">
        <v>4</v>
      </c>
      <c r="AJ550" t="n">
        <v>5</v>
      </c>
      <c r="AK550" t="n">
        <v>5</v>
      </c>
      <c r="AL550" t="n">
        <v>1</v>
      </c>
      <c r="AM550" t="n">
        <v>1</v>
      </c>
      <c r="AN550" t="n">
        <v>0</v>
      </c>
      <c r="AO550" t="n">
        <v>0</v>
      </c>
      <c r="AP550" t="inlineStr">
        <is>
          <t>No</t>
        </is>
      </c>
      <c r="AQ550" t="inlineStr">
        <is>
          <t>Yes</t>
        </is>
      </c>
      <c r="AR550">
        <f>HYPERLINK("http://catalog.hathitrust.org/Record/004117642","HathiTrust Record")</f>
        <v/>
      </c>
      <c r="AS550">
        <f>HYPERLINK("https://creighton-primo.hosted.exlibrisgroup.com/primo-explore/search?tab=default_tab&amp;search_scope=EVERYTHING&amp;vid=01CRU&amp;lang=en_US&amp;offset=0&amp;query=any,contains,991005425589702656","Catalog Record")</f>
        <v/>
      </c>
      <c r="AT550">
        <f>HYPERLINK("http://www.worldcat.org/oclc/36181113","WorldCat Record")</f>
        <v/>
      </c>
      <c r="AU550" t="inlineStr">
        <is>
          <t>548211:eng</t>
        </is>
      </c>
      <c r="AV550" t="inlineStr">
        <is>
          <t>36181113</t>
        </is>
      </c>
      <c r="AW550" t="inlineStr">
        <is>
          <t>991005425589702656</t>
        </is>
      </c>
      <c r="AX550" t="inlineStr">
        <is>
          <t>991005425589702656</t>
        </is>
      </c>
      <c r="AY550" t="inlineStr">
        <is>
          <t>2269607730002656</t>
        </is>
      </c>
      <c r="AZ550" t="inlineStr">
        <is>
          <t>BOOK</t>
        </is>
      </c>
      <c r="BB550" t="inlineStr">
        <is>
          <t>9780471119142</t>
        </is>
      </c>
      <c r="BC550" t="inlineStr">
        <is>
          <t>32285003508289</t>
        </is>
      </c>
      <c r="BD550" t="inlineStr">
        <is>
          <t>893601206</t>
        </is>
      </c>
      <c r="BE550" t="inlineStr">
        <is>
          <t>Dobberpuhl</t>
        </is>
      </c>
    </row>
    <row r="551">
      <c r="A551" t="inlineStr">
        <is>
          <t>No</t>
        </is>
      </c>
      <c r="B551" t="inlineStr">
        <is>
          <t>QL31.E79 A3 2000</t>
        </is>
      </c>
      <c r="C551" t="inlineStr">
        <is>
          <t>0                      QL 0031000E  79                 A  3           2000</t>
        </is>
      </c>
      <c r="D551" t="inlineStr">
        <is>
          <t>Maggots, murder, and men : memories and reflections of a forensic entomologist / Zakaria Erzin*clio*glu.</t>
        </is>
      </c>
      <c r="F551" t="inlineStr">
        <is>
          <t>No</t>
        </is>
      </c>
      <c r="G551" t="inlineStr">
        <is>
          <t>1</t>
        </is>
      </c>
      <c r="H551" t="inlineStr">
        <is>
          <t>No</t>
        </is>
      </c>
      <c r="I551" t="inlineStr">
        <is>
          <t>No</t>
        </is>
      </c>
      <c r="J551" t="inlineStr">
        <is>
          <t>0</t>
        </is>
      </c>
      <c r="K551" t="inlineStr">
        <is>
          <t>Erzinçlioğlu, Zakaria.</t>
        </is>
      </c>
      <c r="L551" t="inlineStr">
        <is>
          <t>Colchester, Essex, England : Harley Books, c2000.</t>
        </is>
      </c>
      <c r="M551" t="inlineStr">
        <is>
          <t>2000</t>
        </is>
      </c>
      <c r="O551" t="inlineStr">
        <is>
          <t>eng</t>
        </is>
      </c>
      <c r="P551" t="inlineStr">
        <is>
          <t>enk</t>
        </is>
      </c>
      <c r="R551" t="inlineStr">
        <is>
          <t xml:space="preserve">QL </t>
        </is>
      </c>
      <c r="S551" t="n">
        <v>4</v>
      </c>
      <c r="T551" t="n">
        <v>4</v>
      </c>
      <c r="U551" t="inlineStr">
        <is>
          <t>2008-11-21</t>
        </is>
      </c>
      <c r="V551" t="inlineStr">
        <is>
          <t>2008-11-21</t>
        </is>
      </c>
      <c r="W551" t="inlineStr">
        <is>
          <t>2001-12-11</t>
        </is>
      </c>
      <c r="X551" t="inlineStr">
        <is>
          <t>2001-12-11</t>
        </is>
      </c>
      <c r="Y551" t="n">
        <v>134</v>
      </c>
      <c r="Z551" t="n">
        <v>53</v>
      </c>
      <c r="AA551" t="n">
        <v>405</v>
      </c>
      <c r="AB551" t="n">
        <v>3</v>
      </c>
      <c r="AC551" t="n">
        <v>3</v>
      </c>
      <c r="AD551" t="n">
        <v>3</v>
      </c>
      <c r="AE551" t="n">
        <v>7</v>
      </c>
      <c r="AF551" t="n">
        <v>0</v>
      </c>
      <c r="AG551" t="n">
        <v>1</v>
      </c>
      <c r="AH551" t="n">
        <v>1</v>
      </c>
      <c r="AI551" t="n">
        <v>1</v>
      </c>
      <c r="AJ551" t="n">
        <v>0</v>
      </c>
      <c r="AK551" t="n">
        <v>2</v>
      </c>
      <c r="AL551" t="n">
        <v>2</v>
      </c>
      <c r="AM551" t="n">
        <v>2</v>
      </c>
      <c r="AN551" t="n">
        <v>0</v>
      </c>
      <c r="AO551" t="n">
        <v>1</v>
      </c>
      <c r="AP551" t="inlineStr">
        <is>
          <t>No</t>
        </is>
      </c>
      <c r="AQ551" t="inlineStr">
        <is>
          <t>Yes</t>
        </is>
      </c>
      <c r="AR551">
        <f>HYPERLINK("http://catalog.hathitrust.org/Record/004156619","HathiTrust Record")</f>
        <v/>
      </c>
      <c r="AS551">
        <f>HYPERLINK("https://creighton-primo.hosted.exlibrisgroup.com/primo-explore/search?tab=default_tab&amp;search_scope=EVERYTHING&amp;vid=01CRU&amp;lang=en_US&amp;offset=0&amp;query=any,contains,991003666159702656","Catalog Record")</f>
        <v/>
      </c>
      <c r="AT551">
        <f>HYPERLINK("http://www.worldcat.org/oclc/45767518","WorldCat Record")</f>
        <v/>
      </c>
      <c r="AU551" t="inlineStr">
        <is>
          <t>675496:eng</t>
        </is>
      </c>
      <c r="AV551" t="inlineStr">
        <is>
          <t>45767518</t>
        </is>
      </c>
      <c r="AW551" t="inlineStr">
        <is>
          <t>991003666159702656</t>
        </is>
      </c>
      <c r="AX551" t="inlineStr">
        <is>
          <t>991003666159702656</t>
        </is>
      </c>
      <c r="AY551" t="inlineStr">
        <is>
          <t>2266880000002656</t>
        </is>
      </c>
      <c r="AZ551" t="inlineStr">
        <is>
          <t>BOOK</t>
        </is>
      </c>
      <c r="BB551" t="inlineStr">
        <is>
          <t>9780946589654</t>
        </is>
      </c>
      <c r="BC551" t="inlineStr">
        <is>
          <t>32285004427364</t>
        </is>
      </c>
      <c r="BD551" t="inlineStr">
        <is>
          <t>893611290</t>
        </is>
      </c>
      <c r="BE551" t="inlineStr">
        <is>
          <t>Erin Blankenship-Sefczek</t>
        </is>
      </c>
    </row>
    <row r="552">
      <c r="A552" t="inlineStr">
        <is>
          <t>No</t>
        </is>
      </c>
      <c r="B552" t="inlineStr">
        <is>
          <t>QL337.M2 M33 1984</t>
        </is>
      </c>
      <c r="C552" t="inlineStr">
        <is>
          <t>0                      QL 0337000M  2                  M  33          1984</t>
        </is>
      </c>
      <c r="D552" t="inlineStr">
        <is>
          <t>Madagascar / editors, Alison Jolly, Philippe Oberlé, Roland Albignac ; foreword by HRH the Duke of Edinburgh.</t>
        </is>
      </c>
      <c r="F552" t="inlineStr">
        <is>
          <t>No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L552" t="inlineStr">
        <is>
          <t>Oxford [Oxfordshire] ; New York : Pergamon Press, 1984.</t>
        </is>
      </c>
      <c r="M552" t="inlineStr">
        <is>
          <t>1984</t>
        </is>
      </c>
      <c r="N552" t="inlineStr">
        <is>
          <t>1st ed.</t>
        </is>
      </c>
      <c r="O552" t="inlineStr">
        <is>
          <t>eng</t>
        </is>
      </c>
      <c r="P552" t="inlineStr">
        <is>
          <t>enk</t>
        </is>
      </c>
      <c r="Q552" t="inlineStr">
        <is>
          <t>Key environments</t>
        </is>
      </c>
      <c r="R552" t="inlineStr">
        <is>
          <t xml:space="preserve">QL </t>
        </is>
      </c>
      <c r="S552" t="n">
        <v>8</v>
      </c>
      <c r="T552" t="n">
        <v>8</v>
      </c>
      <c r="U552" t="inlineStr">
        <is>
          <t>2004-05-05</t>
        </is>
      </c>
      <c r="V552" t="inlineStr">
        <is>
          <t>2004-05-05</t>
        </is>
      </c>
      <c r="W552" t="inlineStr">
        <is>
          <t>1993-05-25</t>
        </is>
      </c>
      <c r="X552" t="inlineStr">
        <is>
          <t>1993-05-25</t>
        </is>
      </c>
      <c r="Y552" t="n">
        <v>473</v>
      </c>
      <c r="Z552" t="n">
        <v>366</v>
      </c>
      <c r="AA552" t="n">
        <v>403</v>
      </c>
      <c r="AB552" t="n">
        <v>4</v>
      </c>
      <c r="AC552" t="n">
        <v>4</v>
      </c>
      <c r="AD552" t="n">
        <v>12</v>
      </c>
      <c r="AE552" t="n">
        <v>15</v>
      </c>
      <c r="AF552" t="n">
        <v>3</v>
      </c>
      <c r="AG552" t="n">
        <v>5</v>
      </c>
      <c r="AH552" t="n">
        <v>4</v>
      </c>
      <c r="AI552" t="n">
        <v>6</v>
      </c>
      <c r="AJ552" t="n">
        <v>4</v>
      </c>
      <c r="AK552" t="n">
        <v>4</v>
      </c>
      <c r="AL552" t="n">
        <v>3</v>
      </c>
      <c r="AM552" t="n">
        <v>3</v>
      </c>
      <c r="AN552" t="n">
        <v>0</v>
      </c>
      <c r="AO552" t="n">
        <v>0</v>
      </c>
      <c r="AP552" t="inlineStr">
        <is>
          <t>No</t>
        </is>
      </c>
      <c r="AQ552" t="inlineStr">
        <is>
          <t>Yes</t>
        </is>
      </c>
      <c r="AR552">
        <f>HYPERLINK("http://catalog.hathitrust.org/Record/004413510","HathiTrust Record")</f>
        <v/>
      </c>
      <c r="AS552">
        <f>HYPERLINK("https://creighton-primo.hosted.exlibrisgroup.com/primo-explore/search?tab=default_tab&amp;search_scope=EVERYTHING&amp;vid=01CRU&amp;lang=en_US&amp;offset=0&amp;query=any,contains,991000276749702656","Catalog Record")</f>
        <v/>
      </c>
      <c r="AT552">
        <f>HYPERLINK("http://www.worldcat.org/oclc/9895231","WorldCat Record")</f>
        <v/>
      </c>
      <c r="AU552" t="inlineStr">
        <is>
          <t>3768389434:eng</t>
        </is>
      </c>
      <c r="AV552" t="inlineStr">
        <is>
          <t>9895231</t>
        </is>
      </c>
      <c r="AW552" t="inlineStr">
        <is>
          <t>991000276749702656</t>
        </is>
      </c>
      <c r="AX552" t="inlineStr">
        <is>
          <t>991000276749702656</t>
        </is>
      </c>
      <c r="AY552" t="inlineStr">
        <is>
          <t>2264855810002656</t>
        </is>
      </c>
      <c r="AZ552" t="inlineStr">
        <is>
          <t>BOOK</t>
        </is>
      </c>
      <c r="BB552" t="inlineStr">
        <is>
          <t>9780080280028</t>
        </is>
      </c>
      <c r="BC552" t="inlineStr">
        <is>
          <t>32285001686400</t>
        </is>
      </c>
      <c r="BD552" t="inlineStr">
        <is>
          <t>893231004</t>
        </is>
      </c>
      <c r="BE552" t="inlineStr">
        <is>
          <t>Erin Blankenship-Sefczek</t>
        </is>
      </c>
    </row>
    <row r="553">
      <c r="A553" t="inlineStr">
        <is>
          <t>No</t>
        </is>
      </c>
      <c r="B553" t="inlineStr">
        <is>
          <t>QL363 .B413</t>
        </is>
      </c>
      <c r="C553" t="inlineStr">
        <is>
          <t>0                      QL 0363000B  413</t>
        </is>
      </c>
      <c r="D553" t="inlineStr">
        <is>
          <t>Principles of comparative anatomy of invertebrates [by] W. N. Beklemishev; translated [from the Russian] by J. M. MacLennan, edited by Z. Kabata.</t>
        </is>
      </c>
      <c r="F553" t="inlineStr">
        <is>
          <t>Yes</t>
        </is>
      </c>
      <c r="G553" t="inlineStr">
        <is>
          <t>1</t>
        </is>
      </c>
      <c r="H553" t="inlineStr">
        <is>
          <t>Yes</t>
        </is>
      </c>
      <c r="I553" t="inlineStr">
        <is>
          <t>No</t>
        </is>
      </c>
      <c r="J553" t="inlineStr">
        <is>
          <t>0</t>
        </is>
      </c>
      <c r="K553" t="inlineStr">
        <is>
          <t>Beklemishev, V. N. (Vladimir Nikolaevich), 1890-1962.</t>
        </is>
      </c>
      <c r="L553" t="inlineStr">
        <is>
          <t>Edinburgh, Oliver &amp; Boyd, 1969.</t>
        </is>
      </c>
      <c r="M553" t="inlineStr">
        <is>
          <t>1969</t>
        </is>
      </c>
      <c r="O553" t="inlineStr">
        <is>
          <t>eng</t>
        </is>
      </c>
      <c r="P553" t="inlineStr">
        <is>
          <t>stk</t>
        </is>
      </c>
      <c r="R553" t="inlineStr">
        <is>
          <t xml:space="preserve">QL </t>
        </is>
      </c>
      <c r="S553" t="n">
        <v>0</v>
      </c>
      <c r="T553" t="n">
        <v>1</v>
      </c>
      <c r="V553" t="inlineStr">
        <is>
          <t>2001-02-18</t>
        </is>
      </c>
      <c r="W553" t="inlineStr">
        <is>
          <t>1997-07-19</t>
        </is>
      </c>
      <c r="X553" t="inlineStr">
        <is>
          <t>1997-07-19</t>
        </is>
      </c>
      <c r="Y553" t="n">
        <v>417</v>
      </c>
      <c r="Z553" t="n">
        <v>343</v>
      </c>
      <c r="AA553" t="n">
        <v>611</v>
      </c>
      <c r="AB553" t="n">
        <v>4</v>
      </c>
      <c r="AC553" t="n">
        <v>6</v>
      </c>
      <c r="AD553" t="n">
        <v>15</v>
      </c>
      <c r="AE553" t="n">
        <v>24</v>
      </c>
      <c r="AF553" t="n">
        <v>3</v>
      </c>
      <c r="AG553" t="n">
        <v>9</v>
      </c>
      <c r="AH553" t="n">
        <v>3</v>
      </c>
      <c r="AI553" t="n">
        <v>4</v>
      </c>
      <c r="AJ553" t="n">
        <v>10</v>
      </c>
      <c r="AK553" t="n">
        <v>12</v>
      </c>
      <c r="AL553" t="n">
        <v>3</v>
      </c>
      <c r="AM553" t="n">
        <v>5</v>
      </c>
      <c r="AN553" t="n">
        <v>0</v>
      </c>
      <c r="AO553" t="n">
        <v>0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HYPERLINK("http://catalog.hathitrust.org/Record/008335158","HathiTrust Record")</f>
        <v/>
      </c>
      <c r="AS553">
        <f>HYPERLINK("https://creighton-primo.hosted.exlibrisgroup.com/primo-explore/search?tab=default_tab&amp;search_scope=EVERYTHING&amp;vid=01CRU&amp;lang=en_US&amp;offset=0&amp;query=any,contains,991000648669702656","Catalog Record")</f>
        <v/>
      </c>
      <c r="AT553">
        <f>HYPERLINK("http://www.worldcat.org/oclc/112210","WorldCat Record")</f>
        <v/>
      </c>
      <c r="AU553" t="inlineStr">
        <is>
          <t>489927754:eng</t>
        </is>
      </c>
      <c r="AV553" t="inlineStr">
        <is>
          <t>112210</t>
        </is>
      </c>
      <c r="AW553" t="inlineStr">
        <is>
          <t>991000648669702656</t>
        </is>
      </c>
      <c r="AX553" t="inlineStr">
        <is>
          <t>991000648669702656</t>
        </is>
      </c>
      <c r="AY553" t="inlineStr">
        <is>
          <t>2268095340002656</t>
        </is>
      </c>
      <c r="AZ553" t="inlineStr">
        <is>
          <t>BOOK</t>
        </is>
      </c>
      <c r="BB553" t="inlineStr">
        <is>
          <t>9780050021897</t>
        </is>
      </c>
      <c r="BC553" t="inlineStr">
        <is>
          <t>32285002939733</t>
        </is>
      </c>
      <c r="BD553" t="inlineStr">
        <is>
          <t>893796863</t>
        </is>
      </c>
      <c r="BE553" t="inlineStr">
        <is>
          <t>Erin Blankenship-Sefczek</t>
        </is>
      </c>
    </row>
    <row r="554">
      <c r="A554" t="inlineStr">
        <is>
          <t>No</t>
        </is>
      </c>
      <c r="B554" t="inlineStr">
        <is>
          <t>QL363 .B413 V.2</t>
        </is>
      </c>
      <c r="C554" t="inlineStr">
        <is>
          <t>0                      QL 0363000B  413                                                     V.2</t>
        </is>
      </c>
      <c r="D554" t="inlineStr">
        <is>
          <t>Principles of comparative anatomy of invertebrates [by] W. N. Beklemishev; translated [from the Russian] by J. M. MacLennan, edited by Z. Kabata.</t>
        </is>
      </c>
      <c r="E554" t="inlineStr">
        <is>
          <t>V.2*</t>
        </is>
      </c>
      <c r="F554" t="inlineStr">
        <is>
          <t>Yes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Beklemishev, V. N. (Vladimir Nikolaevich), 1890-1962.</t>
        </is>
      </c>
      <c r="L554" t="inlineStr">
        <is>
          <t>Edinburgh, Oliver &amp; Boyd, 1969.</t>
        </is>
      </c>
      <c r="M554" t="inlineStr">
        <is>
          <t>1969</t>
        </is>
      </c>
      <c r="O554" t="inlineStr">
        <is>
          <t>eng</t>
        </is>
      </c>
      <c r="P554" t="inlineStr">
        <is>
          <t>stk</t>
        </is>
      </c>
      <c r="R554" t="inlineStr">
        <is>
          <t xml:space="preserve">QL </t>
        </is>
      </c>
      <c r="S554" t="n">
        <v>1</v>
      </c>
      <c r="T554" t="n">
        <v>1</v>
      </c>
      <c r="U554" t="inlineStr">
        <is>
          <t>2001-02-18</t>
        </is>
      </c>
      <c r="V554" t="inlineStr">
        <is>
          <t>2001-02-18</t>
        </is>
      </c>
      <c r="W554" t="inlineStr">
        <is>
          <t>1997-07-19</t>
        </is>
      </c>
      <c r="X554" t="inlineStr">
        <is>
          <t>1997-07-19</t>
        </is>
      </c>
      <c r="Y554" t="n">
        <v>417</v>
      </c>
      <c r="Z554" t="n">
        <v>343</v>
      </c>
      <c r="AA554" t="n">
        <v>611</v>
      </c>
      <c r="AB554" t="n">
        <v>4</v>
      </c>
      <c r="AC554" t="n">
        <v>6</v>
      </c>
      <c r="AD554" t="n">
        <v>15</v>
      </c>
      <c r="AE554" t="n">
        <v>24</v>
      </c>
      <c r="AF554" t="n">
        <v>3</v>
      </c>
      <c r="AG554" t="n">
        <v>9</v>
      </c>
      <c r="AH554" t="n">
        <v>3</v>
      </c>
      <c r="AI554" t="n">
        <v>4</v>
      </c>
      <c r="AJ554" t="n">
        <v>10</v>
      </c>
      <c r="AK554" t="n">
        <v>12</v>
      </c>
      <c r="AL554" t="n">
        <v>3</v>
      </c>
      <c r="AM554" t="n">
        <v>5</v>
      </c>
      <c r="AN554" t="n">
        <v>0</v>
      </c>
      <c r="AO554" t="n">
        <v>0</v>
      </c>
      <c r="AP554" t="inlineStr">
        <is>
          <t>No</t>
        </is>
      </c>
      <c r="AQ554" t="inlineStr">
        <is>
          <t>Yes</t>
        </is>
      </c>
      <c r="AR554">
        <f>HYPERLINK("http://catalog.hathitrust.org/Record/008335158","HathiTrust Record")</f>
        <v/>
      </c>
      <c r="AS554">
        <f>HYPERLINK("https://creighton-primo.hosted.exlibrisgroup.com/primo-explore/search?tab=default_tab&amp;search_scope=EVERYTHING&amp;vid=01CRU&amp;lang=en_US&amp;offset=0&amp;query=any,contains,991000648669702656","Catalog Record")</f>
        <v/>
      </c>
      <c r="AT554">
        <f>HYPERLINK("http://www.worldcat.org/oclc/112210","WorldCat Record")</f>
        <v/>
      </c>
      <c r="AU554" t="inlineStr">
        <is>
          <t>489927754:eng</t>
        </is>
      </c>
      <c r="AV554" t="inlineStr">
        <is>
          <t>112210</t>
        </is>
      </c>
      <c r="AW554" t="inlineStr">
        <is>
          <t>991000648669702656</t>
        </is>
      </c>
      <c r="AX554" t="inlineStr">
        <is>
          <t>991000648669702656</t>
        </is>
      </c>
      <c r="AY554" t="inlineStr">
        <is>
          <t>2268095340002656</t>
        </is>
      </c>
      <c r="AZ554" t="inlineStr">
        <is>
          <t>BOOK</t>
        </is>
      </c>
      <c r="BB554" t="inlineStr">
        <is>
          <t>9780050021897</t>
        </is>
      </c>
      <c r="BC554" t="inlineStr">
        <is>
          <t>32285002939741</t>
        </is>
      </c>
      <c r="BD554" t="inlineStr">
        <is>
          <t>893784411</t>
        </is>
      </c>
      <c r="BE554" t="inlineStr">
        <is>
          <t>Erin Blankenship-Sefczek</t>
        </is>
      </c>
    </row>
    <row r="555">
      <c r="A555" t="inlineStr">
        <is>
          <t>No</t>
        </is>
      </c>
      <c r="B555" t="inlineStr">
        <is>
          <t>QL363 .B78</t>
        </is>
      </c>
      <c r="C555" t="inlineStr">
        <is>
          <t>0                      QL 0363000B  78</t>
        </is>
      </c>
      <c r="D555" t="inlineStr">
        <is>
          <t>Practical invertebrate anatomy.</t>
        </is>
      </c>
      <c r="F555" t="inlineStr">
        <is>
          <t>No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Bullough, William Sydney, 1914-2010.</t>
        </is>
      </c>
      <c r="L555" t="inlineStr">
        <is>
          <t>London, Macmillan, 1950.</t>
        </is>
      </c>
      <c r="M555" t="inlineStr">
        <is>
          <t>1950</t>
        </is>
      </c>
      <c r="O555" t="inlineStr">
        <is>
          <t>eng</t>
        </is>
      </c>
      <c r="P555" t="inlineStr">
        <is>
          <t>enk</t>
        </is>
      </c>
      <c r="R555" t="inlineStr">
        <is>
          <t xml:space="preserve">QL </t>
        </is>
      </c>
      <c r="S555" t="n">
        <v>3</v>
      </c>
      <c r="T555" t="n">
        <v>3</v>
      </c>
      <c r="U555" t="inlineStr">
        <is>
          <t>2002-04-08</t>
        </is>
      </c>
      <c r="V555" t="inlineStr">
        <is>
          <t>2002-04-08</t>
        </is>
      </c>
      <c r="W555" t="inlineStr">
        <is>
          <t>1997-07-19</t>
        </is>
      </c>
      <c r="X555" t="inlineStr">
        <is>
          <t>1997-07-19</t>
        </is>
      </c>
      <c r="Y555" t="n">
        <v>257</v>
      </c>
      <c r="Z555" t="n">
        <v>205</v>
      </c>
      <c r="AA555" t="n">
        <v>556</v>
      </c>
      <c r="AB555" t="n">
        <v>2</v>
      </c>
      <c r="AC555" t="n">
        <v>4</v>
      </c>
      <c r="AD555" t="n">
        <v>5</v>
      </c>
      <c r="AE555" t="n">
        <v>21</v>
      </c>
      <c r="AF555" t="n">
        <v>3</v>
      </c>
      <c r="AG555" t="n">
        <v>11</v>
      </c>
      <c r="AH555" t="n">
        <v>1</v>
      </c>
      <c r="AI555" t="n">
        <v>4</v>
      </c>
      <c r="AJ555" t="n">
        <v>1</v>
      </c>
      <c r="AK555" t="n">
        <v>9</v>
      </c>
      <c r="AL555" t="n">
        <v>1</v>
      </c>
      <c r="AM555" t="n">
        <v>3</v>
      </c>
      <c r="AN555" t="n">
        <v>0</v>
      </c>
      <c r="AO555" t="n">
        <v>0</v>
      </c>
      <c r="AP555" t="inlineStr">
        <is>
          <t>No</t>
        </is>
      </c>
      <c r="AQ555" t="inlineStr">
        <is>
          <t>Yes</t>
        </is>
      </c>
      <c r="AR555">
        <f>HYPERLINK("http://catalog.hathitrust.org/Record/001499273","HathiTrust Record")</f>
        <v/>
      </c>
      <c r="AS555">
        <f>HYPERLINK("https://creighton-primo.hosted.exlibrisgroup.com/primo-explore/search?tab=default_tab&amp;search_scope=EVERYTHING&amp;vid=01CRU&amp;lang=en_US&amp;offset=0&amp;query=any,contains,991002226839702656","Catalog Record")</f>
        <v/>
      </c>
      <c r="AT555">
        <f>HYPERLINK("http://www.worldcat.org/oclc/291925","WorldCat Record")</f>
        <v/>
      </c>
      <c r="AU555" t="inlineStr">
        <is>
          <t>1476416:eng</t>
        </is>
      </c>
      <c r="AV555" t="inlineStr">
        <is>
          <t>291925</t>
        </is>
      </c>
      <c r="AW555" t="inlineStr">
        <is>
          <t>991002226839702656</t>
        </is>
      </c>
      <c r="AX555" t="inlineStr">
        <is>
          <t>991002226839702656</t>
        </is>
      </c>
      <c r="AY555" t="inlineStr">
        <is>
          <t>2268129660002656</t>
        </is>
      </c>
      <c r="AZ555" t="inlineStr">
        <is>
          <t>BOOK</t>
        </is>
      </c>
      <c r="BC555" t="inlineStr">
        <is>
          <t>32285002939758</t>
        </is>
      </c>
      <c r="BD555" t="inlineStr">
        <is>
          <t>893892294</t>
        </is>
      </c>
      <c r="BE555" t="inlineStr">
        <is>
          <t>Erin Blankenship-Sefczek</t>
        </is>
      </c>
    </row>
    <row r="556">
      <c r="A556" t="inlineStr">
        <is>
          <t>No</t>
        </is>
      </c>
      <c r="B556" t="inlineStr">
        <is>
          <t>QL568.F7 W63 2006</t>
        </is>
      </c>
      <c r="C556" t="inlineStr">
        <is>
          <t>0                      QL 0568000F  7                  W  63          2006</t>
        </is>
      </c>
      <c r="D556" t="inlineStr">
        <is>
          <t>Nature revealed : selected writings, 1949-2006 / Edward O. Wilson.</t>
        </is>
      </c>
      <c r="F556" t="inlineStr">
        <is>
          <t>No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Wilson, Edward O.</t>
        </is>
      </c>
      <c r="L556" t="inlineStr">
        <is>
          <t>Baltimore : Johns Hopkins University Press, c2006.</t>
        </is>
      </c>
      <c r="M556" t="inlineStr">
        <is>
          <t>2006</t>
        </is>
      </c>
      <c r="O556" t="inlineStr">
        <is>
          <t>eng</t>
        </is>
      </c>
      <c r="P556" t="inlineStr">
        <is>
          <t>mdu</t>
        </is>
      </c>
      <c r="R556" t="inlineStr">
        <is>
          <t xml:space="preserve">QL </t>
        </is>
      </c>
      <c r="S556" t="n">
        <v>2</v>
      </c>
      <c r="T556" t="n">
        <v>2</v>
      </c>
      <c r="U556" t="inlineStr">
        <is>
          <t>2007-07-30</t>
        </is>
      </c>
      <c r="V556" t="inlineStr">
        <is>
          <t>2007-07-30</t>
        </is>
      </c>
      <c r="W556" t="inlineStr">
        <is>
          <t>2007-06-25</t>
        </is>
      </c>
      <c r="X556" t="inlineStr">
        <is>
          <t>2007-06-25</t>
        </is>
      </c>
      <c r="Y556" t="n">
        <v>703</v>
      </c>
      <c r="Z556" t="n">
        <v>626</v>
      </c>
      <c r="AA556" t="n">
        <v>626</v>
      </c>
      <c r="AB556" t="n">
        <v>7</v>
      </c>
      <c r="AC556" t="n">
        <v>7</v>
      </c>
      <c r="AD556" t="n">
        <v>30</v>
      </c>
      <c r="AE556" t="n">
        <v>30</v>
      </c>
      <c r="AF556" t="n">
        <v>12</v>
      </c>
      <c r="AG556" t="n">
        <v>12</v>
      </c>
      <c r="AH556" t="n">
        <v>4</v>
      </c>
      <c r="AI556" t="n">
        <v>4</v>
      </c>
      <c r="AJ556" t="n">
        <v>13</v>
      </c>
      <c r="AK556" t="n">
        <v>13</v>
      </c>
      <c r="AL556" t="n">
        <v>6</v>
      </c>
      <c r="AM556" t="n">
        <v>6</v>
      </c>
      <c r="AN556" t="n">
        <v>0</v>
      </c>
      <c r="AO556" t="n">
        <v>0</v>
      </c>
      <c r="AP556" t="inlineStr">
        <is>
          <t>No</t>
        </is>
      </c>
      <c r="AQ556" t="inlineStr">
        <is>
          <t>No</t>
        </is>
      </c>
      <c r="AS556">
        <f>HYPERLINK("https://creighton-primo.hosted.exlibrisgroup.com/primo-explore/search?tab=default_tab&amp;search_scope=EVERYTHING&amp;vid=01CRU&amp;lang=en_US&amp;offset=0&amp;query=any,contains,991005004079702656","Catalog Record")</f>
        <v/>
      </c>
      <c r="AT556">
        <f>HYPERLINK("http://www.worldcat.org/oclc/61278530","WorldCat Record")</f>
        <v/>
      </c>
      <c r="AU556" t="inlineStr">
        <is>
          <t>891767445:eng</t>
        </is>
      </c>
      <c r="AV556" t="inlineStr">
        <is>
          <t>61278530</t>
        </is>
      </c>
      <c r="AW556" t="inlineStr">
        <is>
          <t>991005004079702656</t>
        </is>
      </c>
      <c r="AX556" t="inlineStr">
        <is>
          <t>991005004079702656</t>
        </is>
      </c>
      <c r="AY556" t="inlineStr">
        <is>
          <t>2263821520002656</t>
        </is>
      </c>
      <c r="AZ556" t="inlineStr">
        <is>
          <t>BOOK</t>
        </is>
      </c>
      <c r="BB556" t="inlineStr">
        <is>
          <t>9780801883293</t>
        </is>
      </c>
      <c r="BC556" t="inlineStr">
        <is>
          <t>32285005318307</t>
        </is>
      </c>
      <c r="BD556" t="inlineStr">
        <is>
          <t>893412191</t>
        </is>
      </c>
      <c r="BE556" t="inlineStr">
        <is>
          <t>Erin Blankenship-Sefczek</t>
        </is>
      </c>
    </row>
    <row r="557">
      <c r="A557" t="inlineStr">
        <is>
          <t>No</t>
        </is>
      </c>
      <c r="B557" t="inlineStr">
        <is>
          <t>QL573 .C76</t>
        </is>
      </c>
      <c r="C557" t="inlineStr">
        <is>
          <t>0                      QL 0573000C  76</t>
        </is>
      </c>
      <c r="D557" t="inlineStr">
        <is>
          <t>The biology of the Coleoptera / R.A. Crowson.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K557" t="inlineStr">
        <is>
          <t>Crowson, R. A. (Roy Albert)</t>
        </is>
      </c>
      <c r="L557" t="inlineStr">
        <is>
          <t>London ; New York : Academic press, 1981.</t>
        </is>
      </c>
      <c r="M557" t="inlineStr">
        <is>
          <t>1981</t>
        </is>
      </c>
      <c r="O557" t="inlineStr">
        <is>
          <t>eng</t>
        </is>
      </c>
      <c r="P557" t="inlineStr">
        <is>
          <t>enk</t>
        </is>
      </c>
      <c r="R557" t="inlineStr">
        <is>
          <t xml:space="preserve">QL </t>
        </is>
      </c>
      <c r="S557" t="n">
        <v>31</v>
      </c>
      <c r="T557" t="n">
        <v>31</v>
      </c>
      <c r="U557" t="inlineStr">
        <is>
          <t>2007-02-18</t>
        </is>
      </c>
      <c r="V557" t="inlineStr">
        <is>
          <t>2007-02-18</t>
        </is>
      </c>
      <c r="W557" t="inlineStr">
        <is>
          <t>1993-04-21</t>
        </is>
      </c>
      <c r="X557" t="inlineStr">
        <is>
          <t>1993-04-21</t>
        </is>
      </c>
      <c r="Y557" t="n">
        <v>409</v>
      </c>
      <c r="Z557" t="n">
        <v>254</v>
      </c>
      <c r="AA557" t="n">
        <v>293</v>
      </c>
      <c r="AB557" t="n">
        <v>4</v>
      </c>
      <c r="AC557" t="n">
        <v>4</v>
      </c>
      <c r="AD557" t="n">
        <v>8</v>
      </c>
      <c r="AE557" t="n">
        <v>10</v>
      </c>
      <c r="AF557" t="n">
        <v>1</v>
      </c>
      <c r="AG557" t="n">
        <v>2</v>
      </c>
      <c r="AH557" t="n">
        <v>2</v>
      </c>
      <c r="AI557" t="n">
        <v>3</v>
      </c>
      <c r="AJ557" t="n">
        <v>4</v>
      </c>
      <c r="AK557" t="n">
        <v>4</v>
      </c>
      <c r="AL557" t="n">
        <v>3</v>
      </c>
      <c r="AM557" t="n">
        <v>3</v>
      </c>
      <c r="AN557" t="n">
        <v>0</v>
      </c>
      <c r="AO557" t="n">
        <v>0</v>
      </c>
      <c r="AP557" t="inlineStr">
        <is>
          <t>No</t>
        </is>
      </c>
      <c r="AQ557" t="inlineStr">
        <is>
          <t>Yes</t>
        </is>
      </c>
      <c r="AR557">
        <f>HYPERLINK("http://catalog.hathitrust.org/Record/000307352","HathiTrust Record")</f>
        <v/>
      </c>
      <c r="AS557">
        <f>HYPERLINK("https://creighton-primo.hosted.exlibrisgroup.com/primo-explore/search?tab=default_tab&amp;search_scope=EVERYTHING&amp;vid=01CRU&amp;lang=en_US&amp;offset=0&amp;query=any,contains,991005192489702656","Catalog Record")</f>
        <v/>
      </c>
      <c r="AT557">
        <f>HYPERLINK("http://www.worldcat.org/oclc/8022003","WorldCat Record")</f>
        <v/>
      </c>
      <c r="AU557" t="inlineStr">
        <is>
          <t>408807:eng</t>
        </is>
      </c>
      <c r="AV557" t="inlineStr">
        <is>
          <t>8022003</t>
        </is>
      </c>
      <c r="AW557" t="inlineStr">
        <is>
          <t>991005192489702656</t>
        </is>
      </c>
      <c r="AX557" t="inlineStr">
        <is>
          <t>991005192489702656</t>
        </is>
      </c>
      <c r="AY557" t="inlineStr">
        <is>
          <t>2269570780002656</t>
        </is>
      </c>
      <c r="AZ557" t="inlineStr">
        <is>
          <t>BOOK</t>
        </is>
      </c>
      <c r="BB557" t="inlineStr">
        <is>
          <t>9780121960506</t>
        </is>
      </c>
      <c r="BC557" t="inlineStr">
        <is>
          <t>32285001623015</t>
        </is>
      </c>
      <c r="BD557" t="inlineStr">
        <is>
          <t>893501475</t>
        </is>
      </c>
      <c r="BE557" t="inlineStr">
        <is>
          <t>Erin Blankenship-Sefczek</t>
        </is>
      </c>
    </row>
    <row r="558">
      <c r="A558" t="inlineStr">
        <is>
          <t>No</t>
        </is>
      </c>
      <c r="B558" t="inlineStr">
        <is>
          <t>QL58 .L58 1984</t>
        </is>
      </c>
      <c r="C558" t="inlineStr">
        <is>
          <t>0                      QL 0058000L  58          1984</t>
        </is>
      </c>
      <c r="D558" t="inlineStr">
        <is>
          <t>Living fossils / edited by Niles Eldredge and Steven M. Stanley.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L558" t="inlineStr">
        <is>
          <t>New York : Springer Verlag, c1984.</t>
        </is>
      </c>
      <c r="M558" t="inlineStr">
        <is>
          <t>1984</t>
        </is>
      </c>
      <c r="O558" t="inlineStr">
        <is>
          <t>eng</t>
        </is>
      </c>
      <c r="P558" t="inlineStr">
        <is>
          <t>nyu</t>
        </is>
      </c>
      <c r="Q558" t="inlineStr">
        <is>
          <t>Casebooks in earth sciences</t>
        </is>
      </c>
      <c r="R558" t="inlineStr">
        <is>
          <t xml:space="preserve">QL </t>
        </is>
      </c>
      <c r="S558" t="n">
        <v>113</v>
      </c>
      <c r="T558" t="n">
        <v>113</v>
      </c>
      <c r="U558" t="inlineStr">
        <is>
          <t>2001-07-10</t>
        </is>
      </c>
      <c r="V558" t="inlineStr">
        <is>
          <t>2001-07-10</t>
        </is>
      </c>
      <c r="W558" t="inlineStr">
        <is>
          <t>1993-05-21</t>
        </is>
      </c>
      <c r="X558" t="inlineStr">
        <is>
          <t>1993-05-21</t>
        </is>
      </c>
      <c r="Y558" t="n">
        <v>594</v>
      </c>
      <c r="Z558" t="n">
        <v>451</v>
      </c>
      <c r="AA558" t="n">
        <v>474</v>
      </c>
      <c r="AB558" t="n">
        <v>4</v>
      </c>
      <c r="AC558" t="n">
        <v>4</v>
      </c>
      <c r="AD558" t="n">
        <v>15</v>
      </c>
      <c r="AE558" t="n">
        <v>15</v>
      </c>
      <c r="AF558" t="n">
        <v>6</v>
      </c>
      <c r="AG558" t="n">
        <v>6</v>
      </c>
      <c r="AH558" t="n">
        <v>3</v>
      </c>
      <c r="AI558" t="n">
        <v>3</v>
      </c>
      <c r="AJ558" t="n">
        <v>8</v>
      </c>
      <c r="AK558" t="n">
        <v>8</v>
      </c>
      <c r="AL558" t="n">
        <v>3</v>
      </c>
      <c r="AM558" t="n">
        <v>3</v>
      </c>
      <c r="AN558" t="n">
        <v>0</v>
      </c>
      <c r="AO558" t="n">
        <v>0</v>
      </c>
      <c r="AP558" t="inlineStr">
        <is>
          <t>No</t>
        </is>
      </c>
      <c r="AQ558" t="inlineStr">
        <is>
          <t>Yes</t>
        </is>
      </c>
      <c r="AR558">
        <f>HYPERLINK("http://catalog.hathitrust.org/Record/000609142","HathiTrust Record")</f>
        <v/>
      </c>
      <c r="AS558">
        <f>HYPERLINK("https://creighton-primo.hosted.exlibrisgroup.com/primo-explore/search?tab=default_tab&amp;search_scope=EVERYTHING&amp;vid=01CRU&amp;lang=en_US&amp;offset=0&amp;query=any,contains,991000366459702656","Catalog Record")</f>
        <v/>
      </c>
      <c r="AT558">
        <f>HYPERLINK("http://www.worldcat.org/oclc/10403493","WorldCat Record")</f>
        <v/>
      </c>
      <c r="AU558" t="inlineStr">
        <is>
          <t>349741513:eng</t>
        </is>
      </c>
      <c r="AV558" t="inlineStr">
        <is>
          <t>10403493</t>
        </is>
      </c>
      <c r="AW558" t="inlineStr">
        <is>
          <t>991000366459702656</t>
        </is>
      </c>
      <c r="AX558" t="inlineStr">
        <is>
          <t>991000366459702656</t>
        </is>
      </c>
      <c r="AY558" t="inlineStr">
        <is>
          <t>2267150570002656</t>
        </is>
      </c>
      <c r="AZ558" t="inlineStr">
        <is>
          <t>BOOK</t>
        </is>
      </c>
      <c r="BB558" t="inlineStr">
        <is>
          <t>9780387909578</t>
        </is>
      </c>
      <c r="BC558" t="inlineStr">
        <is>
          <t>32285001686137</t>
        </is>
      </c>
      <c r="BD558" t="inlineStr">
        <is>
          <t>893695773</t>
        </is>
      </c>
      <c r="BE558" t="inlineStr">
        <is>
          <t>Erin Blankenship-Sefczek</t>
        </is>
      </c>
    </row>
    <row r="559">
      <c r="A559" t="inlineStr">
        <is>
          <t>No</t>
        </is>
      </c>
      <c r="B559" t="inlineStr">
        <is>
          <t>QL597 .B68 1953</t>
        </is>
      </c>
      <c r="C559" t="inlineStr">
        <is>
          <t>0                      QL 0597000B  68          1953</t>
        </is>
      </c>
      <c r="D559" t="inlineStr">
        <is>
          <t>An illustrated synopsis of the principal larval forms of the order Coleoptera, by Adam G. Böving ... and F.C. Craighead ...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K559" t="inlineStr">
        <is>
          <t>Böving, Adam Giede, 1869-</t>
        </is>
      </c>
      <c r="L559" t="inlineStr">
        <is>
          <t>Brooklyn, N.Y., The Brooklyn Entomological Society, 1931.</t>
        </is>
      </c>
      <c r="M559" t="inlineStr">
        <is>
          <t>1931</t>
        </is>
      </c>
      <c r="O559" t="inlineStr">
        <is>
          <t>eng</t>
        </is>
      </c>
      <c r="P559" t="inlineStr">
        <is>
          <t>nyu</t>
        </is>
      </c>
      <c r="R559" t="inlineStr">
        <is>
          <t xml:space="preserve">QL </t>
        </is>
      </c>
      <c r="S559" t="n">
        <v>3</v>
      </c>
      <c r="T559" t="n">
        <v>3</v>
      </c>
      <c r="U559" t="inlineStr">
        <is>
          <t>2005-02-22</t>
        </is>
      </c>
      <c r="V559" t="inlineStr">
        <is>
          <t>2005-02-22</t>
        </is>
      </c>
      <c r="W559" t="inlineStr">
        <is>
          <t>1997-07-25</t>
        </is>
      </c>
      <c r="X559" t="inlineStr">
        <is>
          <t>1997-07-25</t>
        </is>
      </c>
      <c r="Y559" t="n">
        <v>141</v>
      </c>
      <c r="Z559" t="n">
        <v>107</v>
      </c>
      <c r="AA559" t="n">
        <v>189</v>
      </c>
      <c r="AB559" t="n">
        <v>1</v>
      </c>
      <c r="AC559" t="n">
        <v>2</v>
      </c>
      <c r="AD559" t="n">
        <v>3</v>
      </c>
      <c r="AE559" t="n">
        <v>5</v>
      </c>
      <c r="AF559" t="n">
        <v>2</v>
      </c>
      <c r="AG559" t="n">
        <v>3</v>
      </c>
      <c r="AH559" t="n">
        <v>1</v>
      </c>
      <c r="AI559" t="n">
        <v>1</v>
      </c>
      <c r="AJ559" t="n">
        <v>0</v>
      </c>
      <c r="AK559" t="n">
        <v>0</v>
      </c>
      <c r="AL559" t="n">
        <v>0</v>
      </c>
      <c r="AM559" t="n">
        <v>1</v>
      </c>
      <c r="AN559" t="n">
        <v>0</v>
      </c>
      <c r="AO559" t="n">
        <v>0</v>
      </c>
      <c r="AP559" t="inlineStr">
        <is>
          <t>Yes</t>
        </is>
      </c>
      <c r="AQ559" t="inlineStr">
        <is>
          <t>No</t>
        </is>
      </c>
      <c r="AR559">
        <f>HYPERLINK("http://catalog.hathitrust.org/Record/001507892","HathiTrust Record")</f>
        <v/>
      </c>
      <c r="AS559">
        <f>HYPERLINK("https://creighton-primo.hosted.exlibrisgroup.com/primo-explore/search?tab=default_tab&amp;search_scope=EVERYTHING&amp;vid=01CRU&amp;lang=en_US&amp;offset=0&amp;query=any,contains,991003561919702656","Catalog Record")</f>
        <v/>
      </c>
      <c r="AT559">
        <f>HYPERLINK("http://www.worldcat.org/oclc/1132952","WorldCat Record")</f>
        <v/>
      </c>
      <c r="AU559" t="inlineStr">
        <is>
          <t>1312913:eng</t>
        </is>
      </c>
      <c r="AV559" t="inlineStr">
        <is>
          <t>1132952</t>
        </is>
      </c>
      <c r="AW559" t="inlineStr">
        <is>
          <t>991003561919702656</t>
        </is>
      </c>
      <c r="AX559" t="inlineStr">
        <is>
          <t>991003561919702656</t>
        </is>
      </c>
      <c r="AY559" t="inlineStr">
        <is>
          <t>2264451920002656</t>
        </is>
      </c>
      <c r="AZ559" t="inlineStr">
        <is>
          <t>BOOK</t>
        </is>
      </c>
      <c r="BC559" t="inlineStr">
        <is>
          <t>32285002981370</t>
        </is>
      </c>
      <c r="BD559" t="inlineStr">
        <is>
          <t>893531303</t>
        </is>
      </c>
      <c r="BE559" t="inlineStr">
        <is>
          <t>Erin Blankenship-Sefczek</t>
        </is>
      </c>
    </row>
    <row r="560">
      <c r="A560" t="inlineStr">
        <is>
          <t>No</t>
        </is>
      </c>
      <c r="B560" t="inlineStr">
        <is>
          <t>QM101 .A38 1994b</t>
        </is>
      </c>
      <c r="C560" t="inlineStr">
        <is>
          <t>0                      QM 0101000A  38          1994b</t>
        </is>
      </c>
      <c r="D560" t="inlineStr">
        <is>
          <t>Bones : the unity of form and function / R. McNeill Alexander ; photography by Brian Kosoff ; foreword by Mark A. Norell ; illustrations by Edward Heck.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K560" t="inlineStr">
        <is>
          <t>Alexander, R. McNeill.</t>
        </is>
      </c>
      <c r="L560" t="inlineStr">
        <is>
          <t>London : Weidenfeld &amp; Nicholson, 1994.</t>
        </is>
      </c>
      <c r="M560" t="inlineStr">
        <is>
          <t>1994</t>
        </is>
      </c>
      <c r="O560" t="inlineStr">
        <is>
          <t>eng</t>
        </is>
      </c>
      <c r="P560" t="inlineStr">
        <is>
          <t>enk</t>
        </is>
      </c>
      <c r="R560" t="inlineStr">
        <is>
          <t xml:space="preserve">QM </t>
        </is>
      </c>
      <c r="S560" t="n">
        <v>11</v>
      </c>
      <c r="T560" t="n">
        <v>11</v>
      </c>
      <c r="U560" t="inlineStr">
        <is>
          <t>2006-08-11</t>
        </is>
      </c>
      <c r="V560" t="inlineStr">
        <is>
          <t>2006-08-11</t>
        </is>
      </c>
      <c r="W560" t="inlineStr">
        <is>
          <t>1996-12-16</t>
        </is>
      </c>
      <c r="X560" t="inlineStr">
        <is>
          <t>1996-12-16</t>
        </is>
      </c>
      <c r="Y560" t="n">
        <v>83</v>
      </c>
      <c r="Z560" t="n">
        <v>20</v>
      </c>
      <c r="AA560" t="n">
        <v>863</v>
      </c>
      <c r="AB560" t="n">
        <v>1</v>
      </c>
      <c r="AC560" t="n">
        <v>4</v>
      </c>
      <c r="AD560" t="n">
        <v>0</v>
      </c>
      <c r="AE560" t="n">
        <v>13</v>
      </c>
      <c r="AF560" t="n">
        <v>0</v>
      </c>
      <c r="AG560" t="n">
        <v>7</v>
      </c>
      <c r="AH560" t="n">
        <v>0</v>
      </c>
      <c r="AI560" t="n">
        <v>3</v>
      </c>
      <c r="AJ560" t="n">
        <v>0</v>
      </c>
      <c r="AK560" t="n">
        <v>6</v>
      </c>
      <c r="AL560" t="n">
        <v>0</v>
      </c>
      <c r="AM560" t="n">
        <v>1</v>
      </c>
      <c r="AN560" t="n">
        <v>0</v>
      </c>
      <c r="AO560" t="n">
        <v>0</v>
      </c>
      <c r="AP560" t="inlineStr">
        <is>
          <t>No</t>
        </is>
      </c>
      <c r="AQ560" t="inlineStr">
        <is>
          <t>No</t>
        </is>
      </c>
      <c r="AS560">
        <f>HYPERLINK("https://creighton-primo.hosted.exlibrisgroup.com/primo-explore/search?tab=default_tab&amp;search_scope=EVERYTHING&amp;vid=01CRU&amp;lang=en_US&amp;offset=0&amp;query=any,contains,991002457829702656","Catalog Record")</f>
        <v/>
      </c>
      <c r="AT560">
        <f>HYPERLINK("http://www.worldcat.org/oclc/32029176","WorldCat Record")</f>
        <v/>
      </c>
      <c r="AU560" t="inlineStr">
        <is>
          <t>51302:eng</t>
        </is>
      </c>
      <c r="AV560" t="inlineStr">
        <is>
          <t>32029176</t>
        </is>
      </c>
      <c r="AW560" t="inlineStr">
        <is>
          <t>991002457829702656</t>
        </is>
      </c>
      <c r="AX560" t="inlineStr">
        <is>
          <t>991002457829702656</t>
        </is>
      </c>
      <c r="AY560" t="inlineStr">
        <is>
          <t>2262296000002656</t>
        </is>
      </c>
      <c r="AZ560" t="inlineStr">
        <is>
          <t>BOOK</t>
        </is>
      </c>
      <c r="BC560" t="inlineStr">
        <is>
          <t>32285002393683</t>
        </is>
      </c>
      <c r="BD560" t="inlineStr">
        <is>
          <t>893616140</t>
        </is>
      </c>
      <c r="BE560" t="inlineStr">
        <is>
          <t>Erin Blankenship-Sefczek</t>
        </is>
      </c>
    </row>
    <row r="561">
      <c r="A561" t="inlineStr">
        <is>
          <t>No</t>
        </is>
      </c>
      <c r="B561" t="inlineStr">
        <is>
          <t>QM101 .G63 1982</t>
        </is>
      </c>
      <c r="C561" t="inlineStr">
        <is>
          <t>0                      QM 0101000G  63          1982</t>
        </is>
      </c>
      <c r="D561" t="inlineStr">
        <is>
          <t>The skeleton : fantastic framework / by Kathy E. Goldberg and the editors of U.S. News Books.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K561" t="inlineStr">
        <is>
          <t>Goldberg, Kathy E. (Kathy Ellen), 1953-</t>
        </is>
      </c>
      <c r="L561" t="inlineStr">
        <is>
          <t>Washington, D.C. : U.S. News Books, c1982.</t>
        </is>
      </c>
      <c r="M561" t="inlineStr">
        <is>
          <t>1982</t>
        </is>
      </c>
      <c r="O561" t="inlineStr">
        <is>
          <t>eng</t>
        </is>
      </c>
      <c r="P561" t="inlineStr">
        <is>
          <t>dcu</t>
        </is>
      </c>
      <c r="Q561" t="inlineStr">
        <is>
          <t>The Human body</t>
        </is>
      </c>
      <c r="R561" t="inlineStr">
        <is>
          <t xml:space="preserve">QM </t>
        </is>
      </c>
      <c r="S561" t="n">
        <v>5</v>
      </c>
      <c r="T561" t="n">
        <v>5</v>
      </c>
      <c r="U561" t="inlineStr">
        <is>
          <t>2005-01-25</t>
        </is>
      </c>
      <c r="V561" t="inlineStr">
        <is>
          <t>2005-01-25</t>
        </is>
      </c>
      <c r="W561" t="inlineStr">
        <is>
          <t>1993-02-22</t>
        </is>
      </c>
      <c r="X561" t="inlineStr">
        <is>
          <t>1993-02-22</t>
        </is>
      </c>
      <c r="Y561" t="n">
        <v>773</v>
      </c>
      <c r="Z561" t="n">
        <v>736</v>
      </c>
      <c r="AA561" t="n">
        <v>840</v>
      </c>
      <c r="AB561" t="n">
        <v>5</v>
      </c>
      <c r="AC561" t="n">
        <v>6</v>
      </c>
      <c r="AD561" t="n">
        <v>11</v>
      </c>
      <c r="AE561" t="n">
        <v>11</v>
      </c>
      <c r="AF561" t="n">
        <v>4</v>
      </c>
      <c r="AG561" t="n">
        <v>4</v>
      </c>
      <c r="AH561" t="n">
        <v>1</v>
      </c>
      <c r="AI561" t="n">
        <v>1</v>
      </c>
      <c r="AJ561" t="n">
        <v>4</v>
      </c>
      <c r="AK561" t="n">
        <v>4</v>
      </c>
      <c r="AL561" t="n">
        <v>3</v>
      </c>
      <c r="AM561" t="n">
        <v>3</v>
      </c>
      <c r="AN561" t="n">
        <v>0</v>
      </c>
      <c r="AO561" t="n">
        <v>0</v>
      </c>
      <c r="AP561" t="inlineStr">
        <is>
          <t>No</t>
        </is>
      </c>
      <c r="AQ561" t="inlineStr">
        <is>
          <t>Yes</t>
        </is>
      </c>
      <c r="AR561">
        <f>HYPERLINK("http://catalog.hathitrust.org/Record/000761045","HathiTrust Record")</f>
        <v/>
      </c>
      <c r="AS561">
        <f>HYPERLINK("https://creighton-primo.hosted.exlibrisgroup.com/primo-explore/search?tab=default_tab&amp;search_scope=EVERYTHING&amp;vid=01CRU&amp;lang=en_US&amp;offset=0&amp;query=any,contains,991005205169702656","Catalog Record")</f>
        <v/>
      </c>
      <c r="AT561">
        <f>HYPERLINK("http://www.worldcat.org/oclc/8113163","WorldCat Record")</f>
        <v/>
      </c>
      <c r="AU561" t="inlineStr">
        <is>
          <t>54477337:eng</t>
        </is>
      </c>
      <c r="AV561" t="inlineStr">
        <is>
          <t>8113163</t>
        </is>
      </c>
      <c r="AW561" t="inlineStr">
        <is>
          <t>991005205169702656</t>
        </is>
      </c>
      <c r="AX561" t="inlineStr">
        <is>
          <t>991005205169702656</t>
        </is>
      </c>
      <c r="AY561" t="inlineStr">
        <is>
          <t>2256632640002656</t>
        </is>
      </c>
      <c r="AZ561" t="inlineStr">
        <is>
          <t>BOOK</t>
        </is>
      </c>
      <c r="BB561" t="inlineStr">
        <is>
          <t>9780891936053</t>
        </is>
      </c>
      <c r="BC561" t="inlineStr">
        <is>
          <t>32285001547917</t>
        </is>
      </c>
      <c r="BD561" t="inlineStr">
        <is>
          <t>893801912</t>
        </is>
      </c>
      <c r="BE561" t="inlineStr">
        <is>
          <t>Erin Blankenship-Sefczek</t>
        </is>
      </c>
    </row>
    <row r="562">
      <c r="A562" t="inlineStr">
        <is>
          <t>No</t>
        </is>
      </c>
      <c r="B562" t="inlineStr">
        <is>
          <t>QM101 .W3</t>
        </is>
      </c>
      <c r="C562" t="inlineStr">
        <is>
          <t>0                      QM 0101000W  3</t>
        </is>
      </c>
      <c r="D562" t="inlineStr">
        <is>
          <t>The human skeleton, an interpretation.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K562" t="inlineStr">
        <is>
          <t>Walter, Herbert Eugene, 1867-1945.</t>
        </is>
      </c>
      <c r="L562" t="inlineStr">
        <is>
          <t>New York, Macmillan, 1918.</t>
        </is>
      </c>
      <c r="M562" t="inlineStr">
        <is>
          <t>1918</t>
        </is>
      </c>
      <c r="O562" t="inlineStr">
        <is>
          <t>eng</t>
        </is>
      </c>
      <c r="P562" t="inlineStr">
        <is>
          <t xml:space="preserve">xx </t>
        </is>
      </c>
      <c r="R562" t="inlineStr">
        <is>
          <t xml:space="preserve">QM </t>
        </is>
      </c>
      <c r="S562" t="n">
        <v>2</v>
      </c>
      <c r="T562" t="n">
        <v>2</v>
      </c>
      <c r="U562" t="inlineStr">
        <is>
          <t>2007-11-07</t>
        </is>
      </c>
      <c r="V562" t="inlineStr">
        <is>
          <t>2007-11-07</t>
        </is>
      </c>
      <c r="W562" t="inlineStr">
        <is>
          <t>1997-08-04</t>
        </is>
      </c>
      <c r="X562" t="inlineStr">
        <is>
          <t>1997-08-04</t>
        </is>
      </c>
      <c r="Y562" t="n">
        <v>118</v>
      </c>
      <c r="Z562" t="n">
        <v>109</v>
      </c>
      <c r="AA562" t="n">
        <v>115</v>
      </c>
      <c r="AB562" t="n">
        <v>2</v>
      </c>
      <c r="AC562" t="n">
        <v>2</v>
      </c>
      <c r="AD562" t="n">
        <v>2</v>
      </c>
      <c r="AE562" t="n">
        <v>3</v>
      </c>
      <c r="AF562" t="n">
        <v>0</v>
      </c>
      <c r="AG562" t="n">
        <v>0</v>
      </c>
      <c r="AH562" t="n">
        <v>1</v>
      </c>
      <c r="AI562" t="n">
        <v>1</v>
      </c>
      <c r="AJ562" t="n">
        <v>1</v>
      </c>
      <c r="AK562" t="n">
        <v>2</v>
      </c>
      <c r="AL562" t="n">
        <v>1</v>
      </c>
      <c r="AM562" t="n">
        <v>1</v>
      </c>
      <c r="AN562" t="n">
        <v>0</v>
      </c>
      <c r="AO562" t="n">
        <v>0</v>
      </c>
      <c r="AP562" t="inlineStr">
        <is>
          <t>Yes</t>
        </is>
      </c>
      <c r="AQ562" t="inlineStr">
        <is>
          <t>No</t>
        </is>
      </c>
      <c r="AR562">
        <f>HYPERLINK("http://catalog.hathitrust.org/Record/001552617","HathiTrust Record")</f>
        <v/>
      </c>
      <c r="AS562">
        <f>HYPERLINK("https://creighton-primo.hosted.exlibrisgroup.com/primo-explore/search?tab=default_tab&amp;search_scope=EVERYTHING&amp;vid=01CRU&amp;lang=en_US&amp;offset=0&amp;query=any,contains,991003534789702656","Catalog Record")</f>
        <v/>
      </c>
      <c r="AT562">
        <f>HYPERLINK("http://www.worldcat.org/oclc/1098809","WorldCat Record")</f>
        <v/>
      </c>
      <c r="AU562" t="inlineStr">
        <is>
          <t>190654696:eng</t>
        </is>
      </c>
      <c r="AV562" t="inlineStr">
        <is>
          <t>1098809</t>
        </is>
      </c>
      <c r="AW562" t="inlineStr">
        <is>
          <t>991003534789702656</t>
        </is>
      </c>
      <c r="AX562" t="inlineStr">
        <is>
          <t>991003534789702656</t>
        </is>
      </c>
      <c r="AY562" t="inlineStr">
        <is>
          <t>2267469120002656</t>
        </is>
      </c>
      <c r="AZ562" t="inlineStr">
        <is>
          <t>BOOK</t>
        </is>
      </c>
      <c r="BC562" t="inlineStr">
        <is>
          <t>32285003011201</t>
        </is>
      </c>
      <c r="BD562" t="inlineStr">
        <is>
          <t>893874860</t>
        </is>
      </c>
      <c r="BE562" t="inlineStr">
        <is>
          <t>Erin Blankenship-Sefczek</t>
        </is>
      </c>
    </row>
    <row r="563">
      <c r="A563" t="inlineStr">
        <is>
          <t>No</t>
        </is>
      </c>
      <c r="B563" t="inlineStr">
        <is>
          <t>QM11 .S6 1957</t>
        </is>
      </c>
      <c r="C563" t="inlineStr">
        <is>
          <t>0                      QM 0011000S  6           1957</t>
        </is>
      </c>
      <c r="D563" t="inlineStr">
        <is>
          <t>A short history of anatomy from the Greeks to Harvey.</t>
        </is>
      </c>
      <c r="F563" t="inlineStr">
        <is>
          <t>No</t>
        </is>
      </c>
      <c r="G563" t="inlineStr">
        <is>
          <t>1</t>
        </is>
      </c>
      <c r="H563" t="inlineStr">
        <is>
          <t>No</t>
        </is>
      </c>
      <c r="I563" t="inlineStr">
        <is>
          <t>No</t>
        </is>
      </c>
      <c r="J563" t="inlineStr">
        <is>
          <t>0</t>
        </is>
      </c>
      <c r="K563" t="inlineStr">
        <is>
          <t>Singer, Charles, 1876-1960.</t>
        </is>
      </c>
      <c r="L563" t="inlineStr">
        <is>
          <t>New York, Dover Publications [1957]</t>
        </is>
      </c>
      <c r="M563" t="inlineStr">
        <is>
          <t>1957</t>
        </is>
      </c>
      <c r="N563" t="inlineStr">
        <is>
          <t>[2d ed.]</t>
        </is>
      </c>
      <c r="O563" t="inlineStr">
        <is>
          <t>eng</t>
        </is>
      </c>
      <c r="P563" t="inlineStr">
        <is>
          <t>nyu</t>
        </is>
      </c>
      <c r="R563" t="inlineStr">
        <is>
          <t xml:space="preserve">QM </t>
        </is>
      </c>
      <c r="S563" t="n">
        <v>4</v>
      </c>
      <c r="T563" t="n">
        <v>4</v>
      </c>
      <c r="U563" t="inlineStr">
        <is>
          <t>2004-04-17</t>
        </is>
      </c>
      <c r="V563" t="inlineStr">
        <is>
          <t>2004-04-17</t>
        </is>
      </c>
      <c r="W563" t="inlineStr">
        <is>
          <t>1997-08-04</t>
        </is>
      </c>
      <c r="X563" t="inlineStr">
        <is>
          <t>1997-08-04</t>
        </is>
      </c>
      <c r="Y563" t="n">
        <v>809</v>
      </c>
      <c r="Z563" t="n">
        <v>699</v>
      </c>
      <c r="AA563" t="n">
        <v>736</v>
      </c>
      <c r="AB563" t="n">
        <v>7</v>
      </c>
      <c r="AC563" t="n">
        <v>8</v>
      </c>
      <c r="AD563" t="n">
        <v>31</v>
      </c>
      <c r="AE563" t="n">
        <v>32</v>
      </c>
      <c r="AF563" t="n">
        <v>11</v>
      </c>
      <c r="AG563" t="n">
        <v>11</v>
      </c>
      <c r="AH563" t="n">
        <v>6</v>
      </c>
      <c r="AI563" t="n">
        <v>6</v>
      </c>
      <c r="AJ563" t="n">
        <v>16</v>
      </c>
      <c r="AK563" t="n">
        <v>16</v>
      </c>
      <c r="AL563" t="n">
        <v>5</v>
      </c>
      <c r="AM563" t="n">
        <v>6</v>
      </c>
      <c r="AN563" t="n">
        <v>0</v>
      </c>
      <c r="AO563" t="n">
        <v>0</v>
      </c>
      <c r="AP563" t="inlineStr">
        <is>
          <t>No</t>
        </is>
      </c>
      <c r="AQ563" t="inlineStr">
        <is>
          <t>No</t>
        </is>
      </c>
      <c r="AR563">
        <f>HYPERLINK("http://catalog.hathitrust.org/Record/001552414","HathiTrust Record")</f>
        <v/>
      </c>
      <c r="AS563">
        <f>HYPERLINK("https://creighton-primo.hosted.exlibrisgroup.com/primo-explore/search?tab=default_tab&amp;search_scope=EVERYTHING&amp;vid=01CRU&amp;lang=en_US&amp;offset=0&amp;query=any,contains,991002409709702656","Catalog Record")</f>
        <v/>
      </c>
      <c r="AT563">
        <f>HYPERLINK("http://www.worldcat.org/oclc/339059","WorldCat Record")</f>
        <v/>
      </c>
      <c r="AU563" t="inlineStr">
        <is>
          <t>353525677:eng</t>
        </is>
      </c>
      <c r="AV563" t="inlineStr">
        <is>
          <t>339059</t>
        </is>
      </c>
      <c r="AW563" t="inlineStr">
        <is>
          <t>991002409709702656</t>
        </is>
      </c>
      <c r="AX563" t="inlineStr">
        <is>
          <t>991002409709702656</t>
        </is>
      </c>
      <c r="AY563" t="inlineStr">
        <is>
          <t>2259141680002656</t>
        </is>
      </c>
      <c r="AZ563" t="inlineStr">
        <is>
          <t>BOOK</t>
        </is>
      </c>
      <c r="BC563" t="inlineStr">
        <is>
          <t>32285003011151</t>
        </is>
      </c>
      <c r="BD563" t="inlineStr">
        <is>
          <t>893697738</t>
        </is>
      </c>
      <c r="BE563" t="inlineStr">
        <is>
          <t>Erin Blankenship-Sefczek</t>
        </is>
      </c>
    </row>
    <row r="564">
      <c r="A564" t="inlineStr">
        <is>
          <t>No</t>
        </is>
      </c>
      <c r="B564" t="inlineStr">
        <is>
          <t>QM16.L4 B4 1969</t>
        </is>
      </c>
      <c r="C564" t="inlineStr">
        <is>
          <t>0                      QM 0016000L  4                  B  4           1969</t>
        </is>
      </c>
      <c r="D564" t="inlineStr">
        <is>
          <t>Leonardo the anatomist.</t>
        </is>
      </c>
      <c r="F564" t="inlineStr">
        <is>
          <t>No</t>
        </is>
      </c>
      <c r="G564" t="inlineStr">
        <is>
          <t>1</t>
        </is>
      </c>
      <c r="H564" t="inlineStr">
        <is>
          <t>No</t>
        </is>
      </c>
      <c r="I564" t="inlineStr">
        <is>
          <t>No</t>
        </is>
      </c>
      <c r="J564" t="inlineStr">
        <is>
          <t>0</t>
        </is>
      </c>
      <c r="K564" t="inlineStr">
        <is>
          <t>Belt, Elmer, 1893-1980.</t>
        </is>
      </c>
      <c r="L564" t="inlineStr">
        <is>
          <t>New York : Greenwood Press, [1969, c1955]</t>
        </is>
      </c>
      <c r="M564" t="inlineStr">
        <is>
          <t>1969</t>
        </is>
      </c>
      <c r="O564" t="inlineStr">
        <is>
          <t>eng</t>
        </is>
      </c>
      <c r="P564" t="inlineStr">
        <is>
          <t>nyu</t>
        </is>
      </c>
      <c r="Q564" t="inlineStr">
        <is>
          <t>Logan Clendening lectures on the history and philosophy of medicine ; 4th ser.</t>
        </is>
      </c>
      <c r="R564" t="inlineStr">
        <is>
          <t xml:space="preserve">QM </t>
        </is>
      </c>
      <c r="S564" t="n">
        <v>5</v>
      </c>
      <c r="T564" t="n">
        <v>5</v>
      </c>
      <c r="U564" t="inlineStr">
        <is>
          <t>2000-11-05</t>
        </is>
      </c>
      <c r="V564" t="inlineStr">
        <is>
          <t>2000-11-05</t>
        </is>
      </c>
      <c r="W564" t="inlineStr">
        <is>
          <t>1992-01-16</t>
        </is>
      </c>
      <c r="X564" t="inlineStr">
        <is>
          <t>1992-01-16</t>
        </is>
      </c>
      <c r="Y564" t="n">
        <v>272</v>
      </c>
      <c r="Z564" t="n">
        <v>250</v>
      </c>
      <c r="AA564" t="n">
        <v>440</v>
      </c>
      <c r="AB564" t="n">
        <v>2</v>
      </c>
      <c r="AC564" t="n">
        <v>5</v>
      </c>
      <c r="AD564" t="n">
        <v>13</v>
      </c>
      <c r="AE564" t="n">
        <v>23</v>
      </c>
      <c r="AF564" t="n">
        <v>5</v>
      </c>
      <c r="AG564" t="n">
        <v>6</v>
      </c>
      <c r="AH564" t="n">
        <v>5</v>
      </c>
      <c r="AI564" t="n">
        <v>5</v>
      </c>
      <c r="AJ564" t="n">
        <v>5</v>
      </c>
      <c r="AK564" t="n">
        <v>13</v>
      </c>
      <c r="AL564" t="n">
        <v>1</v>
      </c>
      <c r="AM564" t="n">
        <v>3</v>
      </c>
      <c r="AN564" t="n">
        <v>0</v>
      </c>
      <c r="AO564" t="n">
        <v>0</v>
      </c>
      <c r="AP564" t="inlineStr">
        <is>
          <t>No</t>
        </is>
      </c>
      <c r="AQ564" t="inlineStr">
        <is>
          <t>Yes</t>
        </is>
      </c>
      <c r="AR564">
        <f>HYPERLINK("http://catalog.hathitrust.org/Record/009240844","HathiTrust Record")</f>
        <v/>
      </c>
      <c r="AS564">
        <f>HYPERLINK("https://creighton-primo.hosted.exlibrisgroup.com/primo-explore/search?tab=default_tab&amp;search_scope=EVERYTHING&amp;vid=01CRU&amp;lang=en_US&amp;offset=0&amp;query=any,contains,991001293319702656","Catalog Record")</f>
        <v/>
      </c>
      <c r="AT564">
        <f>HYPERLINK("http://www.worldcat.org/oclc/218587","WorldCat Record")</f>
        <v/>
      </c>
      <c r="AU564" t="inlineStr">
        <is>
          <t>1315019:eng</t>
        </is>
      </c>
      <c r="AV564" t="inlineStr">
        <is>
          <t>218587</t>
        </is>
      </c>
      <c r="AW564" t="inlineStr">
        <is>
          <t>991001293319702656</t>
        </is>
      </c>
      <c r="AX564" t="inlineStr">
        <is>
          <t>991001293319702656</t>
        </is>
      </c>
      <c r="AY564" t="inlineStr">
        <is>
          <t>2258801810002656</t>
        </is>
      </c>
      <c r="AZ564" t="inlineStr">
        <is>
          <t>BOOK</t>
        </is>
      </c>
      <c r="BC564" t="inlineStr">
        <is>
          <t>32285000913334</t>
        </is>
      </c>
      <c r="BD564" t="inlineStr">
        <is>
          <t>893238017</t>
        </is>
      </c>
      <c r="BE564" t="inlineStr">
        <is>
          <t>Erin Blankenship-Sefczek</t>
        </is>
      </c>
    </row>
    <row r="565">
      <c r="A565" t="inlineStr">
        <is>
          <t>No</t>
        </is>
      </c>
      <c r="B565" t="inlineStr">
        <is>
          <t>QM21 .L49</t>
        </is>
      </c>
      <c r="C565" t="inlineStr">
        <is>
          <t>0                      QM 0021000L  49</t>
        </is>
      </c>
      <c r="D565" t="inlineStr">
        <is>
          <t>Leonardo da Vinci on the human body : the anatomical, physiological, and embryological drawings of Leonardo da Vinci / with translations, emendations and a biographical introd., by Charles D. O'Malley and J.B. de C.M. Saunders.</t>
        </is>
      </c>
      <c r="F565" t="inlineStr">
        <is>
          <t>No</t>
        </is>
      </c>
      <c r="G565" t="inlineStr">
        <is>
          <t>1</t>
        </is>
      </c>
      <c r="H565" t="inlineStr">
        <is>
          <t>No</t>
        </is>
      </c>
      <c r="I565" t="inlineStr">
        <is>
          <t>No</t>
        </is>
      </c>
      <c r="J565" t="inlineStr">
        <is>
          <t>0</t>
        </is>
      </c>
      <c r="K565" t="inlineStr">
        <is>
          <t>Leonardo, da Vinci, 1452-1519.</t>
        </is>
      </c>
      <c r="L565" t="inlineStr">
        <is>
          <t>New York : H. Schuman, [1952]</t>
        </is>
      </c>
      <c r="M565" t="inlineStr">
        <is>
          <t>1952</t>
        </is>
      </c>
      <c r="O565" t="inlineStr">
        <is>
          <t>eng</t>
        </is>
      </c>
      <c r="P565" t="inlineStr">
        <is>
          <t>nyu</t>
        </is>
      </c>
      <c r="R565" t="inlineStr">
        <is>
          <t xml:space="preserve">QM </t>
        </is>
      </c>
      <c r="S565" t="n">
        <v>3</v>
      </c>
      <c r="T565" t="n">
        <v>3</v>
      </c>
      <c r="U565" t="inlineStr">
        <is>
          <t>2006-01-26</t>
        </is>
      </c>
      <c r="V565" t="inlineStr">
        <is>
          <t>2006-01-26</t>
        </is>
      </c>
      <c r="W565" t="inlineStr">
        <is>
          <t>1992-09-14</t>
        </is>
      </c>
      <c r="X565" t="inlineStr">
        <is>
          <t>1992-09-14</t>
        </is>
      </c>
      <c r="Y565" t="n">
        <v>848</v>
      </c>
      <c r="Z565" t="n">
        <v>761</v>
      </c>
      <c r="AA565" t="n">
        <v>1110</v>
      </c>
      <c r="AB565" t="n">
        <v>8</v>
      </c>
      <c r="AC565" t="n">
        <v>11</v>
      </c>
      <c r="AD565" t="n">
        <v>28</v>
      </c>
      <c r="AE565" t="n">
        <v>34</v>
      </c>
      <c r="AF565" t="n">
        <v>11</v>
      </c>
      <c r="AG565" t="n">
        <v>14</v>
      </c>
      <c r="AH565" t="n">
        <v>3</v>
      </c>
      <c r="AI565" t="n">
        <v>4</v>
      </c>
      <c r="AJ565" t="n">
        <v>14</v>
      </c>
      <c r="AK565" t="n">
        <v>18</v>
      </c>
      <c r="AL565" t="n">
        <v>5</v>
      </c>
      <c r="AM565" t="n">
        <v>5</v>
      </c>
      <c r="AN565" t="n">
        <v>0</v>
      </c>
      <c r="AO565" t="n">
        <v>0</v>
      </c>
      <c r="AP565" t="inlineStr">
        <is>
          <t>Yes</t>
        </is>
      </c>
      <c r="AQ565" t="inlineStr">
        <is>
          <t>No</t>
        </is>
      </c>
      <c r="AR565">
        <f>HYPERLINK("http://catalog.hathitrust.org/Record/001575669","HathiTrust Record")</f>
        <v/>
      </c>
      <c r="AS565">
        <f>HYPERLINK("https://creighton-primo.hosted.exlibrisgroup.com/primo-explore/search?tab=default_tab&amp;search_scope=EVERYTHING&amp;vid=01CRU&amp;lang=en_US&amp;offset=0&amp;query=any,contains,991001783389702656","Catalog Record")</f>
        <v/>
      </c>
      <c r="AT565">
        <f>HYPERLINK("http://www.worldcat.org/oclc/424922","WorldCat Record")</f>
        <v/>
      </c>
      <c r="AU565" t="inlineStr">
        <is>
          <t>2863666690:eng</t>
        </is>
      </c>
      <c r="AV565" t="inlineStr">
        <is>
          <t>424922</t>
        </is>
      </c>
      <c r="AW565" t="inlineStr">
        <is>
          <t>991001783389702656</t>
        </is>
      </c>
      <c r="AX565" t="inlineStr">
        <is>
          <t>991001783389702656</t>
        </is>
      </c>
      <c r="AY565" t="inlineStr">
        <is>
          <t>2268420650002656</t>
        </is>
      </c>
      <c r="AZ565" t="inlineStr">
        <is>
          <t>BOOK</t>
        </is>
      </c>
      <c r="BC565" t="inlineStr">
        <is>
          <t>32285001300168</t>
        </is>
      </c>
      <c r="BD565" t="inlineStr">
        <is>
          <t>893238336</t>
        </is>
      </c>
      <c r="BE565" t="inlineStr">
        <is>
          <t>Erin Blankenship-Sefczek</t>
        </is>
      </c>
    </row>
    <row r="566">
      <c r="A566" t="inlineStr">
        <is>
          <t>No</t>
        </is>
      </c>
      <c r="B566" t="inlineStr">
        <is>
          <t>QS 4 B499c 1984</t>
        </is>
      </c>
      <c r="C566" t="inlineStr">
        <is>
          <t>0                      QS 0004000B  499c        1984</t>
        </is>
      </c>
      <c r="D566" t="inlineStr">
        <is>
          <t>Catalog of human variation / Ronald A. Bergman, Sue Ann Thompson, Adel K. Afifi.</t>
        </is>
      </c>
      <c r="F566" t="inlineStr">
        <is>
          <t>No</t>
        </is>
      </c>
      <c r="G566" t="inlineStr">
        <is>
          <t>1</t>
        </is>
      </c>
      <c r="H566" t="inlineStr">
        <is>
          <t>No</t>
        </is>
      </c>
      <c r="I566" t="inlineStr">
        <is>
          <t>No</t>
        </is>
      </c>
      <c r="J566" t="inlineStr">
        <is>
          <t>0</t>
        </is>
      </c>
      <c r="K566" t="inlineStr">
        <is>
          <t>Bergman, Ronald A.</t>
        </is>
      </c>
      <c r="L566" t="inlineStr">
        <is>
          <t>Baltimore : Urban &amp; Schwarzenberg, c1984.</t>
        </is>
      </c>
      <c r="M566" t="inlineStr">
        <is>
          <t>1984</t>
        </is>
      </c>
      <c r="O566" t="inlineStr">
        <is>
          <t>eng</t>
        </is>
      </c>
      <c r="P566" t="inlineStr">
        <is>
          <t>xxu</t>
        </is>
      </c>
      <c r="R566" t="inlineStr">
        <is>
          <t xml:space="preserve">QS </t>
        </is>
      </c>
      <c r="S566" t="n">
        <v>6</v>
      </c>
      <c r="T566" t="n">
        <v>6</v>
      </c>
      <c r="U566" t="inlineStr">
        <is>
          <t>1995-09-19</t>
        </is>
      </c>
      <c r="V566" t="inlineStr">
        <is>
          <t>1995-09-19</t>
        </is>
      </c>
      <c r="W566" t="inlineStr">
        <is>
          <t>1989-07-16</t>
        </is>
      </c>
      <c r="X566" t="inlineStr">
        <is>
          <t>1989-07-16</t>
        </is>
      </c>
      <c r="Y566" t="n">
        <v>151</v>
      </c>
      <c r="Z566" t="n">
        <v>107</v>
      </c>
      <c r="AA566" t="n">
        <v>109</v>
      </c>
      <c r="AB566" t="n">
        <v>1</v>
      </c>
      <c r="AC566" t="n">
        <v>1</v>
      </c>
      <c r="AD566" t="n">
        <v>1</v>
      </c>
      <c r="AE566" t="n">
        <v>1</v>
      </c>
      <c r="AF566" t="n">
        <v>1</v>
      </c>
      <c r="AG566" t="n">
        <v>1</v>
      </c>
      <c r="AH566" t="n">
        <v>0</v>
      </c>
      <c r="AI566" t="n">
        <v>0</v>
      </c>
      <c r="AJ566" t="n">
        <v>0</v>
      </c>
      <c r="AK566" t="n">
        <v>0</v>
      </c>
      <c r="AL566" t="n">
        <v>0</v>
      </c>
      <c r="AM566" t="n">
        <v>0</v>
      </c>
      <c r="AN566" t="n">
        <v>0</v>
      </c>
      <c r="AO566" t="n">
        <v>0</v>
      </c>
      <c r="AP566" t="inlineStr">
        <is>
          <t>No</t>
        </is>
      </c>
      <c r="AQ566" t="inlineStr">
        <is>
          <t>Yes</t>
        </is>
      </c>
      <c r="AR566">
        <f>HYPERLINK("http://catalog.hathitrust.org/Record/000164749","HathiTrust Record")</f>
        <v/>
      </c>
      <c r="AS566">
        <f>HYPERLINK("https://creighton-primo.hosted.exlibrisgroup.com/primo-explore/search?tab=default_tab&amp;search_scope=EVERYTHING&amp;vid=01CRU&amp;lang=en_US&amp;offset=0&amp;query=any,contains,991001288419702656","Catalog Record")</f>
        <v/>
      </c>
      <c r="AT566">
        <f>HYPERLINK("http://www.worldcat.org/oclc/10558911","WorldCat Record")</f>
        <v/>
      </c>
      <c r="BE566" t="inlineStr">
        <is>
          <t>Erin Blankenship-Sefczek</t>
        </is>
      </c>
    </row>
    <row r="567">
      <c r="A567" t="inlineStr">
        <is>
          <t>No</t>
        </is>
      </c>
      <c r="B567" t="inlineStr">
        <is>
          <t>QS 4 C678s 2000</t>
        </is>
      </c>
      <c r="C567" t="inlineStr">
        <is>
          <t>0                      QS 0004000C  678s        2000</t>
        </is>
      </c>
      <c r="D567" t="inlineStr">
        <is>
          <t>The Structure &amp; function of the human body / Barbara Janson Cohen, Dena Lin Wood.</t>
        </is>
      </c>
      <c r="F567" t="inlineStr">
        <is>
          <t>No</t>
        </is>
      </c>
      <c r="G567" t="inlineStr">
        <is>
          <t>1</t>
        </is>
      </c>
      <c r="H567" t="inlineStr">
        <is>
          <t>No</t>
        </is>
      </c>
      <c r="I567" t="inlineStr">
        <is>
          <t>Yes</t>
        </is>
      </c>
      <c r="J567" t="inlineStr">
        <is>
          <t>0</t>
        </is>
      </c>
      <c r="K567" t="inlineStr">
        <is>
          <t>Cohen, Barbara J.</t>
        </is>
      </c>
      <c r="L567" t="inlineStr">
        <is>
          <t>Philadelphia : Lippincott Williams &amp; Wilkins, c2000.</t>
        </is>
      </c>
      <c r="M567" t="inlineStr">
        <is>
          <t>2000</t>
        </is>
      </c>
      <c r="N567" t="inlineStr">
        <is>
          <t>7th ed.</t>
        </is>
      </c>
      <c r="O567" t="inlineStr">
        <is>
          <t>eng</t>
        </is>
      </c>
      <c r="P567" t="inlineStr">
        <is>
          <t>pau</t>
        </is>
      </c>
      <c r="R567" t="inlineStr">
        <is>
          <t xml:space="preserve">QS </t>
        </is>
      </c>
      <c r="S567" t="n">
        <v>8</v>
      </c>
      <c r="T567" t="n">
        <v>8</v>
      </c>
      <c r="U567" t="inlineStr">
        <is>
          <t>2005-08-24</t>
        </is>
      </c>
      <c r="V567" t="inlineStr">
        <is>
          <t>2005-08-24</t>
        </is>
      </c>
      <c r="W567" t="inlineStr">
        <is>
          <t>2000-03-27</t>
        </is>
      </c>
      <c r="X567" t="inlineStr">
        <is>
          <t>2000-03-27</t>
        </is>
      </c>
      <c r="Y567" t="n">
        <v>548</v>
      </c>
      <c r="Z567" t="n">
        <v>453</v>
      </c>
      <c r="AA567" t="n">
        <v>647</v>
      </c>
      <c r="AB567" t="n">
        <v>1</v>
      </c>
      <c r="AC567" t="n">
        <v>1</v>
      </c>
      <c r="AD567" t="n">
        <v>10</v>
      </c>
      <c r="AE567" t="n">
        <v>12</v>
      </c>
      <c r="AF567" t="n">
        <v>5</v>
      </c>
      <c r="AG567" t="n">
        <v>6</v>
      </c>
      <c r="AH567" t="n">
        <v>2</v>
      </c>
      <c r="AI567" t="n">
        <v>3</v>
      </c>
      <c r="AJ567" t="n">
        <v>6</v>
      </c>
      <c r="AK567" t="n">
        <v>7</v>
      </c>
      <c r="AL567" t="n">
        <v>0</v>
      </c>
      <c r="AM567" t="n">
        <v>0</v>
      </c>
      <c r="AN567" t="n">
        <v>0</v>
      </c>
      <c r="AO567" t="n">
        <v>0</v>
      </c>
      <c r="AP567" t="inlineStr">
        <is>
          <t>No</t>
        </is>
      </c>
      <c r="AQ567" t="inlineStr">
        <is>
          <t>Yes</t>
        </is>
      </c>
      <c r="AR567">
        <f>HYPERLINK("http://catalog.hathitrust.org/Record/004088251","HathiTrust Record")</f>
        <v/>
      </c>
      <c r="AS567">
        <f>HYPERLINK("https://creighton-primo.hosted.exlibrisgroup.com/primo-explore/search?tab=default_tab&amp;search_scope=EVERYTHING&amp;vid=01CRU&amp;lang=en_US&amp;offset=0&amp;query=any,contains,991001442829702656","Catalog Record")</f>
        <v/>
      </c>
      <c r="AT567">
        <f>HYPERLINK("http://www.worldcat.org/oclc/41646972","WorldCat Record")</f>
        <v/>
      </c>
      <c r="BE567" t="inlineStr">
        <is>
          <t>Erin Blankenship-Sefczek</t>
        </is>
      </c>
    </row>
    <row r="568">
      <c r="A568" t="inlineStr">
        <is>
          <t>No</t>
        </is>
      </c>
      <c r="B568" t="inlineStr">
        <is>
          <t>QS 4 C952e 1982</t>
        </is>
      </c>
      <c r="C568" t="inlineStr">
        <is>
          <t>0                      QS 0004000C  952e        1982</t>
        </is>
      </c>
      <c r="D568" t="inlineStr">
        <is>
          <t>Essential human anatomy : a text-atlas / James E. Crouch ; illustrated by Martha B. Lackey.</t>
        </is>
      </c>
      <c r="F568" t="inlineStr">
        <is>
          <t>No</t>
        </is>
      </c>
      <c r="G568" t="inlineStr">
        <is>
          <t>1</t>
        </is>
      </c>
      <c r="H568" t="inlineStr">
        <is>
          <t>No</t>
        </is>
      </c>
      <c r="I568" t="inlineStr">
        <is>
          <t>No</t>
        </is>
      </c>
      <c r="J568" t="inlineStr">
        <is>
          <t>0</t>
        </is>
      </c>
      <c r="K568" t="inlineStr">
        <is>
          <t>Crouch, James E. (James Ensign), 1908-2000.</t>
        </is>
      </c>
      <c r="L568" t="inlineStr">
        <is>
          <t>Philadelphia : Lea &amp; Febiger, c1982.</t>
        </is>
      </c>
      <c r="M568" t="inlineStr">
        <is>
          <t>1982</t>
        </is>
      </c>
      <c r="O568" t="inlineStr">
        <is>
          <t>eng</t>
        </is>
      </c>
      <c r="P568" t="inlineStr">
        <is>
          <t>xxu</t>
        </is>
      </c>
      <c r="R568" t="inlineStr">
        <is>
          <t xml:space="preserve">QS </t>
        </is>
      </c>
      <c r="S568" t="n">
        <v>14</v>
      </c>
      <c r="T568" t="n">
        <v>14</v>
      </c>
      <c r="U568" t="inlineStr">
        <is>
          <t>2006-10-20</t>
        </is>
      </c>
      <c r="V568" t="inlineStr">
        <is>
          <t>2006-10-20</t>
        </is>
      </c>
      <c r="W568" t="inlineStr">
        <is>
          <t>1987-09-22</t>
        </is>
      </c>
      <c r="X568" t="inlineStr">
        <is>
          <t>1987-09-22</t>
        </is>
      </c>
      <c r="Y568" t="n">
        <v>213</v>
      </c>
      <c r="Z568" t="n">
        <v>171</v>
      </c>
      <c r="AA568" t="n">
        <v>174</v>
      </c>
      <c r="AB568" t="n">
        <v>1</v>
      </c>
      <c r="AC568" t="n">
        <v>2</v>
      </c>
      <c r="AD568" t="n">
        <v>4</v>
      </c>
      <c r="AE568" t="n">
        <v>5</v>
      </c>
      <c r="AF568" t="n">
        <v>2</v>
      </c>
      <c r="AG568" t="n">
        <v>2</v>
      </c>
      <c r="AH568" t="n">
        <v>1</v>
      </c>
      <c r="AI568" t="n">
        <v>1</v>
      </c>
      <c r="AJ568" t="n">
        <v>2</v>
      </c>
      <c r="AK568" t="n">
        <v>2</v>
      </c>
      <c r="AL568" t="n">
        <v>0</v>
      </c>
      <c r="AM568" t="n">
        <v>1</v>
      </c>
      <c r="AN568" t="n">
        <v>0</v>
      </c>
      <c r="AO568" t="n">
        <v>0</v>
      </c>
      <c r="AP568" t="inlineStr">
        <is>
          <t>No</t>
        </is>
      </c>
      <c r="AQ568" t="inlineStr">
        <is>
          <t>Yes</t>
        </is>
      </c>
      <c r="AR568">
        <f>HYPERLINK("http://catalog.hathitrust.org/Record/000221515","HathiTrust Record")</f>
        <v/>
      </c>
      <c r="AS568">
        <f>HYPERLINK("https://creighton-primo.hosted.exlibrisgroup.com/primo-explore/search?tab=default_tab&amp;search_scope=EVERYTHING&amp;vid=01CRU&amp;lang=en_US&amp;offset=0&amp;query=any,contains,991000745629702656","Catalog Record")</f>
        <v/>
      </c>
      <c r="AT568">
        <f>HYPERLINK("http://www.worldcat.org/oclc/6627288","WorldCat Record")</f>
        <v/>
      </c>
      <c r="BE568" t="inlineStr">
        <is>
          <t>Erin Blankenship-Sefczek</t>
        </is>
      </c>
    </row>
    <row r="569">
      <c r="A569" t="inlineStr">
        <is>
          <t>No</t>
        </is>
      </c>
      <c r="B569" t="inlineStr">
        <is>
          <t>QS 4 C952f 1985</t>
        </is>
      </c>
      <c r="C569" t="inlineStr">
        <is>
          <t>0                      QS 0004000C  952f        1985</t>
        </is>
      </c>
      <c r="D569" t="inlineStr">
        <is>
          <t>Functional human anatomy / James E. Crouch.</t>
        </is>
      </c>
      <c r="F569" t="inlineStr">
        <is>
          <t>No</t>
        </is>
      </c>
      <c r="G569" t="inlineStr">
        <is>
          <t>1</t>
        </is>
      </c>
      <c r="H569" t="inlineStr">
        <is>
          <t>No</t>
        </is>
      </c>
      <c r="I569" t="inlineStr">
        <is>
          <t>No</t>
        </is>
      </c>
      <c r="J569" t="inlineStr">
        <is>
          <t>0</t>
        </is>
      </c>
      <c r="K569" t="inlineStr">
        <is>
          <t>Crouch, James E. (James Ensign), 1908-2000.</t>
        </is>
      </c>
      <c r="L569" t="inlineStr">
        <is>
          <t>Philadelphia : Lea &amp; Febiger, c1985.</t>
        </is>
      </c>
      <c r="M569" t="inlineStr">
        <is>
          <t>1985</t>
        </is>
      </c>
      <c r="N569" t="inlineStr">
        <is>
          <t>4th ed.</t>
        </is>
      </c>
      <c r="O569" t="inlineStr">
        <is>
          <t>eng</t>
        </is>
      </c>
      <c r="P569" t="inlineStr">
        <is>
          <t>xxu</t>
        </is>
      </c>
      <c r="R569" t="inlineStr">
        <is>
          <t xml:space="preserve">QS </t>
        </is>
      </c>
      <c r="S569" t="n">
        <v>25</v>
      </c>
      <c r="T569" t="n">
        <v>25</v>
      </c>
      <c r="U569" t="inlineStr">
        <is>
          <t>2002-02-21</t>
        </is>
      </c>
      <c r="V569" t="inlineStr">
        <is>
          <t>2002-02-21</t>
        </is>
      </c>
      <c r="W569" t="inlineStr">
        <is>
          <t>1988-01-06</t>
        </is>
      </c>
      <c r="X569" t="inlineStr">
        <is>
          <t>1988-01-06</t>
        </is>
      </c>
      <c r="Y569" t="n">
        <v>375</v>
      </c>
      <c r="Z569" t="n">
        <v>288</v>
      </c>
      <c r="AA569" t="n">
        <v>628</v>
      </c>
      <c r="AB569" t="n">
        <v>4</v>
      </c>
      <c r="AC569" t="n">
        <v>9</v>
      </c>
      <c r="AD569" t="n">
        <v>11</v>
      </c>
      <c r="AE569" t="n">
        <v>28</v>
      </c>
      <c r="AF569" t="n">
        <v>5</v>
      </c>
      <c r="AG569" t="n">
        <v>11</v>
      </c>
      <c r="AH569" t="n">
        <v>1</v>
      </c>
      <c r="AI569" t="n">
        <v>4</v>
      </c>
      <c r="AJ569" t="n">
        <v>4</v>
      </c>
      <c r="AK569" t="n">
        <v>8</v>
      </c>
      <c r="AL569" t="n">
        <v>2</v>
      </c>
      <c r="AM569" t="n">
        <v>7</v>
      </c>
      <c r="AN569" t="n">
        <v>1</v>
      </c>
      <c r="AO569" t="n">
        <v>2</v>
      </c>
      <c r="AP569" t="inlineStr">
        <is>
          <t>No</t>
        </is>
      </c>
      <c r="AQ569" t="inlineStr">
        <is>
          <t>Yes</t>
        </is>
      </c>
      <c r="AR569">
        <f>HYPERLINK("http://catalog.hathitrust.org/Record/000416596","HathiTrust Record")</f>
        <v/>
      </c>
      <c r="AS569">
        <f>HYPERLINK("https://creighton-primo.hosted.exlibrisgroup.com/primo-explore/search?tab=default_tab&amp;search_scope=EVERYTHING&amp;vid=01CRU&amp;lang=en_US&amp;offset=0&amp;query=any,contains,991000847219702656","Catalog Record")</f>
        <v/>
      </c>
      <c r="AT569">
        <f>HYPERLINK("http://www.worldcat.org/oclc/10161527","WorldCat Record")</f>
        <v/>
      </c>
      <c r="BE569" t="inlineStr">
        <is>
          <t>Erin Blankenship-Sefczek</t>
        </is>
      </c>
    </row>
    <row r="570">
      <c r="A570" t="inlineStr">
        <is>
          <t>No</t>
        </is>
      </c>
      <c r="B570" t="inlineStr">
        <is>
          <t>QS 4 J66a 1997</t>
        </is>
      </c>
      <c r="C570" t="inlineStr">
        <is>
          <t>0                      QS 0004000J  66a         1997</t>
        </is>
      </c>
      <c r="D570" t="inlineStr">
        <is>
          <t>Anatomy for dental students / D.R. Johnson and W.J. Moore ; illustrated by Ann Johnson.</t>
        </is>
      </c>
      <c r="F570" t="inlineStr">
        <is>
          <t>No</t>
        </is>
      </c>
      <c r="G570" t="inlineStr">
        <is>
          <t>1</t>
        </is>
      </c>
      <c r="H570" t="inlineStr">
        <is>
          <t>No</t>
        </is>
      </c>
      <c r="I570" t="inlineStr">
        <is>
          <t>No</t>
        </is>
      </c>
      <c r="J570" t="inlineStr">
        <is>
          <t>0</t>
        </is>
      </c>
      <c r="K570" t="inlineStr">
        <is>
          <t>Johnson, D. R. (David Roderick)</t>
        </is>
      </c>
      <c r="L570" t="inlineStr">
        <is>
          <t>Oxford ; New York : Oxford University Press, c1997.</t>
        </is>
      </c>
      <c r="M570" t="inlineStr">
        <is>
          <t>1997</t>
        </is>
      </c>
      <c r="N570" t="inlineStr">
        <is>
          <t>3rd ed.</t>
        </is>
      </c>
      <c r="O570" t="inlineStr">
        <is>
          <t>eng</t>
        </is>
      </c>
      <c r="P570" t="inlineStr">
        <is>
          <t>enk</t>
        </is>
      </c>
      <c r="R570" t="inlineStr">
        <is>
          <t xml:space="preserve">QS </t>
        </is>
      </c>
      <c r="S570" t="n">
        <v>25</v>
      </c>
      <c r="T570" t="n">
        <v>25</v>
      </c>
      <c r="U570" t="inlineStr">
        <is>
          <t>2004-03-19</t>
        </is>
      </c>
      <c r="V570" t="inlineStr">
        <is>
          <t>2004-03-19</t>
        </is>
      </c>
      <c r="W570" t="inlineStr">
        <is>
          <t>1998-02-02</t>
        </is>
      </c>
      <c r="X570" t="inlineStr">
        <is>
          <t>1998-02-02</t>
        </is>
      </c>
      <c r="Y570" t="n">
        <v>151</v>
      </c>
      <c r="Z570" t="n">
        <v>62</v>
      </c>
      <c r="AA570" t="n">
        <v>117</v>
      </c>
      <c r="AB570" t="n">
        <v>3</v>
      </c>
      <c r="AC570" t="n">
        <v>3</v>
      </c>
      <c r="AD570" t="n">
        <v>4</v>
      </c>
      <c r="AE570" t="n">
        <v>4</v>
      </c>
      <c r="AF570" t="n">
        <v>0</v>
      </c>
      <c r="AG570" t="n">
        <v>0</v>
      </c>
      <c r="AH570" t="n">
        <v>1</v>
      </c>
      <c r="AI570" t="n">
        <v>1</v>
      </c>
      <c r="AJ570" t="n">
        <v>1</v>
      </c>
      <c r="AK570" t="n">
        <v>1</v>
      </c>
      <c r="AL570" t="n">
        <v>2</v>
      </c>
      <c r="AM570" t="n">
        <v>2</v>
      </c>
      <c r="AN570" t="n">
        <v>0</v>
      </c>
      <c r="AO570" t="n">
        <v>0</v>
      </c>
      <c r="AP570" t="inlineStr">
        <is>
          <t>No</t>
        </is>
      </c>
      <c r="AQ570" t="inlineStr">
        <is>
          <t>No</t>
        </is>
      </c>
      <c r="AS570">
        <f>HYPERLINK("https://creighton-primo.hosted.exlibrisgroup.com/primo-explore/search?tab=default_tab&amp;search_scope=EVERYTHING&amp;vid=01CRU&amp;lang=en_US&amp;offset=0&amp;query=any,contains,991001199029702656","Catalog Record")</f>
        <v/>
      </c>
      <c r="AT570">
        <f>HYPERLINK("http://www.worldcat.org/oclc/36225911","WorldCat Record")</f>
        <v/>
      </c>
      <c r="BE570" t="inlineStr">
        <is>
          <t>Erin Blankenship-Sefczek</t>
        </is>
      </c>
    </row>
    <row r="571">
      <c r="A571" t="inlineStr">
        <is>
          <t>No</t>
        </is>
      </c>
      <c r="B571" t="inlineStr">
        <is>
          <t>QS 17 A881 1973</t>
        </is>
      </c>
      <c r="C571" t="inlineStr">
        <is>
          <t>0                      QS 0017000A  881         1973</t>
        </is>
      </c>
      <c r="D571" t="inlineStr">
        <is>
          <t>Atlas d'anatomie du lapin : Atlas of rabbit anatomy / Par R. Barone.</t>
        </is>
      </c>
      <c r="F571" t="inlineStr">
        <is>
          <t>No</t>
        </is>
      </c>
      <c r="G571" t="inlineStr">
        <is>
          <t>1</t>
        </is>
      </c>
      <c r="H571" t="inlineStr">
        <is>
          <t>No</t>
        </is>
      </c>
      <c r="I571" t="inlineStr">
        <is>
          <t>No</t>
        </is>
      </c>
      <c r="J571" t="inlineStr">
        <is>
          <t>0</t>
        </is>
      </c>
      <c r="L571" t="inlineStr">
        <is>
          <t>Paris : Masson, 1973.</t>
        </is>
      </c>
      <c r="M571" t="inlineStr">
        <is>
          <t>1973</t>
        </is>
      </c>
      <c r="O571" t="inlineStr">
        <is>
          <t>lat</t>
        </is>
      </c>
      <c r="P571" t="inlineStr">
        <is>
          <t xml:space="preserve">fr </t>
        </is>
      </c>
      <c r="R571" t="inlineStr">
        <is>
          <t xml:space="preserve">QS </t>
        </is>
      </c>
      <c r="S571" t="n">
        <v>21</v>
      </c>
      <c r="T571" t="n">
        <v>21</v>
      </c>
      <c r="U571" t="inlineStr">
        <is>
          <t>1993-08-24</t>
        </is>
      </c>
      <c r="V571" t="inlineStr">
        <is>
          <t>1993-08-24</t>
        </is>
      </c>
      <c r="W571" t="inlineStr">
        <is>
          <t>1987-11-03</t>
        </is>
      </c>
      <c r="X571" t="inlineStr">
        <is>
          <t>1987-11-03</t>
        </is>
      </c>
      <c r="Y571" t="n">
        <v>84</v>
      </c>
      <c r="Z571" t="n">
        <v>38</v>
      </c>
      <c r="AA571" t="n">
        <v>38</v>
      </c>
      <c r="AB571" t="n">
        <v>2</v>
      </c>
      <c r="AC571" t="n">
        <v>2</v>
      </c>
      <c r="AD571" t="n">
        <v>1</v>
      </c>
      <c r="AE571" t="n">
        <v>1</v>
      </c>
      <c r="AF571" t="n">
        <v>0</v>
      </c>
      <c r="AG571" t="n">
        <v>0</v>
      </c>
      <c r="AH571" t="n">
        <v>0</v>
      </c>
      <c r="AI571" t="n">
        <v>0</v>
      </c>
      <c r="AJ571" t="n">
        <v>0</v>
      </c>
      <c r="AK571" t="n">
        <v>0</v>
      </c>
      <c r="AL571" t="n">
        <v>1</v>
      </c>
      <c r="AM571" t="n">
        <v>1</v>
      </c>
      <c r="AN571" t="n">
        <v>0</v>
      </c>
      <c r="AO571" t="n">
        <v>0</v>
      </c>
      <c r="AP571" t="inlineStr">
        <is>
          <t>No</t>
        </is>
      </c>
      <c r="AQ571" t="inlineStr">
        <is>
          <t>No</t>
        </is>
      </c>
      <c r="AS571">
        <f>HYPERLINK("https://creighton-primo.hosted.exlibrisgroup.com/primo-explore/search?tab=default_tab&amp;search_scope=EVERYTHING&amp;vid=01CRU&amp;lang=en_US&amp;offset=0&amp;query=any,contains,991000846689702656","Catalog Record")</f>
        <v/>
      </c>
      <c r="AT571">
        <f>HYPERLINK("http://www.worldcat.org/oclc/668177","WorldCat Record")</f>
        <v/>
      </c>
      <c r="BE571" t="inlineStr">
        <is>
          <t>Erin Blankenship-Sefczek</t>
        </is>
      </c>
    </row>
    <row r="572">
      <c r="A572" t="inlineStr">
        <is>
          <t>No</t>
        </is>
      </c>
      <c r="B572" t="inlineStr">
        <is>
          <t>QS 17 M167c 1982</t>
        </is>
      </c>
      <c r="C572" t="inlineStr">
        <is>
          <t>0                      QS 0017000M  167c        1982</t>
        </is>
      </c>
      <c r="D572" t="inlineStr">
        <is>
          <t>Color atlas of foot and ankle anatomy / R.M.H. McMinn, R.T. Hutchings, B.M. Logan.</t>
        </is>
      </c>
      <c r="F572" t="inlineStr">
        <is>
          <t>No</t>
        </is>
      </c>
      <c r="G572" t="inlineStr">
        <is>
          <t>1</t>
        </is>
      </c>
      <c r="H572" t="inlineStr">
        <is>
          <t>No</t>
        </is>
      </c>
      <c r="I572" t="inlineStr">
        <is>
          <t>Yes</t>
        </is>
      </c>
      <c r="J572" t="inlineStr">
        <is>
          <t>0</t>
        </is>
      </c>
      <c r="K572" t="inlineStr">
        <is>
          <t>McMinn, R. M. H. (Robert Matthew Hay)</t>
        </is>
      </c>
      <c r="L572" t="inlineStr">
        <is>
          <t>East Norwalk, Conn. : Appleton-Century-Crofts/Connecticut, c1982.</t>
        </is>
      </c>
      <c r="M572" t="inlineStr">
        <is>
          <t>1982</t>
        </is>
      </c>
      <c r="O572" t="inlineStr">
        <is>
          <t>eng</t>
        </is>
      </c>
      <c r="P572" t="inlineStr">
        <is>
          <t>ctu</t>
        </is>
      </c>
      <c r="R572" t="inlineStr">
        <is>
          <t xml:space="preserve">QS </t>
        </is>
      </c>
      <c r="S572" t="n">
        <v>7</v>
      </c>
      <c r="T572" t="n">
        <v>7</v>
      </c>
      <c r="U572" t="inlineStr">
        <is>
          <t>1996-10-07</t>
        </is>
      </c>
      <c r="V572" t="inlineStr">
        <is>
          <t>1996-10-07</t>
        </is>
      </c>
      <c r="W572" t="inlineStr">
        <is>
          <t>1987-10-30</t>
        </is>
      </c>
      <c r="X572" t="inlineStr">
        <is>
          <t>1987-10-30</t>
        </is>
      </c>
      <c r="Y572" t="n">
        <v>90</v>
      </c>
      <c r="Z572" t="n">
        <v>80</v>
      </c>
      <c r="AA572" t="n">
        <v>185</v>
      </c>
      <c r="AB572" t="n">
        <v>1</v>
      </c>
      <c r="AC572" t="n">
        <v>1</v>
      </c>
      <c r="AD572" t="n">
        <v>1</v>
      </c>
      <c r="AE572" t="n">
        <v>3</v>
      </c>
      <c r="AF572" t="n">
        <v>1</v>
      </c>
      <c r="AG572" t="n">
        <v>3</v>
      </c>
      <c r="AH572" t="n">
        <v>0</v>
      </c>
      <c r="AI572" t="n">
        <v>0</v>
      </c>
      <c r="AJ572" t="n">
        <v>0</v>
      </c>
      <c r="AK572" t="n">
        <v>1</v>
      </c>
      <c r="AL572" t="n">
        <v>0</v>
      </c>
      <c r="AM572" t="n">
        <v>0</v>
      </c>
      <c r="AN572" t="n">
        <v>0</v>
      </c>
      <c r="AO572" t="n">
        <v>0</v>
      </c>
      <c r="AP572" t="inlineStr">
        <is>
          <t>No</t>
        </is>
      </c>
      <c r="AQ572" t="inlineStr">
        <is>
          <t>Yes</t>
        </is>
      </c>
      <c r="AR572">
        <f>HYPERLINK("http://catalog.hathitrust.org/Record/000277493","HathiTrust Record")</f>
        <v/>
      </c>
      <c r="AS572">
        <f>HYPERLINK("https://creighton-primo.hosted.exlibrisgroup.com/primo-explore/search?tab=default_tab&amp;search_scope=EVERYTHING&amp;vid=01CRU&amp;lang=en_US&amp;offset=0&amp;query=any,contains,991001280179702656","Catalog Record")</f>
        <v/>
      </c>
      <c r="AT572">
        <f>HYPERLINK("http://www.worldcat.org/oclc/9195022","WorldCat Record")</f>
        <v/>
      </c>
      <c r="BE572" t="inlineStr">
        <is>
          <t>Erin Blankenship-Sefczek</t>
        </is>
      </c>
    </row>
    <row r="573">
      <c r="A573" t="inlineStr">
        <is>
          <t>No</t>
        </is>
      </c>
      <c r="B573" t="inlineStr">
        <is>
          <t>QS17 Q7a 2001</t>
        </is>
      </c>
      <c r="C573" t="inlineStr">
        <is>
          <t>0                      QS 0017000Q  7a          2001</t>
        </is>
      </c>
      <c r="D573" t="inlineStr">
        <is>
          <t>Anatomy for attorneys : a clinical atlas with case studies / Thomas H. Quinn, Terence R. Quinn, Robert H. Quinn ; illustrator, R. Spencer Phippen.</t>
        </is>
      </c>
      <c r="F573" t="inlineStr">
        <is>
          <t>No</t>
        </is>
      </c>
      <c r="G573" t="inlineStr">
        <is>
          <t>1</t>
        </is>
      </c>
      <c r="H573" t="inlineStr">
        <is>
          <t>Yes</t>
        </is>
      </c>
      <c r="I573" t="inlineStr">
        <is>
          <t>No</t>
        </is>
      </c>
      <c r="J573" t="inlineStr">
        <is>
          <t>0</t>
        </is>
      </c>
      <c r="K573" t="inlineStr">
        <is>
          <t>Quinn, Thomas H.</t>
        </is>
      </c>
      <c r="L573" t="inlineStr">
        <is>
          <t>St. Louis, Mo. : Quality Medical Pub., 2001.</t>
        </is>
      </c>
      <c r="M573" t="inlineStr">
        <is>
          <t>2001</t>
        </is>
      </c>
      <c r="O573" t="inlineStr">
        <is>
          <t>eng</t>
        </is>
      </c>
      <c r="P573" t="inlineStr">
        <is>
          <t>mou</t>
        </is>
      </c>
      <c r="R573" t="inlineStr">
        <is>
          <t xml:space="preserve">QS </t>
        </is>
      </c>
      <c r="S573" t="n">
        <v>17</v>
      </c>
      <c r="T573" t="n">
        <v>19</v>
      </c>
      <c r="U573" t="inlineStr">
        <is>
          <t>2008-01-02</t>
        </is>
      </c>
      <c r="V573" t="inlineStr">
        <is>
          <t>2008-01-02</t>
        </is>
      </c>
      <c r="W573" t="inlineStr">
        <is>
          <t>2001-08-14</t>
        </is>
      </c>
      <c r="X573" t="inlineStr">
        <is>
          <t>2001-12-13</t>
        </is>
      </c>
      <c r="Y573" t="n">
        <v>20</v>
      </c>
      <c r="Z573" t="n">
        <v>19</v>
      </c>
      <c r="AA573" t="n">
        <v>19</v>
      </c>
      <c r="AB573" t="n">
        <v>2</v>
      </c>
      <c r="AC573" t="n">
        <v>2</v>
      </c>
      <c r="AD573" t="n">
        <v>0</v>
      </c>
      <c r="AE573" t="n">
        <v>0</v>
      </c>
      <c r="AF573" t="n">
        <v>0</v>
      </c>
      <c r="AG573" t="n">
        <v>0</v>
      </c>
      <c r="AH573" t="n">
        <v>0</v>
      </c>
      <c r="AI573" t="n">
        <v>0</v>
      </c>
      <c r="AJ573" t="n">
        <v>0</v>
      </c>
      <c r="AK573" t="n">
        <v>0</v>
      </c>
      <c r="AL573" t="n">
        <v>0</v>
      </c>
      <c r="AM573" t="n">
        <v>0</v>
      </c>
      <c r="AN573" t="n">
        <v>0</v>
      </c>
      <c r="AO573" t="n">
        <v>0</v>
      </c>
      <c r="AP573" t="inlineStr">
        <is>
          <t>No</t>
        </is>
      </c>
      <c r="AQ573" t="inlineStr">
        <is>
          <t>No</t>
        </is>
      </c>
      <c r="AS573">
        <f>HYPERLINK("https://creighton-primo.hosted.exlibrisgroup.com/primo-explore/search?tab=default_tab&amp;search_scope=EVERYTHING&amp;vid=01CRU&amp;lang=en_US&amp;offset=0&amp;query=any,contains,991001707489702656","Catalog Record")</f>
        <v/>
      </c>
      <c r="AT573">
        <f>HYPERLINK("http://www.worldcat.org/oclc/40645350","WorldCat Record")</f>
        <v/>
      </c>
      <c r="BE573" t="inlineStr">
        <is>
          <t>Erin Blankenship-Sefczek</t>
        </is>
      </c>
    </row>
    <row r="574">
      <c r="A574" t="inlineStr">
        <is>
          <t>No</t>
        </is>
      </c>
      <c r="B574" t="inlineStr">
        <is>
          <t>QS 17 S978a 1973</t>
        </is>
      </c>
      <c r="C574" t="inlineStr">
        <is>
          <t>0                      QS 0017000S  978a        1973</t>
        </is>
      </c>
      <c r="D574" t="inlineStr">
        <is>
          <t>An atlas of primate gross anatomy: baboon, chimpanzee, and man / Daris R. Swindler and Charles D. Wood.</t>
        </is>
      </c>
      <c r="F574" t="inlineStr">
        <is>
          <t>No</t>
        </is>
      </c>
      <c r="G574" t="inlineStr">
        <is>
          <t>1</t>
        </is>
      </c>
      <c r="H574" t="inlineStr">
        <is>
          <t>No</t>
        </is>
      </c>
      <c r="I574" t="inlineStr">
        <is>
          <t>No</t>
        </is>
      </c>
      <c r="J574" t="inlineStr">
        <is>
          <t>0</t>
        </is>
      </c>
      <c r="K574" t="inlineStr">
        <is>
          <t>Swindler, Daris Ray.</t>
        </is>
      </c>
      <c r="L574" t="inlineStr">
        <is>
          <t>Seattle : University of Washington Press, [1973]</t>
        </is>
      </c>
      <c r="M574" t="inlineStr">
        <is>
          <t>1973</t>
        </is>
      </c>
      <c r="O574" t="inlineStr">
        <is>
          <t>eng</t>
        </is>
      </c>
      <c r="P574" t="inlineStr">
        <is>
          <t>wau</t>
        </is>
      </c>
      <c r="R574" t="inlineStr">
        <is>
          <t xml:space="preserve">QS </t>
        </is>
      </c>
      <c r="S574" t="n">
        <v>4</v>
      </c>
      <c r="T574" t="n">
        <v>4</v>
      </c>
      <c r="U574" t="inlineStr">
        <is>
          <t>2004-12-03</t>
        </is>
      </c>
      <c r="V574" t="inlineStr">
        <is>
          <t>2004-12-03</t>
        </is>
      </c>
      <c r="W574" t="inlineStr">
        <is>
          <t>1988-03-01</t>
        </is>
      </c>
      <c r="X574" t="inlineStr">
        <is>
          <t>1988-03-01</t>
        </is>
      </c>
      <c r="Y574" t="n">
        <v>461</v>
      </c>
      <c r="Z574" t="n">
        <v>379</v>
      </c>
      <c r="AA574" t="n">
        <v>440</v>
      </c>
      <c r="AB574" t="n">
        <v>3</v>
      </c>
      <c r="AC574" t="n">
        <v>3</v>
      </c>
      <c r="AD574" t="n">
        <v>13</v>
      </c>
      <c r="AE574" t="n">
        <v>13</v>
      </c>
      <c r="AF574" t="n">
        <v>3</v>
      </c>
      <c r="AG574" t="n">
        <v>3</v>
      </c>
      <c r="AH574" t="n">
        <v>3</v>
      </c>
      <c r="AI574" t="n">
        <v>3</v>
      </c>
      <c r="AJ574" t="n">
        <v>7</v>
      </c>
      <c r="AK574" t="n">
        <v>7</v>
      </c>
      <c r="AL574" t="n">
        <v>2</v>
      </c>
      <c r="AM574" t="n">
        <v>2</v>
      </c>
      <c r="AN574" t="n">
        <v>0</v>
      </c>
      <c r="AO574" t="n">
        <v>0</v>
      </c>
      <c r="AP574" t="inlineStr">
        <is>
          <t>No</t>
        </is>
      </c>
      <c r="AQ574" t="inlineStr">
        <is>
          <t>No</t>
        </is>
      </c>
      <c r="AS574">
        <f>HYPERLINK("https://creighton-primo.hosted.exlibrisgroup.com/primo-explore/search?tab=default_tab&amp;search_scope=EVERYTHING&amp;vid=01CRU&amp;lang=en_US&amp;offset=0&amp;query=any,contains,991000796359702656","Catalog Record")</f>
        <v/>
      </c>
      <c r="AT574">
        <f>HYPERLINK("http://www.worldcat.org/oclc/624031","WorldCat Record")</f>
        <v/>
      </c>
      <c r="BE574" t="inlineStr">
        <is>
          <t>Erin Blankenship-Sefczek</t>
        </is>
      </c>
    </row>
    <row r="575">
      <c r="A575" t="inlineStr">
        <is>
          <t>No</t>
        </is>
      </c>
      <c r="B575" t="inlineStr">
        <is>
          <t>QS 17 Z94s 1986</t>
        </is>
      </c>
      <c r="C575" t="inlineStr">
        <is>
          <t>0                      QS 0017000Z  94s         1986</t>
        </is>
      </c>
      <c r="D575" t="inlineStr">
        <is>
          <t>A system of practical anatomy for dental students : a guide and atlas / Lord Zuckerman, in collaboration with Deryk Darlington, F. Peter Lisowski.</t>
        </is>
      </c>
      <c r="F575" t="inlineStr">
        <is>
          <t>No</t>
        </is>
      </c>
      <c r="G575" t="inlineStr">
        <is>
          <t>1</t>
        </is>
      </c>
      <c r="H575" t="inlineStr">
        <is>
          <t>No</t>
        </is>
      </c>
      <c r="I575" t="inlineStr">
        <is>
          <t>No</t>
        </is>
      </c>
      <c r="J575" t="inlineStr">
        <is>
          <t>0</t>
        </is>
      </c>
      <c r="K575" t="inlineStr">
        <is>
          <t>Zuckerman, Solly, Baron, 1904-1993.</t>
        </is>
      </c>
      <c r="L575" t="inlineStr">
        <is>
          <t>Oxford ; New York : Oxford University Press, 1986.</t>
        </is>
      </c>
      <c r="M575" t="inlineStr">
        <is>
          <t>1986</t>
        </is>
      </c>
      <c r="O575" t="inlineStr">
        <is>
          <t>eng</t>
        </is>
      </c>
      <c r="P575" t="inlineStr">
        <is>
          <t>enk</t>
        </is>
      </c>
      <c r="Q575" t="inlineStr">
        <is>
          <t>Oxford medical publications</t>
        </is>
      </c>
      <c r="R575" t="inlineStr">
        <is>
          <t xml:space="preserve">QS </t>
        </is>
      </c>
      <c r="S575" t="n">
        <v>27</v>
      </c>
      <c r="T575" t="n">
        <v>27</v>
      </c>
      <c r="U575" t="inlineStr">
        <is>
          <t>2002-07-05</t>
        </is>
      </c>
      <c r="V575" t="inlineStr">
        <is>
          <t>2002-07-05</t>
        </is>
      </c>
      <c r="W575" t="inlineStr">
        <is>
          <t>1988-01-09</t>
        </is>
      </c>
      <c r="X575" t="inlineStr">
        <is>
          <t>1988-01-09</t>
        </is>
      </c>
      <c r="Y575" t="n">
        <v>98</v>
      </c>
      <c r="Z575" t="n">
        <v>48</v>
      </c>
      <c r="AA575" t="n">
        <v>50</v>
      </c>
      <c r="AB575" t="n">
        <v>1</v>
      </c>
      <c r="AC575" t="n">
        <v>1</v>
      </c>
      <c r="AD575" t="n">
        <v>1</v>
      </c>
      <c r="AE575" t="n">
        <v>1</v>
      </c>
      <c r="AF575" t="n">
        <v>0</v>
      </c>
      <c r="AG575" t="n">
        <v>0</v>
      </c>
      <c r="AH575" t="n">
        <v>0</v>
      </c>
      <c r="AI575" t="n">
        <v>0</v>
      </c>
      <c r="AJ575" t="n">
        <v>1</v>
      </c>
      <c r="AK575" t="n">
        <v>1</v>
      </c>
      <c r="AL575" t="n">
        <v>0</v>
      </c>
      <c r="AM575" t="n">
        <v>0</v>
      </c>
      <c r="AN575" t="n">
        <v>0</v>
      </c>
      <c r="AO575" t="n">
        <v>0</v>
      </c>
      <c r="AP575" t="inlineStr">
        <is>
          <t>No</t>
        </is>
      </c>
      <c r="AQ575" t="inlineStr">
        <is>
          <t>Yes</t>
        </is>
      </c>
      <c r="AR575">
        <f>HYPERLINK("http://catalog.hathitrust.org/Record/000622543","HathiTrust Record")</f>
        <v/>
      </c>
      <c r="AS575">
        <f>HYPERLINK("https://creighton-primo.hosted.exlibrisgroup.com/primo-explore/search?tab=default_tab&amp;search_scope=EVERYTHING&amp;vid=01CRU&amp;lang=en_US&amp;offset=0&amp;query=any,contains,991000847089702656","Catalog Record")</f>
        <v/>
      </c>
      <c r="AT575">
        <f>HYPERLINK("http://www.worldcat.org/oclc/11971377","WorldCat Record")</f>
        <v/>
      </c>
      <c r="BE575" t="inlineStr">
        <is>
          <t>Erin Blankenship-Sefczek</t>
        </is>
      </c>
    </row>
    <row r="576">
      <c r="A576" t="inlineStr">
        <is>
          <t>No</t>
        </is>
      </c>
      <c r="B576" t="inlineStr">
        <is>
          <t>QS532.5 E7 E5662 2005</t>
        </is>
      </c>
      <c r="C576" t="inlineStr">
        <is>
          <t>0                      QS 0532500E  7                  E  5662        2005</t>
        </is>
      </c>
      <c r="D576" t="inlineStr">
        <is>
          <t>Endothelial cells in health and disease / edited by William C. Aird.</t>
        </is>
      </c>
      <c r="F576" t="inlineStr">
        <is>
          <t>No</t>
        </is>
      </c>
      <c r="G576" t="inlineStr">
        <is>
          <t>1</t>
        </is>
      </c>
      <c r="H576" t="inlineStr">
        <is>
          <t>No</t>
        </is>
      </c>
      <c r="I576" t="inlineStr">
        <is>
          <t>No</t>
        </is>
      </c>
      <c r="J576" t="inlineStr">
        <is>
          <t>0</t>
        </is>
      </c>
      <c r="L576" t="inlineStr">
        <is>
          <t>Boco Raton, FL : Taylor &amp; Francis, 2005.</t>
        </is>
      </c>
      <c r="M576" t="inlineStr">
        <is>
          <t>2005</t>
        </is>
      </c>
      <c r="O576" t="inlineStr">
        <is>
          <t>eng</t>
        </is>
      </c>
      <c r="P576" t="inlineStr">
        <is>
          <t>flu</t>
        </is>
      </c>
      <c r="R576" t="inlineStr">
        <is>
          <t xml:space="preserve">QS </t>
        </is>
      </c>
      <c r="S576" t="n">
        <v>1</v>
      </c>
      <c r="T576" t="n">
        <v>1</v>
      </c>
      <c r="U576" t="inlineStr">
        <is>
          <t>2007-02-09</t>
        </is>
      </c>
      <c r="V576" t="inlineStr">
        <is>
          <t>2007-02-09</t>
        </is>
      </c>
      <c r="W576" t="inlineStr">
        <is>
          <t>2007-02-09</t>
        </is>
      </c>
      <c r="X576" t="inlineStr">
        <is>
          <t>2007-02-09</t>
        </is>
      </c>
      <c r="Y576" t="n">
        <v>98</v>
      </c>
      <c r="Z576" t="n">
        <v>67</v>
      </c>
      <c r="AA576" t="n">
        <v>95</v>
      </c>
      <c r="AB576" t="n">
        <v>2</v>
      </c>
      <c r="AC576" t="n">
        <v>2</v>
      </c>
      <c r="AD576" t="n">
        <v>3</v>
      </c>
      <c r="AE576" t="n">
        <v>3</v>
      </c>
      <c r="AF576" t="n">
        <v>1</v>
      </c>
      <c r="AG576" t="n">
        <v>1</v>
      </c>
      <c r="AH576" t="n">
        <v>1</v>
      </c>
      <c r="AI576" t="n">
        <v>1</v>
      </c>
      <c r="AJ576" t="n">
        <v>0</v>
      </c>
      <c r="AK576" t="n">
        <v>0</v>
      </c>
      <c r="AL576" t="n">
        <v>1</v>
      </c>
      <c r="AM576" t="n">
        <v>1</v>
      </c>
      <c r="AN576" t="n">
        <v>0</v>
      </c>
      <c r="AO576" t="n">
        <v>0</v>
      </c>
      <c r="AP576" t="inlineStr">
        <is>
          <t>No</t>
        </is>
      </c>
      <c r="AQ576" t="inlineStr">
        <is>
          <t>No</t>
        </is>
      </c>
      <c r="AS576">
        <f>HYPERLINK("https://creighton-primo.hosted.exlibrisgroup.com/primo-explore/search?tab=default_tab&amp;search_scope=EVERYTHING&amp;vid=01CRU&amp;lang=en_US&amp;offset=0&amp;query=any,contains,991000594689702656","Catalog Record")</f>
        <v/>
      </c>
      <c r="AT576">
        <f>HYPERLINK("http://www.worldcat.org/oclc/60551482","WorldCat Record")</f>
        <v/>
      </c>
      <c r="BE576" t="inlineStr">
        <is>
          <t>Erin Blankenship-Sefczek</t>
        </is>
      </c>
    </row>
    <row r="577">
      <c r="A577" t="inlineStr">
        <is>
          <t>No</t>
        </is>
      </c>
      <c r="B577" t="inlineStr">
        <is>
          <t>QZ 4 B789i 1984</t>
        </is>
      </c>
      <c r="C577" t="inlineStr">
        <is>
          <t>0                      QZ 0004000B  789i        1984</t>
        </is>
      </c>
      <c r="D577" t="inlineStr">
        <is>
          <t>Boyd's Introduction to the study of disease.</t>
        </is>
      </c>
      <c r="F577" t="inlineStr">
        <is>
          <t>No</t>
        </is>
      </c>
      <c r="G577" t="inlineStr">
        <is>
          <t>1</t>
        </is>
      </c>
      <c r="H577" t="inlineStr">
        <is>
          <t>No</t>
        </is>
      </c>
      <c r="I577" t="inlineStr">
        <is>
          <t>No</t>
        </is>
      </c>
      <c r="J577" t="inlineStr">
        <is>
          <t>0</t>
        </is>
      </c>
      <c r="K577" t="inlineStr">
        <is>
          <t>Boyd, William, 1885-1979.</t>
        </is>
      </c>
      <c r="L577" t="inlineStr">
        <is>
          <t>Philadelphia : Lea &amp; Febiger, c1984.</t>
        </is>
      </c>
      <c r="M577" t="inlineStr">
        <is>
          <t>1984</t>
        </is>
      </c>
      <c r="N577" t="inlineStr">
        <is>
          <t>9th ed. / Huntington Sheldon.</t>
        </is>
      </c>
      <c r="O577" t="inlineStr">
        <is>
          <t>eng</t>
        </is>
      </c>
      <c r="P577" t="inlineStr">
        <is>
          <t>xxu</t>
        </is>
      </c>
      <c r="R577" t="inlineStr">
        <is>
          <t xml:space="preserve">QZ </t>
        </is>
      </c>
      <c r="S577" t="n">
        <v>18</v>
      </c>
      <c r="T577" t="n">
        <v>18</v>
      </c>
      <c r="U577" t="inlineStr">
        <is>
          <t>2002-07-03</t>
        </is>
      </c>
      <c r="V577" t="inlineStr">
        <is>
          <t>2002-07-03</t>
        </is>
      </c>
      <c r="W577" t="inlineStr">
        <is>
          <t>1988-02-12</t>
        </is>
      </c>
      <c r="X577" t="inlineStr">
        <is>
          <t>1988-02-12</t>
        </is>
      </c>
      <c r="Y577" t="n">
        <v>273</v>
      </c>
      <c r="Z577" t="n">
        <v>221</v>
      </c>
      <c r="AA577" t="n">
        <v>800</v>
      </c>
      <c r="AB577" t="n">
        <v>1</v>
      </c>
      <c r="AC577" t="n">
        <v>5</v>
      </c>
      <c r="AD577" t="n">
        <v>5</v>
      </c>
      <c r="AE577" t="n">
        <v>25</v>
      </c>
      <c r="AF577" t="n">
        <v>3</v>
      </c>
      <c r="AG577" t="n">
        <v>12</v>
      </c>
      <c r="AH577" t="n">
        <v>1</v>
      </c>
      <c r="AI577" t="n">
        <v>5</v>
      </c>
      <c r="AJ577" t="n">
        <v>2</v>
      </c>
      <c r="AK577" t="n">
        <v>10</v>
      </c>
      <c r="AL577" t="n">
        <v>0</v>
      </c>
      <c r="AM577" t="n">
        <v>4</v>
      </c>
      <c r="AN577" t="n">
        <v>0</v>
      </c>
      <c r="AO577" t="n">
        <v>1</v>
      </c>
      <c r="AP577" t="inlineStr">
        <is>
          <t>No</t>
        </is>
      </c>
      <c r="AQ577" t="inlineStr">
        <is>
          <t>Yes</t>
        </is>
      </c>
      <c r="AR577">
        <f>HYPERLINK("http://catalog.hathitrust.org/Record/000560930","HathiTrust Record")</f>
        <v/>
      </c>
      <c r="AS577">
        <f>HYPERLINK("https://creighton-primo.hosted.exlibrisgroup.com/primo-explore/search?tab=default_tab&amp;search_scope=EVERYTHING&amp;vid=01CRU&amp;lang=en_US&amp;offset=0&amp;query=any,contains,991000981999702656","Catalog Record")</f>
        <v/>
      </c>
      <c r="AT577">
        <f>HYPERLINK("http://www.worldcat.org/oclc/11030097","WorldCat Record")</f>
        <v/>
      </c>
      <c r="AU577" t="inlineStr">
        <is>
          <t>20865974:eng</t>
        </is>
      </c>
      <c r="AV577" t="inlineStr">
        <is>
          <t>11030097</t>
        </is>
      </c>
      <c r="AW577" t="inlineStr">
        <is>
          <t>991000981999702656</t>
        </is>
      </c>
      <c r="AX577" t="inlineStr">
        <is>
          <t>991000981999702656</t>
        </is>
      </c>
      <c r="AY577" t="inlineStr">
        <is>
          <t>2261628620002656</t>
        </is>
      </c>
      <c r="AZ577" t="inlineStr">
        <is>
          <t>BOOK</t>
        </is>
      </c>
      <c r="BB577" t="inlineStr">
        <is>
          <t>9780812109382</t>
        </is>
      </c>
      <c r="BC577" t="inlineStr">
        <is>
          <t>30001000213811</t>
        </is>
      </c>
      <c r="BD577" t="inlineStr">
        <is>
          <t>893148787</t>
        </is>
      </c>
      <c r="BE577" t="inlineStr">
        <is>
          <t>Erin Blankenship-Sefczek</t>
        </is>
      </c>
    </row>
    <row r="578">
      <c r="A578" t="inlineStr">
        <is>
          <t>No</t>
        </is>
      </c>
      <c r="B578" t="inlineStr">
        <is>
          <t>QZ 4 B938p 1992</t>
        </is>
      </c>
      <c r="C578" t="inlineStr">
        <is>
          <t>0                      QZ 0004000B  938p        1992</t>
        </is>
      </c>
      <c r="D578" t="inlineStr">
        <is>
          <t>Pathophysiology : adaptations and alterations in function / Barbara L. Bullock, Pearl Philbrook Rosendahl, with 18 contributors.</t>
        </is>
      </c>
      <c r="F578" t="inlineStr">
        <is>
          <t>No</t>
        </is>
      </c>
      <c r="G578" t="inlineStr">
        <is>
          <t>1</t>
        </is>
      </c>
      <c r="H578" t="inlineStr">
        <is>
          <t>No</t>
        </is>
      </c>
      <c r="I578" t="inlineStr">
        <is>
          <t>Yes</t>
        </is>
      </c>
      <c r="J578" t="inlineStr">
        <is>
          <t>0</t>
        </is>
      </c>
      <c r="K578" t="inlineStr">
        <is>
          <t>Bullock, Barbara L.</t>
        </is>
      </c>
      <c r="L578" t="inlineStr">
        <is>
          <t>Philadelphia : Lippincott, c1992.</t>
        </is>
      </c>
      <c r="M578" t="inlineStr">
        <is>
          <t>1992</t>
        </is>
      </c>
      <c r="N578" t="inlineStr">
        <is>
          <t>3rd ed.</t>
        </is>
      </c>
      <c r="O578" t="inlineStr">
        <is>
          <t>eng</t>
        </is>
      </c>
      <c r="P578" t="inlineStr">
        <is>
          <t>pau</t>
        </is>
      </c>
      <c r="R578" t="inlineStr">
        <is>
          <t xml:space="preserve">QZ </t>
        </is>
      </c>
      <c r="S578" t="n">
        <v>35</v>
      </c>
      <c r="T578" t="n">
        <v>35</v>
      </c>
      <c r="U578" t="inlineStr">
        <is>
          <t>1998-11-02</t>
        </is>
      </c>
      <c r="V578" t="inlineStr">
        <is>
          <t>1998-11-02</t>
        </is>
      </c>
      <c r="W578" t="inlineStr">
        <is>
          <t>1993-03-26</t>
        </is>
      </c>
      <c r="X578" t="inlineStr">
        <is>
          <t>1993-03-26</t>
        </is>
      </c>
      <c r="Y578" t="n">
        <v>279</v>
      </c>
      <c r="Z578" t="n">
        <v>215</v>
      </c>
      <c r="AA578" t="n">
        <v>504</v>
      </c>
      <c r="AB578" t="n">
        <v>1</v>
      </c>
      <c r="AC578" t="n">
        <v>2</v>
      </c>
      <c r="AD578" t="n">
        <v>6</v>
      </c>
      <c r="AE578" t="n">
        <v>18</v>
      </c>
      <c r="AF578" t="n">
        <v>2</v>
      </c>
      <c r="AG578" t="n">
        <v>10</v>
      </c>
      <c r="AH578" t="n">
        <v>2</v>
      </c>
      <c r="AI578" t="n">
        <v>4</v>
      </c>
      <c r="AJ578" t="n">
        <v>5</v>
      </c>
      <c r="AK578" t="n">
        <v>11</v>
      </c>
      <c r="AL578" t="n">
        <v>0</v>
      </c>
      <c r="AM578" t="n">
        <v>0</v>
      </c>
      <c r="AN578" t="n">
        <v>0</v>
      </c>
      <c r="AO578" t="n">
        <v>0</v>
      </c>
      <c r="AP578" t="inlineStr">
        <is>
          <t>No</t>
        </is>
      </c>
      <c r="AQ578" t="inlineStr">
        <is>
          <t>Yes</t>
        </is>
      </c>
      <c r="AR578">
        <f>HYPERLINK("http://catalog.hathitrust.org/Record/002527311","HathiTrust Record")</f>
        <v/>
      </c>
      <c r="AS578">
        <f>HYPERLINK("https://creighton-primo.hosted.exlibrisgroup.com/primo-explore/search?tab=default_tab&amp;search_scope=EVERYTHING&amp;vid=01CRU&amp;lang=en_US&amp;offset=0&amp;query=any,contains,991001475669702656","Catalog Record")</f>
        <v/>
      </c>
      <c r="AT578">
        <f>HYPERLINK("http://www.worldcat.org/oclc/25026153","WorldCat Record")</f>
        <v/>
      </c>
      <c r="AU578" t="inlineStr">
        <is>
          <t>3637904:eng</t>
        </is>
      </c>
      <c r="AV578" t="inlineStr">
        <is>
          <t>25026153</t>
        </is>
      </c>
      <c r="AW578" t="inlineStr">
        <is>
          <t>991001475669702656</t>
        </is>
      </c>
      <c r="AX578" t="inlineStr">
        <is>
          <t>991001475669702656</t>
        </is>
      </c>
      <c r="AY578" t="inlineStr">
        <is>
          <t>2262350750002656</t>
        </is>
      </c>
      <c r="AZ578" t="inlineStr">
        <is>
          <t>BOOK</t>
        </is>
      </c>
      <c r="BB578" t="inlineStr">
        <is>
          <t>9780397548613</t>
        </is>
      </c>
      <c r="BC578" t="inlineStr">
        <is>
          <t>30001002563379</t>
        </is>
      </c>
      <c r="BD578" t="inlineStr">
        <is>
          <t>893374615</t>
        </is>
      </c>
      <c r="BE578" t="inlineStr">
        <is>
          <t>Erin Blankenship-Sefczek</t>
        </is>
      </c>
    </row>
    <row r="579">
      <c r="A579" t="inlineStr">
        <is>
          <t>No</t>
        </is>
      </c>
      <c r="B579" t="inlineStr">
        <is>
          <t>QZ 4 C368p 1906</t>
        </is>
      </c>
      <c r="C579" t="inlineStr">
        <is>
          <t>0                      QZ 0004000C  368p        1906</t>
        </is>
      </c>
      <c r="D579" t="inlineStr">
        <is>
          <t>Postmortem pathology; a manual of the technic of post-mortem examinations and the interpretations to be drawn therefrom : a practical treatise for students and practitioners.</t>
        </is>
      </c>
      <c r="F579" t="inlineStr">
        <is>
          <t>No</t>
        </is>
      </c>
      <c r="G579" t="inlineStr">
        <is>
          <t>1</t>
        </is>
      </c>
      <c r="H579" t="inlineStr">
        <is>
          <t>No</t>
        </is>
      </c>
      <c r="I579" t="inlineStr">
        <is>
          <t>No</t>
        </is>
      </c>
      <c r="J579" t="inlineStr">
        <is>
          <t>0</t>
        </is>
      </c>
      <c r="K579" t="inlineStr">
        <is>
          <t>Cattell, Henry W. (Henry Ware), 1862-1936.</t>
        </is>
      </c>
      <c r="L579" t="inlineStr">
        <is>
          <t>Philadelphia : Lippincott, 1906.</t>
        </is>
      </c>
      <c r="M579" t="inlineStr">
        <is>
          <t>1906</t>
        </is>
      </c>
      <c r="N579" t="inlineStr">
        <is>
          <t>3d ed.</t>
        </is>
      </c>
      <c r="O579" t="inlineStr">
        <is>
          <t>eng</t>
        </is>
      </c>
      <c r="P579" t="inlineStr">
        <is>
          <t>pau</t>
        </is>
      </c>
      <c r="R579" t="inlineStr">
        <is>
          <t xml:space="preserve">QZ </t>
        </is>
      </c>
      <c r="S579" t="n">
        <v>3</v>
      </c>
      <c r="T579" t="n">
        <v>3</v>
      </c>
      <c r="U579" t="inlineStr">
        <is>
          <t>1990-03-05</t>
        </is>
      </c>
      <c r="V579" t="inlineStr">
        <is>
          <t>1990-03-05</t>
        </is>
      </c>
      <c r="W579" t="inlineStr">
        <is>
          <t>1990-03-16</t>
        </is>
      </c>
      <c r="X579" t="inlineStr">
        <is>
          <t>1990-03-16</t>
        </is>
      </c>
      <c r="Y579" t="n">
        <v>32</v>
      </c>
      <c r="Z579" t="n">
        <v>29</v>
      </c>
      <c r="AA579" t="n">
        <v>74</v>
      </c>
      <c r="AB579" t="n">
        <v>1</v>
      </c>
      <c r="AC579" t="n">
        <v>2</v>
      </c>
      <c r="AD579" t="n">
        <v>0</v>
      </c>
      <c r="AE579" t="n">
        <v>3</v>
      </c>
      <c r="AF579" t="n">
        <v>0</v>
      </c>
      <c r="AG579" t="n">
        <v>0</v>
      </c>
      <c r="AH579" t="n">
        <v>0</v>
      </c>
      <c r="AI579" t="n">
        <v>2</v>
      </c>
      <c r="AJ579" t="n">
        <v>0</v>
      </c>
      <c r="AK579" t="n">
        <v>0</v>
      </c>
      <c r="AL579" t="n">
        <v>0</v>
      </c>
      <c r="AM579" t="n">
        <v>1</v>
      </c>
      <c r="AN579" t="n">
        <v>0</v>
      </c>
      <c r="AO579" t="n">
        <v>0</v>
      </c>
      <c r="AP579" t="inlineStr">
        <is>
          <t>No</t>
        </is>
      </c>
      <c r="AQ579" t="inlineStr">
        <is>
          <t>No</t>
        </is>
      </c>
      <c r="AS579">
        <f>HYPERLINK("https://creighton-primo.hosted.exlibrisgroup.com/primo-explore/search?tab=default_tab&amp;search_scope=EVERYTHING&amp;vid=01CRU&amp;lang=en_US&amp;offset=0&amp;query=any,contains,991001548189702656","Catalog Record")</f>
        <v/>
      </c>
      <c r="AT579">
        <f>HYPERLINK("http://www.worldcat.org/oclc/14790444","WorldCat Record")</f>
        <v/>
      </c>
      <c r="AU579" t="inlineStr">
        <is>
          <t>684808607:eng</t>
        </is>
      </c>
      <c r="AV579" t="inlineStr">
        <is>
          <t>14790444</t>
        </is>
      </c>
      <c r="AW579" t="inlineStr">
        <is>
          <t>991001548189702656</t>
        </is>
      </c>
      <c r="AX579" t="inlineStr">
        <is>
          <t>991001548189702656</t>
        </is>
      </c>
      <c r="AY579" t="inlineStr">
        <is>
          <t>2258307860002656</t>
        </is>
      </c>
      <c r="AZ579" t="inlineStr">
        <is>
          <t>BOOK</t>
        </is>
      </c>
      <c r="BC579" t="inlineStr">
        <is>
          <t>30001001981432</t>
        </is>
      </c>
      <c r="BD579" t="inlineStr">
        <is>
          <t>893279215</t>
        </is>
      </c>
      <c r="BE579" t="inlineStr">
        <is>
          <t>Erin Blankenship-Sefczek</t>
        </is>
      </c>
    </row>
    <row r="580">
      <c r="A580" t="inlineStr">
        <is>
          <t>No</t>
        </is>
      </c>
      <c r="B580" t="inlineStr">
        <is>
          <t>QZ 4 R742m 1855</t>
        </is>
      </c>
      <c r="C580" t="inlineStr">
        <is>
          <t>0                      QZ 0004000R  742m        1855</t>
        </is>
      </c>
      <c r="D580" t="inlineStr">
        <is>
          <t>A manual of pathological anatomy / Carl Rokitansky.</t>
        </is>
      </c>
      <c r="F580" t="inlineStr">
        <is>
          <t>No</t>
        </is>
      </c>
      <c r="G580" t="inlineStr">
        <is>
          <t>1</t>
        </is>
      </c>
      <c r="H580" t="inlineStr">
        <is>
          <t>Yes</t>
        </is>
      </c>
      <c r="I580" t="inlineStr">
        <is>
          <t>No</t>
        </is>
      </c>
      <c r="J580" t="inlineStr">
        <is>
          <t>0</t>
        </is>
      </c>
      <c r="K580" t="inlineStr">
        <is>
          <t>Rokitansky, Carl von, 1804-1878.</t>
        </is>
      </c>
      <c r="L580" t="inlineStr">
        <is>
          <t>Philadelphia : Blanchard &amp; Lea, 1855.</t>
        </is>
      </c>
      <c r="M580" t="inlineStr">
        <is>
          <t>1855</t>
        </is>
      </c>
      <c r="O580" t="inlineStr">
        <is>
          <t>eng</t>
        </is>
      </c>
      <c r="P580" t="inlineStr">
        <is>
          <t>pau</t>
        </is>
      </c>
      <c r="R580" t="inlineStr">
        <is>
          <t xml:space="preserve">QZ </t>
        </is>
      </c>
      <c r="S580" t="n">
        <v>5</v>
      </c>
      <c r="T580" t="n">
        <v>5</v>
      </c>
      <c r="U580" t="inlineStr">
        <is>
          <t>2003-07-24</t>
        </is>
      </c>
      <c r="V580" t="inlineStr">
        <is>
          <t>2003-07-24</t>
        </is>
      </c>
      <c r="W580" t="inlineStr">
        <is>
          <t>1987-10-21</t>
        </is>
      </c>
      <c r="X580" t="inlineStr">
        <is>
          <t>1987-10-21</t>
        </is>
      </c>
      <c r="Y580" t="n">
        <v>60</v>
      </c>
      <c r="Z580" t="n">
        <v>55</v>
      </c>
      <c r="AA580" t="n">
        <v>68</v>
      </c>
      <c r="AB580" t="n">
        <v>2</v>
      </c>
      <c r="AC580" t="n">
        <v>3</v>
      </c>
      <c r="AD580" t="n">
        <v>2</v>
      </c>
      <c r="AE580" t="n">
        <v>4</v>
      </c>
      <c r="AF580" t="n">
        <v>0</v>
      </c>
      <c r="AG580" t="n">
        <v>0</v>
      </c>
      <c r="AH580" t="n">
        <v>1</v>
      </c>
      <c r="AI580" t="n">
        <v>2</v>
      </c>
      <c r="AJ580" t="n">
        <v>0</v>
      </c>
      <c r="AK580" t="n">
        <v>0</v>
      </c>
      <c r="AL580" t="n">
        <v>1</v>
      </c>
      <c r="AM580" t="n">
        <v>2</v>
      </c>
      <c r="AN580" t="n">
        <v>0</v>
      </c>
      <c r="AO580" t="n">
        <v>0</v>
      </c>
      <c r="AP580" t="inlineStr">
        <is>
          <t>Yes</t>
        </is>
      </c>
      <c r="AQ580" t="inlineStr">
        <is>
          <t>No</t>
        </is>
      </c>
      <c r="AR580">
        <f>HYPERLINK("http://catalog.hathitrust.org/Record/006219914","HathiTrust Record")</f>
        <v/>
      </c>
      <c r="AS580">
        <f>HYPERLINK("https://creighton-primo.hosted.exlibrisgroup.com/primo-explore/search?tab=default_tab&amp;search_scope=EVERYTHING&amp;vid=01CRU&amp;lang=en_US&amp;offset=0&amp;query=any,contains,991001456239702656","Catalog Record")</f>
        <v/>
      </c>
      <c r="AT580">
        <f>HYPERLINK("http://www.worldcat.org/oclc/5582622","WorldCat Record")</f>
        <v/>
      </c>
      <c r="AU580" t="inlineStr">
        <is>
          <t>10627765591:eng</t>
        </is>
      </c>
      <c r="AV580" t="inlineStr">
        <is>
          <t>5582622</t>
        </is>
      </c>
      <c r="AW580" t="inlineStr">
        <is>
          <t>991001456239702656</t>
        </is>
      </c>
      <c r="AX580" t="inlineStr">
        <is>
          <t>991001456239702656</t>
        </is>
      </c>
      <c r="AY580" t="inlineStr">
        <is>
          <t>2261667890002656</t>
        </is>
      </c>
      <c r="AZ580" t="inlineStr">
        <is>
          <t>BOOK</t>
        </is>
      </c>
      <c r="BC580" t="inlineStr">
        <is>
          <t>30001000555203</t>
        </is>
      </c>
      <c r="BD580" t="inlineStr">
        <is>
          <t>893279125</t>
        </is>
      </c>
      <c r="BE580" t="inlineStr">
        <is>
          <t>Erin Blankenship-Sefczek</t>
        </is>
      </c>
    </row>
    <row r="581">
      <c r="A581" t="inlineStr">
        <is>
          <t>No</t>
        </is>
      </c>
      <c r="B581" t="inlineStr">
        <is>
          <t>QZ 50 N976 1996</t>
        </is>
      </c>
      <c r="C581" t="inlineStr">
        <is>
          <t>0                      QZ 0050000N  976         1996</t>
        </is>
      </c>
      <c r="D581" t="inlineStr">
        <is>
          <t>Nutrients and gene expression : clinical aspects / edited Carolyn D. Berdanier.</t>
        </is>
      </c>
      <c r="F581" t="inlineStr">
        <is>
          <t>No</t>
        </is>
      </c>
      <c r="G581" t="inlineStr">
        <is>
          <t>1</t>
        </is>
      </c>
      <c r="H581" t="inlineStr">
        <is>
          <t>No</t>
        </is>
      </c>
      <c r="I581" t="inlineStr">
        <is>
          <t>No</t>
        </is>
      </c>
      <c r="J581" t="inlineStr">
        <is>
          <t>0</t>
        </is>
      </c>
      <c r="L581" t="inlineStr">
        <is>
          <t>Boca Raton, Fla. : CRC Press, c1996.</t>
        </is>
      </c>
      <c r="M581" t="inlineStr">
        <is>
          <t>1996</t>
        </is>
      </c>
      <c r="O581" t="inlineStr">
        <is>
          <t>eng</t>
        </is>
      </c>
      <c r="P581" t="inlineStr">
        <is>
          <t>flu</t>
        </is>
      </c>
      <c r="Q581" t="inlineStr">
        <is>
          <t>Modern nutrition</t>
        </is>
      </c>
      <c r="R581" t="inlineStr">
        <is>
          <t xml:space="preserve">QZ </t>
        </is>
      </c>
      <c r="S581" t="n">
        <v>2</v>
      </c>
      <c r="T581" t="n">
        <v>2</v>
      </c>
      <c r="U581" t="inlineStr">
        <is>
          <t>1998-02-25</t>
        </is>
      </c>
      <c r="V581" t="inlineStr">
        <is>
          <t>1998-02-25</t>
        </is>
      </c>
      <c r="W581" t="inlineStr">
        <is>
          <t>1998-02-23</t>
        </is>
      </c>
      <c r="X581" t="inlineStr">
        <is>
          <t>1998-02-23</t>
        </is>
      </c>
      <c r="Y581" t="n">
        <v>135</v>
      </c>
      <c r="Z581" t="n">
        <v>107</v>
      </c>
      <c r="AA581" t="n">
        <v>112</v>
      </c>
      <c r="AB581" t="n">
        <v>1</v>
      </c>
      <c r="AC581" t="n">
        <v>1</v>
      </c>
      <c r="AD581" t="n">
        <v>3</v>
      </c>
      <c r="AE581" t="n">
        <v>3</v>
      </c>
      <c r="AF581" t="n">
        <v>2</v>
      </c>
      <c r="AG581" t="n">
        <v>2</v>
      </c>
      <c r="AH581" t="n">
        <v>0</v>
      </c>
      <c r="AI581" t="n">
        <v>0</v>
      </c>
      <c r="AJ581" t="n">
        <v>2</v>
      </c>
      <c r="AK581" t="n">
        <v>2</v>
      </c>
      <c r="AL581" t="n">
        <v>0</v>
      </c>
      <c r="AM581" t="n">
        <v>0</v>
      </c>
      <c r="AN581" t="n">
        <v>0</v>
      </c>
      <c r="AO581" t="n">
        <v>0</v>
      </c>
      <c r="AP581" t="inlineStr">
        <is>
          <t>No</t>
        </is>
      </c>
      <c r="AQ581" t="inlineStr">
        <is>
          <t>No</t>
        </is>
      </c>
      <c r="AS581">
        <f>HYPERLINK("https://creighton-primo.hosted.exlibrisgroup.com/primo-explore/search?tab=default_tab&amp;search_scope=EVERYTHING&amp;vid=01CRU&amp;lang=en_US&amp;offset=0&amp;query=any,contains,991001262199702656","Catalog Record")</f>
        <v/>
      </c>
      <c r="AT581">
        <f>HYPERLINK("http://www.worldcat.org/oclc/34513161","WorldCat Record")</f>
        <v/>
      </c>
      <c r="AU581" t="inlineStr">
        <is>
          <t>807166558:eng</t>
        </is>
      </c>
      <c r="AV581" t="inlineStr">
        <is>
          <t>34513161</t>
        </is>
      </c>
      <c r="AW581" t="inlineStr">
        <is>
          <t>991001262199702656</t>
        </is>
      </c>
      <c r="AX581" t="inlineStr">
        <is>
          <t>991001262199702656</t>
        </is>
      </c>
      <c r="AY581" t="inlineStr">
        <is>
          <t>2255587360002656</t>
        </is>
      </c>
      <c r="AZ581" t="inlineStr">
        <is>
          <t>BOOK</t>
        </is>
      </c>
      <c r="BB581" t="inlineStr">
        <is>
          <t>9780849394850</t>
        </is>
      </c>
      <c r="BC581" t="inlineStr">
        <is>
          <t>30001003691492</t>
        </is>
      </c>
      <c r="BD581" t="inlineStr">
        <is>
          <t>893727383</t>
        </is>
      </c>
      <c r="BE581" t="inlineStr">
        <is>
          <t>Erin Blankenship-Sefczek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