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la\Dropbox\FINDEV\PATRIMOINE\KYC FINANCEMENT\ETAT PATRIMONIAL AUTOMATISATION RAPH\"/>
    </mc:Choice>
  </mc:AlternateContent>
  <xr:revisionPtr revIDLastSave="0" documentId="13_ncr:1_{FF63786D-E1DF-4A0A-A2CD-D100821E9990}" xr6:coauthVersionLast="47" xr6:coauthVersionMax="47" xr10:uidLastSave="{00000000-0000-0000-0000-000000000000}"/>
  <bookViews>
    <workbookView xWindow="-110" yWindow="-110" windowWidth="25180" windowHeight="16140" xr2:uid="{C3682114-21D6-4F2D-991E-11E54CEA0052}"/>
  </bookViews>
  <sheets>
    <sheet name="Etat Patrimonial" sheetId="2" r:id="rId1"/>
  </sheets>
  <definedNames>
    <definedName name="_xlnm.Print_Area" localSheetId="0">'Etat Patrimonial'!$B$1:$AB$39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" i="2" l="1"/>
  <c r="AB13" i="2"/>
  <c r="Z22" i="2"/>
  <c r="Z27" i="2"/>
  <c r="Z31" i="2"/>
  <c r="U39" i="2"/>
  <c r="H39" i="2"/>
  <c r="S38" i="2"/>
  <c r="M38" i="2"/>
  <c r="N38" i="2" s="1"/>
  <c r="N37" i="2"/>
  <c r="N36" i="2"/>
  <c r="N35" i="2"/>
  <c r="N34" i="2"/>
  <c r="N33" i="2"/>
  <c r="N32" i="2"/>
  <c r="X31" i="2"/>
  <c r="V31" i="2"/>
  <c r="N31" i="2"/>
  <c r="S30" i="2"/>
  <c r="M30" i="2"/>
  <c r="O39" i="2" s="1"/>
  <c r="S29" i="2"/>
  <c r="V28" i="2"/>
  <c r="AA28" i="2"/>
  <c r="N28" i="2"/>
  <c r="AB27" i="2"/>
  <c r="R27" i="2"/>
  <c r="V27" i="2" s="1"/>
  <c r="AA27" i="2"/>
  <c r="N27" i="2"/>
  <c r="X26" i="2"/>
  <c r="AB26" i="2" s="1"/>
  <c r="V26" i="2"/>
  <c r="S26" i="2"/>
  <c r="Z26" i="2"/>
  <c r="F26" i="2"/>
  <c r="N26" i="2" s="1"/>
  <c r="N24" i="2"/>
  <c r="N23" i="2"/>
  <c r="AB22" i="2"/>
  <c r="V22" i="2"/>
  <c r="AA22" i="2"/>
  <c r="N22" i="2"/>
  <c r="N21" i="2"/>
  <c r="N20" i="2"/>
  <c r="AB19" i="2"/>
  <c r="V19" i="2"/>
  <c r="S19" i="2"/>
  <c r="Z19" i="2"/>
  <c r="N19" i="2"/>
  <c r="V18" i="2"/>
  <c r="S18" i="2"/>
  <c r="Z18" i="2"/>
  <c r="N18" i="2"/>
  <c r="N17" i="2"/>
  <c r="N16" i="2"/>
  <c r="N15" i="2"/>
  <c r="N14" i="2"/>
  <c r="V13" i="2"/>
  <c r="N13" i="2"/>
  <c r="S12" i="2"/>
  <c r="N12" i="2"/>
  <c r="AB11" i="2"/>
  <c r="V11" i="2"/>
  <c r="Z11" i="2"/>
  <c r="N11" i="2"/>
  <c r="AB10" i="2"/>
  <c r="V10" i="2"/>
  <c r="AA10" i="2"/>
  <c r="N10" i="2"/>
  <c r="V9" i="2"/>
  <c r="S9" i="2"/>
  <c r="N9" i="2"/>
  <c r="X8" i="2"/>
  <c r="AB8" i="2" s="1"/>
  <c r="V8" i="2"/>
  <c r="AA8" i="2"/>
  <c r="N8" i="2"/>
  <c r="N7" i="2"/>
  <c r="X6" i="2"/>
  <c r="AB6" i="2" s="1"/>
  <c r="V6" i="2"/>
  <c r="S6" i="2"/>
  <c r="N6" i="2"/>
  <c r="V5" i="2"/>
  <c r="N5" i="2"/>
  <c r="N4" i="2"/>
  <c r="AB3" i="2"/>
  <c r="V3" i="2"/>
  <c r="AA3" i="2"/>
  <c r="Z3" i="2"/>
  <c r="N3" i="2"/>
  <c r="Z6" i="2" l="1"/>
  <c r="S28" i="2"/>
  <c r="M39" i="2"/>
  <c r="Z28" i="2"/>
  <c r="F39" i="2"/>
  <c r="AA11" i="2"/>
  <c r="S11" i="2"/>
  <c r="S22" i="2"/>
  <c r="AA31" i="2"/>
  <c r="S3" i="2"/>
  <c r="S27" i="2"/>
  <c r="AA18" i="2"/>
  <c r="AB18" i="2"/>
  <c r="AA9" i="2"/>
  <c r="AA13" i="2"/>
  <c r="Z13" i="2"/>
  <c r="AA19" i="2"/>
  <c r="AB28" i="2"/>
  <c r="X39" i="2"/>
  <c r="AB39" i="2" s="1"/>
  <c r="S10" i="2"/>
  <c r="P30" i="2"/>
  <c r="V39" i="2"/>
  <c r="S8" i="2"/>
  <c r="AA26" i="2"/>
  <c r="AA6" i="2"/>
  <c r="Z8" i="2"/>
  <c r="S31" i="2"/>
  <c r="N30" i="2"/>
  <c r="S13" i="2" l="1"/>
  <c r="S39" i="2" s="1"/>
  <c r="Q39" i="2"/>
  <c r="AA39" i="2" s="1"/>
  <c r="Z38" i="2"/>
  <c r="Z39" i="2" s="1"/>
  <c r="R39" i="2" l="1"/>
</calcChain>
</file>

<file path=xl/sharedStrings.xml><?xml version="1.0" encoding="utf-8"?>
<sst xmlns="http://schemas.openxmlformats.org/spreadsheetml/2006/main" count="181" uniqueCount="119">
  <si>
    <t>TOTAL PATRIMOINE</t>
  </si>
  <si>
    <t>Immeuble mixte (commerce et habitation)</t>
  </si>
  <si>
    <t>Quote part indivise d'un immeuble</t>
  </si>
  <si>
    <t>SNC 14 RAMBOUILLET</t>
  </si>
  <si>
    <t>3/6/9</t>
  </si>
  <si>
    <t>LM AUTO</t>
  </si>
  <si>
    <t>Station lavage auto</t>
  </si>
  <si>
    <t>CSK OSNY</t>
  </si>
  <si>
    <t>Local commercial</t>
  </si>
  <si>
    <t>TNJ AUTOS</t>
  </si>
  <si>
    <t>FRANCE DISTRIBUTION</t>
  </si>
  <si>
    <t xml:space="preserve">LE CARPENTIER </t>
  </si>
  <si>
    <t xml:space="preserve">UNIVERS PRIMEURS </t>
  </si>
  <si>
    <t>CT</t>
  </si>
  <si>
    <t>BNP</t>
  </si>
  <si>
    <t>BOULANGERIE ANGE</t>
  </si>
  <si>
    <t xml:space="preserve">	953 980 778 </t>
  </si>
  <si>
    <t>SAS B2A</t>
  </si>
  <si>
    <t>3 ans</t>
  </si>
  <si>
    <t>Locataire</t>
  </si>
  <si>
    <t>Maison</t>
  </si>
  <si>
    <t>-</t>
  </si>
  <si>
    <t>11 ha</t>
  </si>
  <si>
    <t>Forêt</t>
  </si>
  <si>
    <t>CIC</t>
  </si>
  <si>
    <t>SCEA LES JACQUOTS</t>
  </si>
  <si>
    <t>85 ha</t>
  </si>
  <si>
    <t>Propriété agricole</t>
  </si>
  <si>
    <t>SCI LES JACQUOTS</t>
  </si>
  <si>
    <t>NEW DELHI PALACE</t>
  </si>
  <si>
    <t>SCI AB INVEST</t>
  </si>
  <si>
    <t>FRANCK PROVOST</t>
  </si>
  <si>
    <t>SCI FS BATIGNOLLES</t>
  </si>
  <si>
    <t>EXTERION</t>
  </si>
  <si>
    <t>Panneau publicitaire</t>
  </si>
  <si>
    <t>CHEMINEE DU SUD</t>
  </si>
  <si>
    <t>6/9/10</t>
  </si>
  <si>
    <t>EAT SALAD</t>
  </si>
  <si>
    <t>MOULIN DE PAIOU</t>
  </si>
  <si>
    <t>ZOLPAN</t>
  </si>
  <si>
    <t>SO COOC</t>
  </si>
  <si>
    <t>CONCEPT ET PROMOTION</t>
  </si>
  <si>
    <t>SCI W2A (via FINANCIERE VOLNEY)</t>
  </si>
  <si>
    <t>40 ans dont 18 ans fermes</t>
  </si>
  <si>
    <t>BURGER KING (BK BAC)</t>
  </si>
  <si>
    <t>30 ans dont 22 ans fermes</t>
  </si>
  <si>
    <t>ANSUVAL (FRANCE PARE BRISE / AUTO DISTRIBUTION)</t>
  </si>
  <si>
    <t>SHARK LAVAGE</t>
  </si>
  <si>
    <t>V&amp;B (AVIGNONNAISE DE DISTRIBUTION)</t>
  </si>
  <si>
    <t>CEPAC</t>
  </si>
  <si>
    <t>INTERSPORT (AVS SPORTS)</t>
  </si>
  <si>
    <t>SAS FINANCIERE VOLNEY</t>
  </si>
  <si>
    <t>SOLEIL DU DROUET et SPICY TASTY CHICKEN (supérette et restaurant)</t>
  </si>
  <si>
    <t>TCHIP COIFFURE</t>
  </si>
  <si>
    <t>SCI MDA</t>
  </si>
  <si>
    <t>SFR FIBRE</t>
  </si>
  <si>
    <t>SCI CALAME</t>
  </si>
  <si>
    <t>BARAKREP</t>
  </si>
  <si>
    <t>ORIA BLE</t>
  </si>
  <si>
    <t>SCI DELTA INVEST</t>
  </si>
  <si>
    <t>MABE2</t>
  </si>
  <si>
    <t>SWADEE</t>
  </si>
  <si>
    <t>SCI FONCIERE CONCORDE</t>
  </si>
  <si>
    <t>V&amp;B</t>
  </si>
  <si>
    <t>KASHMIR PALACE</t>
  </si>
  <si>
    <t>MAISON ANAMOUR</t>
  </si>
  <si>
    <t>Locaux commerciaux</t>
  </si>
  <si>
    <t>SCI FONCIERE AGA</t>
  </si>
  <si>
    <t>DSCR</t>
  </si>
  <si>
    <t>LTV</t>
  </si>
  <si>
    <t>Banque</t>
  </si>
  <si>
    <t>Charge annuelle de la dette</t>
  </si>
  <si>
    <t>Éch crédit</t>
  </si>
  <si>
    <t>CRD
FINDEV</t>
  </si>
  <si>
    <t>MONTANT DU PRÊT</t>
  </si>
  <si>
    <t>VALO
FINDEV</t>
  </si>
  <si>
    <t>% de détention
FINDEV</t>
  </si>
  <si>
    <t>Montant</t>
  </si>
  <si>
    <t>Taux da capitalisation des loyers</t>
  </si>
  <si>
    <t>Loyer
annuel
HT</t>
  </si>
  <si>
    <t>Type de bail</t>
  </si>
  <si>
    <t>SIREN</t>
  </si>
  <si>
    <t>RATIOS</t>
  </si>
  <si>
    <t>VALORISATION</t>
  </si>
  <si>
    <t>LOCATION</t>
  </si>
  <si>
    <t>ACQUISITION</t>
  </si>
  <si>
    <t>BESSON CHAUSSURES</t>
  </si>
  <si>
    <t>BPI</t>
  </si>
  <si>
    <t>2 All. des Coudrées, 95240 Cormeilles-en-Parisis</t>
  </si>
  <si>
    <t>20 Rue du Débarcadère, 75017 Paris</t>
  </si>
  <si>
    <t>46 rue Raymond Losserand, 75014 Paris</t>
  </si>
  <si>
    <t>21 rue Linné, 75005 Paris</t>
  </si>
  <si>
    <t>203 rue Saint Maur, 75010 Paris</t>
  </si>
  <si>
    <t>59 rue Castagnary, 75015 Paris</t>
  </si>
  <si>
    <t>7 Rue Juliette Drouet, 94260 Fresnes</t>
  </si>
  <si>
    <t>160 Rue Eric Rohmer, 84140 Avignon</t>
  </si>
  <si>
    <t>27 bis Av. Jean Léon Laporte, 64600 Anglet</t>
  </si>
  <si>
    <t>1 Chem. de la Bastide Blanche, 13127 Vitrolles</t>
  </si>
  <si>
    <t>381 Avenue Gaspard Monge, 83130 La Garde</t>
  </si>
  <si>
    <t>50 rue des Batignolles, 75017 Paris</t>
  </si>
  <si>
    <t>13 Rue de Valenciennes, 75010 Paris</t>
  </si>
  <si>
    <t>Les Jacquots, 03340 Chapeau</t>
  </si>
  <si>
    <t>17 Rte de Paris À Dieppe, 95520 Osny</t>
  </si>
  <si>
    <t>14 rue de Rambouillet, 75012 Paris</t>
  </si>
  <si>
    <t>CRD
01/09/2025</t>
  </si>
  <si>
    <t>CA BRIE PICARDIE</t>
  </si>
  <si>
    <t>CA PARIS XV AGENCE</t>
  </si>
  <si>
    <t>PRÊT BANCAIRE</t>
  </si>
  <si>
    <t>CASH FLOW</t>
  </si>
  <si>
    <t>SOCIETE PROPRIETAIRE</t>
  </si>
  <si>
    <t>ADRESSE DU BIEN DETENU</t>
  </si>
  <si>
    <t>NATURE DES BIENS</t>
  </si>
  <si>
    <t>Surface m²</t>
  </si>
  <si>
    <t>Année d'acquisition</t>
  </si>
  <si>
    <t>Prix  d'achat net vendeur</t>
  </si>
  <si>
    <t>Date de prise d'effet du bail</t>
  </si>
  <si>
    <t>Date de fin de bail</t>
  </si>
  <si>
    <t>Loyer annuel
€/m²</t>
  </si>
  <si>
    <t>Loyer annuel global par adresse de bien détenu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</si>
</sst>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  <numFmt numFmtId="165" formatCode="_-* #,##0\ &quot;€&quot;_-;\-* #,##0\ &quot;€&quot;_-;_-* &quot;-&quot;??\ &quot;€&quot;_-;_-@_-"/>
    <numFmt numFmtId="166" formatCode="#,##0\ &quot;€&quot;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9095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9" fontId="5" fillId="2" borderId="1" xfId="2" applyFont="1" applyFill="1" applyBorder="1" applyAlignment="1">
      <alignment horizontal="center" vertical="center"/>
    </xf>
    <xf numFmtId="165" fontId="6" fillId="2" borderId="1" xfId="1" applyNumberFormat="1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/>
    </xf>
    <xf numFmtId="165" fontId="8" fillId="2" borderId="1" xfId="1" applyNumberFormat="1" applyFont="1" applyFill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 vertical="center"/>
    </xf>
    <xf numFmtId="9" fontId="8" fillId="2" borderId="1" xfId="1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vertical="center"/>
    </xf>
    <xf numFmtId="164" fontId="5" fillId="2" borderId="3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9" fontId="0" fillId="0" borderId="0" xfId="2" applyFont="1" applyFill="1" applyBorder="1" applyAlignment="1">
      <alignment horizontal="center" vertical="center"/>
    </xf>
    <xf numFmtId="9" fontId="4" fillId="0" borderId="0" xfId="1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9" fontId="3" fillId="3" borderId="5" xfId="2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4" fillId="3" borderId="5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/>
    </xf>
    <xf numFmtId="166" fontId="4" fillId="3" borderId="5" xfId="1" applyNumberFormat="1" applyFont="1" applyFill="1" applyBorder="1" applyAlignment="1">
      <alignment horizontal="center" vertical="center"/>
    </xf>
    <xf numFmtId="9" fontId="4" fillId="0" borderId="6" xfId="1" applyNumberFormat="1" applyFont="1" applyBorder="1" applyAlignment="1">
      <alignment horizontal="center" vertical="center"/>
    </xf>
    <xf numFmtId="165" fontId="3" fillId="3" borderId="5" xfId="1" applyNumberFormat="1" applyFont="1" applyFill="1" applyBorder="1" applyAlignment="1">
      <alignment horizontal="center" vertical="center"/>
    </xf>
    <xf numFmtId="10" fontId="4" fillId="5" borderId="5" xfId="2" applyNumberFormat="1" applyFont="1" applyFill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9" fontId="4" fillId="0" borderId="5" xfId="1" applyNumberFormat="1" applyFont="1" applyBorder="1" applyAlignment="1">
      <alignment horizontal="center" vertical="center"/>
    </xf>
    <xf numFmtId="10" fontId="4" fillId="0" borderId="5" xfId="2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166" fontId="4" fillId="3" borderId="6" xfId="1" applyNumberFormat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 vertical="center"/>
    </xf>
    <xf numFmtId="10" fontId="4" fillId="0" borderId="6" xfId="2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7" fontId="3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65" fontId="3" fillId="5" borderId="6" xfId="1" applyNumberFormat="1" applyFont="1" applyFill="1" applyBorder="1" applyAlignment="1">
      <alignment horizontal="center" vertical="center"/>
    </xf>
    <xf numFmtId="165" fontId="3" fillId="5" borderId="5" xfId="1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4" fillId="3" borderId="1" xfId="1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0" fontId="4" fillId="5" borderId="1" xfId="2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9" fontId="3" fillId="3" borderId="1" xfId="2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0" fontId="4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5" fontId="12" fillId="3" borderId="1" xfId="1" applyNumberFormat="1" applyFont="1" applyFill="1" applyBorder="1" applyAlignment="1">
      <alignment horizontal="center" vertical="center"/>
    </xf>
    <xf numFmtId="165" fontId="11" fillId="5" borderId="1" xfId="1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165" fontId="11" fillId="0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5" fontId="11" fillId="0" borderId="6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9" fontId="3" fillId="3" borderId="7" xfId="2" applyFont="1" applyFill="1" applyBorder="1" applyAlignment="1">
      <alignment horizontal="center" vertical="center"/>
    </xf>
    <xf numFmtId="9" fontId="3" fillId="3" borderId="6" xfId="2" applyFont="1" applyFill="1" applyBorder="1" applyAlignment="1">
      <alignment horizontal="center" vertical="center"/>
    </xf>
    <xf numFmtId="9" fontId="3" fillId="3" borderId="5" xfId="2" applyFont="1" applyFill="1" applyBorder="1" applyAlignment="1">
      <alignment horizontal="center" vertical="center"/>
    </xf>
    <xf numFmtId="2" fontId="3" fillId="3" borderId="7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5" fontId="3" fillId="0" borderId="7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/>
    </xf>
    <xf numFmtId="165" fontId="4" fillId="3" borderId="7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5" fontId="4" fillId="3" borderId="5" xfId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0" fontId="4" fillId="0" borderId="7" xfId="2" applyNumberFormat="1" applyFont="1" applyFill="1" applyBorder="1" applyAlignment="1">
      <alignment horizontal="center" vertical="center" wrapText="1"/>
    </xf>
    <xf numFmtId="10" fontId="4" fillId="0" borderId="6" xfId="2" applyNumberFormat="1" applyFont="1" applyFill="1" applyBorder="1" applyAlignment="1">
      <alignment horizontal="center" vertical="center" wrapText="1"/>
    </xf>
    <xf numFmtId="10" fontId="4" fillId="0" borderId="5" xfId="2" applyNumberFormat="1" applyFont="1" applyFill="1" applyBorder="1" applyAlignment="1">
      <alignment horizontal="center" vertical="center" wrapText="1"/>
    </xf>
    <xf numFmtId="165" fontId="3" fillId="3" borderId="7" xfId="1" applyNumberFormat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 vertical="center"/>
    </xf>
    <xf numFmtId="165" fontId="3" fillId="3" borderId="5" xfId="1" applyNumberFormat="1" applyFont="1" applyFill="1" applyBorder="1" applyAlignment="1">
      <alignment horizontal="center" vertical="center"/>
    </xf>
    <xf numFmtId="9" fontId="4" fillId="0" borderId="7" xfId="1" applyNumberFormat="1" applyFont="1" applyBorder="1" applyAlignment="1">
      <alignment horizontal="center" vertical="center"/>
    </xf>
    <xf numFmtId="9" fontId="4" fillId="0" borderId="6" xfId="1" applyNumberFormat="1" applyFont="1" applyBorder="1" applyAlignment="1">
      <alignment horizontal="center" vertical="center"/>
    </xf>
    <xf numFmtId="9" fontId="4" fillId="0" borderId="5" xfId="1" applyNumberFormat="1" applyFont="1" applyBorder="1" applyAlignment="1">
      <alignment horizontal="center" vertical="center"/>
    </xf>
    <xf numFmtId="166" fontId="4" fillId="3" borderId="7" xfId="1" applyNumberFormat="1" applyFont="1" applyFill="1" applyBorder="1" applyAlignment="1">
      <alignment horizontal="center" vertical="center"/>
    </xf>
    <xf numFmtId="166" fontId="4" fillId="3" borderId="6" xfId="1" applyNumberFormat="1" applyFont="1" applyFill="1" applyBorder="1" applyAlignment="1">
      <alignment horizontal="center" vertical="center"/>
    </xf>
    <xf numFmtId="166" fontId="4" fillId="3" borderId="5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5" fontId="11" fillId="5" borderId="7" xfId="1" applyNumberFormat="1" applyFont="1" applyFill="1" applyBorder="1" applyAlignment="1">
      <alignment horizontal="center" vertical="center"/>
    </xf>
    <xf numFmtId="165" fontId="11" fillId="5" borderId="6" xfId="1" applyNumberFormat="1" applyFont="1" applyFill="1" applyBorder="1" applyAlignment="1">
      <alignment horizontal="center" vertical="center"/>
    </xf>
    <xf numFmtId="165" fontId="11" fillId="5" borderId="5" xfId="1" applyNumberFormat="1" applyFont="1" applyFill="1" applyBorder="1" applyAlignment="1">
      <alignment horizontal="center" vertical="center"/>
    </xf>
    <xf numFmtId="165" fontId="3" fillId="5" borderId="7" xfId="1" applyNumberFormat="1" applyFont="1" applyFill="1" applyBorder="1" applyAlignment="1">
      <alignment horizontal="center" vertical="center"/>
    </xf>
    <xf numFmtId="165" fontId="3" fillId="5" borderId="6" xfId="1" applyNumberFormat="1" applyFont="1" applyFill="1" applyBorder="1" applyAlignment="1">
      <alignment horizontal="center" vertical="center"/>
    </xf>
    <xf numFmtId="165" fontId="3" fillId="5" borderId="5" xfId="1" applyNumberFormat="1" applyFont="1" applyFill="1" applyBorder="1" applyAlignment="1">
      <alignment horizontal="center" vertical="center"/>
    </xf>
    <xf numFmtId="10" fontId="4" fillId="5" borderId="7" xfId="2" applyNumberFormat="1" applyFont="1" applyFill="1" applyBorder="1" applyAlignment="1">
      <alignment horizontal="center" vertical="center" wrapText="1"/>
    </xf>
    <xf numFmtId="10" fontId="4" fillId="5" borderId="6" xfId="2" applyNumberFormat="1" applyFont="1" applyFill="1" applyBorder="1" applyAlignment="1">
      <alignment horizontal="center" vertical="center" wrapText="1"/>
    </xf>
    <xf numFmtId="10" fontId="4" fillId="5" borderId="5" xfId="2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/>
    </xf>
    <xf numFmtId="165" fontId="11" fillId="5" borderId="1" xfId="1" applyNumberFormat="1" applyFont="1" applyFill="1" applyBorder="1" applyAlignment="1">
      <alignment horizontal="center" vertical="center"/>
    </xf>
    <xf numFmtId="166" fontId="3" fillId="5" borderId="7" xfId="0" applyNumberFormat="1" applyFont="1" applyFill="1" applyBorder="1" applyAlignment="1">
      <alignment horizontal="center" vertical="center"/>
    </xf>
    <xf numFmtId="166" fontId="3" fillId="5" borderId="6" xfId="0" applyNumberFormat="1" applyFont="1" applyFill="1" applyBorder="1" applyAlignment="1">
      <alignment horizontal="center" vertical="center"/>
    </xf>
    <xf numFmtId="10" fontId="4" fillId="5" borderId="1" xfId="2" applyNumberFormat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/>
    </xf>
    <xf numFmtId="166" fontId="4" fillId="3" borderId="1" xfId="1" applyNumberFormat="1" applyFont="1" applyFill="1" applyBorder="1" applyAlignment="1">
      <alignment horizontal="center" vertical="center"/>
    </xf>
    <xf numFmtId="166" fontId="3" fillId="5" borderId="5" xfId="0" applyNumberFormat="1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/>
    </xf>
    <xf numFmtId="164" fontId="4" fillId="5" borderId="7" xfId="0" applyNumberFormat="1" applyFont="1" applyFill="1" applyBorder="1" applyAlignment="1">
      <alignment horizontal="center" vertical="center"/>
    </xf>
    <xf numFmtId="166" fontId="12" fillId="4" borderId="7" xfId="0" applyNumberFormat="1" applyFont="1" applyFill="1" applyBorder="1" applyAlignment="1">
      <alignment horizontal="center" vertical="center"/>
    </xf>
    <xf numFmtId="166" fontId="12" fillId="4" borderId="5" xfId="0" applyNumberFormat="1" applyFont="1" applyFill="1" applyBorder="1" applyAlignment="1">
      <alignment horizontal="center" vertical="center"/>
    </xf>
    <xf numFmtId="165" fontId="12" fillId="3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167" fontId="4" fillId="0" borderId="1" xfId="1" applyNumberFormat="1" applyFont="1" applyBorder="1" applyAlignment="1">
      <alignment horizontal="center" vertical="center"/>
    </xf>
    <xf numFmtId="165" fontId="11" fillId="0" borderId="1" xfId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6" fontId="4" fillId="4" borderId="7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AD20-86D8-4B03-90C3-26C8D0E037E4}">
  <sheetPr>
    <pageSetUpPr fitToPage="1"/>
  </sheetPr>
  <dimension ref="A1:AF42"/>
  <sheetViews>
    <sheetView tabSelected="1" zoomScale="70" zoomScaleNormal="80" workbookViewId="0">
      <selection activeCell="S3" sqref="S3:S5"/>
    </sheetView>
  </sheetViews>
  <sheetFormatPr baseColWidth="10" defaultRowHeight="14.5" x14ac:dyDescent="0.35"/>
  <cols>
    <col min="1" max="1" width="3.1796875" customWidth="1"/>
    <col min="2" max="2" width="31.1796875" bestFit="1" customWidth="1"/>
    <col min="3" max="3" width="12.36328125" bestFit="1" customWidth="1"/>
    <col min="4" max="4" width="27.7265625" style="114" customWidth="1"/>
    <col min="5" max="5" width="15.54296875" style="1" bestFit="1" customWidth="1"/>
    <col min="6" max="6" width="9.26953125" style="2" bestFit="1" customWidth="1"/>
    <col min="7" max="7" width="7.36328125" style="2" bestFit="1" customWidth="1"/>
    <col min="8" max="8" width="16.90625" style="2" bestFit="1" customWidth="1"/>
    <col min="9" max="9" width="23.453125" style="1" customWidth="1"/>
    <col min="10" max="10" width="20.81640625" style="1" bestFit="1" customWidth="1"/>
    <col min="11" max="11" width="14.7265625" style="3" bestFit="1" customWidth="1"/>
    <col min="12" max="12" width="12.81640625" style="1" bestFit="1" customWidth="1"/>
    <col min="13" max="13" width="15.08984375" style="1" bestFit="1" customWidth="1"/>
    <col min="14" max="14" width="8" style="1" bestFit="1" customWidth="1"/>
    <col min="15" max="15" width="15.08984375" style="1" bestFit="1" customWidth="1"/>
    <col min="16" max="16" width="16.7265625" style="2" bestFit="1" customWidth="1"/>
    <col min="17" max="17" width="15.54296875" style="1" bestFit="1" customWidth="1"/>
    <col min="18" max="18" width="12.36328125" style="2" bestFit="1" customWidth="1"/>
    <col min="19" max="19" width="12" style="2" bestFit="1" customWidth="1"/>
    <col min="20" max="20" width="13.08984375" style="1" bestFit="1" customWidth="1"/>
    <col min="21" max="21" width="16.08984375" style="1" bestFit="1" customWidth="1"/>
    <col min="22" max="23" width="13.08984375" style="2" bestFit="1" customWidth="1"/>
    <col min="24" max="24" width="13.08984375" style="1" bestFit="1" customWidth="1"/>
    <col min="25" max="25" width="17.90625" style="1" customWidth="1"/>
    <col min="26" max="26" width="10.90625" style="1" customWidth="1"/>
    <col min="27" max="27" width="6" style="1" bestFit="1" customWidth="1"/>
    <col min="28" max="28" width="8" bestFit="1" customWidth="1"/>
  </cols>
  <sheetData>
    <row r="1" spans="1:32" ht="28" customHeight="1" x14ac:dyDescent="0.35">
      <c r="A1" s="6"/>
      <c r="B1" s="22"/>
      <c r="C1" s="22"/>
      <c r="D1" s="209" t="s">
        <v>85</v>
      </c>
      <c r="E1" s="210"/>
      <c r="F1" s="210"/>
      <c r="G1" s="210"/>
      <c r="H1" s="211"/>
      <c r="I1" s="124" t="s">
        <v>84</v>
      </c>
      <c r="J1" s="125"/>
      <c r="K1" s="125"/>
      <c r="L1" s="125"/>
      <c r="M1" s="125"/>
      <c r="N1" s="125"/>
      <c r="O1" s="126"/>
      <c r="P1" s="208" t="s">
        <v>83</v>
      </c>
      <c r="Q1" s="208"/>
      <c r="R1" s="208"/>
      <c r="S1" s="208"/>
      <c r="T1" s="208" t="s">
        <v>107</v>
      </c>
      <c r="U1" s="208"/>
      <c r="V1" s="208"/>
      <c r="W1" s="208"/>
      <c r="X1" s="208"/>
      <c r="Y1" s="208"/>
      <c r="Z1" s="209" t="s">
        <v>82</v>
      </c>
      <c r="AA1" s="210"/>
      <c r="AB1" s="211"/>
    </row>
    <row r="2" spans="1:32" ht="39" x14ac:dyDescent="0.35">
      <c r="A2" s="6"/>
      <c r="B2" s="22" t="s">
        <v>109</v>
      </c>
      <c r="C2" s="22" t="s">
        <v>81</v>
      </c>
      <c r="D2" s="107" t="s">
        <v>110</v>
      </c>
      <c r="E2" s="22" t="s">
        <v>111</v>
      </c>
      <c r="F2" s="24" t="s">
        <v>112</v>
      </c>
      <c r="G2" s="107" t="s">
        <v>113</v>
      </c>
      <c r="H2" s="107" t="s">
        <v>114</v>
      </c>
      <c r="I2" s="22" t="s">
        <v>19</v>
      </c>
      <c r="J2" s="22" t="s">
        <v>115</v>
      </c>
      <c r="K2" s="23" t="s">
        <v>80</v>
      </c>
      <c r="L2" s="22" t="s">
        <v>116</v>
      </c>
      <c r="M2" s="107" t="s">
        <v>79</v>
      </c>
      <c r="N2" s="107" t="s">
        <v>117</v>
      </c>
      <c r="O2" s="107" t="s">
        <v>118</v>
      </c>
      <c r="P2" s="108" t="s">
        <v>78</v>
      </c>
      <c r="Q2" s="22" t="s">
        <v>77</v>
      </c>
      <c r="R2" s="108" t="s">
        <v>76</v>
      </c>
      <c r="S2" s="108" t="s">
        <v>75</v>
      </c>
      <c r="T2" s="107" t="s">
        <v>74</v>
      </c>
      <c r="U2" s="107" t="s">
        <v>104</v>
      </c>
      <c r="V2" s="108" t="s">
        <v>73</v>
      </c>
      <c r="W2" s="108" t="s">
        <v>72</v>
      </c>
      <c r="X2" s="107" t="s">
        <v>71</v>
      </c>
      <c r="Y2" s="22" t="s">
        <v>70</v>
      </c>
      <c r="Z2" s="22" t="s">
        <v>108</v>
      </c>
      <c r="AA2" s="22" t="s">
        <v>69</v>
      </c>
      <c r="AB2" s="22" t="s">
        <v>68</v>
      </c>
    </row>
    <row r="3" spans="1:32" ht="30" customHeight="1" x14ac:dyDescent="0.35">
      <c r="A3" s="204"/>
      <c r="B3" s="154" t="s">
        <v>67</v>
      </c>
      <c r="C3" s="156">
        <v>820017226</v>
      </c>
      <c r="D3" s="156" t="s">
        <v>88</v>
      </c>
      <c r="E3" s="156" t="s">
        <v>66</v>
      </c>
      <c r="F3" s="48">
        <v>383</v>
      </c>
      <c r="G3" s="202">
        <v>2016</v>
      </c>
      <c r="H3" s="203">
        <v>2023000</v>
      </c>
      <c r="I3" s="45" t="s">
        <v>65</v>
      </c>
      <c r="J3" s="43">
        <v>43891</v>
      </c>
      <c r="K3" s="44" t="s">
        <v>4</v>
      </c>
      <c r="L3" s="43">
        <v>47178</v>
      </c>
      <c r="M3" s="42">
        <v>90719.12</v>
      </c>
      <c r="N3" s="41">
        <f>M3/F3</f>
        <v>236.86454308093994</v>
      </c>
      <c r="O3" s="163"/>
      <c r="P3" s="142">
        <v>6.5000000000000002E-2</v>
      </c>
      <c r="Q3" s="145"/>
      <c r="R3" s="148">
        <v>0.4</v>
      </c>
      <c r="S3" s="151">
        <f>Q3*R3</f>
        <v>0</v>
      </c>
      <c r="T3" s="201">
        <v>1800000</v>
      </c>
      <c r="U3" s="201">
        <v>807311</v>
      </c>
      <c r="V3" s="196">
        <f>U3*R3</f>
        <v>322924.40000000002</v>
      </c>
      <c r="W3" s="197">
        <v>2031</v>
      </c>
      <c r="X3" s="198">
        <v>140616</v>
      </c>
      <c r="Y3" s="199" t="s">
        <v>24</v>
      </c>
      <c r="Z3" s="207">
        <f>+O3-(X3+X5)</f>
        <v>-234024</v>
      </c>
      <c r="AA3" s="191" t="e">
        <f>(U3+U5)/(Q3+Q5)</f>
        <v>#DIV/0!</v>
      </c>
      <c r="AB3" s="192">
        <f>(M3+M4+M5)/(X3+X5)</f>
        <v>1.1033461525313644</v>
      </c>
      <c r="AC3" s="205"/>
    </row>
    <row r="4" spans="1:32" ht="30" customHeight="1" x14ac:dyDescent="0.35">
      <c r="A4" s="204"/>
      <c r="B4" s="154"/>
      <c r="C4" s="156"/>
      <c r="D4" s="156"/>
      <c r="E4" s="156"/>
      <c r="F4" s="48">
        <v>337</v>
      </c>
      <c r="G4" s="202"/>
      <c r="H4" s="203"/>
      <c r="I4" s="45" t="s">
        <v>64</v>
      </c>
      <c r="J4" s="43">
        <v>42430</v>
      </c>
      <c r="K4" s="44" t="s">
        <v>36</v>
      </c>
      <c r="L4" s="43">
        <v>46082</v>
      </c>
      <c r="M4" s="42">
        <v>83005.7</v>
      </c>
      <c r="N4" s="41">
        <f>M4/F4</f>
        <v>246.30771513353116</v>
      </c>
      <c r="O4" s="164"/>
      <c r="P4" s="143"/>
      <c r="Q4" s="146"/>
      <c r="R4" s="149"/>
      <c r="S4" s="152"/>
      <c r="T4" s="201"/>
      <c r="U4" s="201"/>
      <c r="V4" s="196"/>
      <c r="W4" s="197"/>
      <c r="X4" s="198"/>
      <c r="Y4" s="199"/>
      <c r="Z4" s="116"/>
      <c r="AA4" s="191"/>
      <c r="AB4" s="192"/>
      <c r="AC4" s="206"/>
    </row>
    <row r="5" spans="1:32" ht="34" customHeight="1" x14ac:dyDescent="0.35">
      <c r="A5" s="204"/>
      <c r="B5" s="154"/>
      <c r="C5" s="156"/>
      <c r="D5" s="156"/>
      <c r="E5" s="156"/>
      <c r="F5" s="48">
        <v>403</v>
      </c>
      <c r="G5" s="88">
        <v>2019</v>
      </c>
      <c r="H5" s="42">
        <v>1026563</v>
      </c>
      <c r="I5" s="45" t="s">
        <v>63</v>
      </c>
      <c r="J5" s="43">
        <v>43405</v>
      </c>
      <c r="K5" s="44" t="s">
        <v>36</v>
      </c>
      <c r="L5" s="43">
        <v>46813</v>
      </c>
      <c r="M5" s="42">
        <v>84484.66</v>
      </c>
      <c r="N5" s="41">
        <f>M5/F5</f>
        <v>209.63935483870969</v>
      </c>
      <c r="O5" s="165"/>
      <c r="P5" s="144"/>
      <c r="Q5" s="147"/>
      <c r="R5" s="150"/>
      <c r="S5" s="153"/>
      <c r="T5" s="106">
        <v>1027000</v>
      </c>
      <c r="U5" s="106">
        <v>560676</v>
      </c>
      <c r="V5" s="99">
        <f>U5*R3</f>
        <v>224270.40000000002</v>
      </c>
      <c r="W5" s="98">
        <v>2031</v>
      </c>
      <c r="X5" s="97">
        <v>93408</v>
      </c>
      <c r="Y5" s="199"/>
      <c r="Z5" s="117"/>
      <c r="AA5" s="191"/>
      <c r="AB5" s="192"/>
      <c r="AC5" s="206"/>
    </row>
    <row r="6" spans="1:32" ht="34" customHeight="1" x14ac:dyDescent="0.35">
      <c r="A6" s="26"/>
      <c r="B6" s="154" t="s">
        <v>62</v>
      </c>
      <c r="C6" s="156">
        <v>825316565</v>
      </c>
      <c r="D6" s="45" t="s">
        <v>89</v>
      </c>
      <c r="E6" s="45" t="s">
        <v>8</v>
      </c>
      <c r="F6" s="48">
        <v>17</v>
      </c>
      <c r="G6" s="202">
        <v>2017</v>
      </c>
      <c r="H6" s="203">
        <v>395000</v>
      </c>
      <c r="I6" s="45" t="s">
        <v>61</v>
      </c>
      <c r="J6" s="43">
        <v>42917</v>
      </c>
      <c r="K6" s="44" t="s">
        <v>4</v>
      </c>
      <c r="L6" s="43">
        <v>46204</v>
      </c>
      <c r="M6" s="42">
        <v>14694.87</v>
      </c>
      <c r="N6" s="41">
        <f>M6/F6</f>
        <v>864.40411764705891</v>
      </c>
      <c r="O6" s="163"/>
      <c r="P6" s="92">
        <v>0.06</v>
      </c>
      <c r="Q6" s="81"/>
      <c r="R6" s="200">
        <v>0.33500000000000002</v>
      </c>
      <c r="S6" s="189">
        <f>(Q6+Q7)*R6</f>
        <v>0</v>
      </c>
      <c r="T6" s="201">
        <v>380000</v>
      </c>
      <c r="U6" s="201">
        <v>184975</v>
      </c>
      <c r="V6" s="196">
        <f>U6*R6</f>
        <v>61966.625000000007</v>
      </c>
      <c r="W6" s="197">
        <v>2032</v>
      </c>
      <c r="X6" s="198">
        <f>7335.87*4</f>
        <v>29343.48</v>
      </c>
      <c r="Y6" s="199" t="s">
        <v>105</v>
      </c>
      <c r="Z6" s="115">
        <f>O6-X6</f>
        <v>-29343.48</v>
      </c>
      <c r="AA6" s="191" t="e">
        <f>U6/(Q6+Q7)</f>
        <v>#DIV/0!</v>
      </c>
      <c r="AB6" s="192">
        <f>(M6+M7)/X6</f>
        <v>1.8081512485908284</v>
      </c>
    </row>
    <row r="7" spans="1:32" ht="34" customHeight="1" x14ac:dyDescent="0.35">
      <c r="A7" s="26"/>
      <c r="B7" s="154"/>
      <c r="C7" s="156"/>
      <c r="D7" s="45" t="s">
        <v>90</v>
      </c>
      <c r="E7" s="45" t="s">
        <v>8</v>
      </c>
      <c r="F7" s="48">
        <v>55</v>
      </c>
      <c r="G7" s="202"/>
      <c r="H7" s="203"/>
      <c r="I7" s="45" t="s">
        <v>60</v>
      </c>
      <c r="J7" s="43">
        <v>44378</v>
      </c>
      <c r="K7" s="44" t="s">
        <v>4</v>
      </c>
      <c r="L7" s="43">
        <v>47665</v>
      </c>
      <c r="M7" s="42">
        <v>38362.58</v>
      </c>
      <c r="N7" s="41">
        <f>M7/F7</f>
        <v>697.50145454545452</v>
      </c>
      <c r="O7" s="165"/>
      <c r="P7" s="92">
        <v>0.06</v>
      </c>
      <c r="Q7" s="81"/>
      <c r="R7" s="200"/>
      <c r="S7" s="189"/>
      <c r="T7" s="201"/>
      <c r="U7" s="201"/>
      <c r="V7" s="196"/>
      <c r="W7" s="197"/>
      <c r="X7" s="198"/>
      <c r="Y7" s="199"/>
      <c r="Z7" s="117"/>
      <c r="AA7" s="191"/>
      <c r="AB7" s="192"/>
    </row>
    <row r="8" spans="1:32" s="104" customFormat="1" ht="33.75" customHeight="1" x14ac:dyDescent="0.35">
      <c r="A8" s="105"/>
      <c r="B8" s="166" t="s">
        <v>59</v>
      </c>
      <c r="C8" s="170">
        <v>852189901</v>
      </c>
      <c r="D8" s="68" t="s">
        <v>91</v>
      </c>
      <c r="E8" s="45" t="s">
        <v>8</v>
      </c>
      <c r="F8" s="48">
        <v>85</v>
      </c>
      <c r="G8" s="103">
        <v>2019</v>
      </c>
      <c r="H8" s="42">
        <v>490000</v>
      </c>
      <c r="I8" s="45" t="s">
        <v>58</v>
      </c>
      <c r="J8" s="43">
        <v>43983</v>
      </c>
      <c r="K8" s="44" t="s">
        <v>4</v>
      </c>
      <c r="L8" s="43">
        <v>47270</v>
      </c>
      <c r="M8" s="102">
        <v>41104</v>
      </c>
      <c r="N8" s="101">
        <f>M8/F8</f>
        <v>483.57647058823528</v>
      </c>
      <c r="O8" s="193"/>
      <c r="P8" s="92">
        <v>0.06</v>
      </c>
      <c r="Q8" s="81"/>
      <c r="R8" s="87">
        <v>0.25</v>
      </c>
      <c r="S8" s="80">
        <f>(Q8)*R8</f>
        <v>0</v>
      </c>
      <c r="T8" s="100">
        <v>325975</v>
      </c>
      <c r="U8" s="100">
        <v>258735</v>
      </c>
      <c r="V8" s="99">
        <f>U8*R8</f>
        <v>64683.75</v>
      </c>
      <c r="W8" s="98">
        <v>2035</v>
      </c>
      <c r="X8" s="97">
        <f>2528*12</f>
        <v>30336</v>
      </c>
      <c r="Y8" s="96" t="s">
        <v>24</v>
      </c>
      <c r="Z8" s="194">
        <f>O8-X8</f>
        <v>-30336</v>
      </c>
      <c r="AA8" s="95" t="e">
        <f>U8/(Q8)</f>
        <v>#DIV/0!</v>
      </c>
      <c r="AB8" s="94">
        <f>M8/X8</f>
        <v>1.354957805907173</v>
      </c>
      <c r="AC8" s="28"/>
      <c r="AD8" s="1"/>
      <c r="AE8" s="1"/>
      <c r="AF8" s="27"/>
    </row>
    <row r="9" spans="1:32" ht="33.75" customHeight="1" x14ac:dyDescent="0.35">
      <c r="A9" s="52"/>
      <c r="B9" s="167"/>
      <c r="C9" s="171"/>
      <c r="D9" s="49" t="s">
        <v>92</v>
      </c>
      <c r="E9" s="45" t="s">
        <v>8</v>
      </c>
      <c r="F9" s="48">
        <v>40</v>
      </c>
      <c r="G9" s="103">
        <v>2021</v>
      </c>
      <c r="H9" s="42">
        <v>195000</v>
      </c>
      <c r="I9" s="45" t="s">
        <v>57</v>
      </c>
      <c r="J9" s="43">
        <v>44501</v>
      </c>
      <c r="K9" s="44" t="s">
        <v>4</v>
      </c>
      <c r="L9" s="43">
        <v>47757</v>
      </c>
      <c r="M9" s="102">
        <v>24732</v>
      </c>
      <c r="N9" s="101">
        <f>M9/F9</f>
        <v>618.29999999999995</v>
      </c>
      <c r="O9" s="212"/>
      <c r="P9" s="92">
        <v>0.06</v>
      </c>
      <c r="Q9" s="81"/>
      <c r="R9" s="87">
        <v>0.25</v>
      </c>
      <c r="S9" s="80">
        <f>(Q9)*R9</f>
        <v>0</v>
      </c>
      <c r="T9" s="100">
        <v>610000</v>
      </c>
      <c r="U9" s="100">
        <v>0</v>
      </c>
      <c r="V9" s="99">
        <f>U9*R9</f>
        <v>0</v>
      </c>
      <c r="W9" s="98">
        <v>2024</v>
      </c>
      <c r="X9" s="97">
        <v>0</v>
      </c>
      <c r="Y9" s="96"/>
      <c r="Z9" s="195"/>
      <c r="AA9" s="95" t="e">
        <f>U9/(Q9)</f>
        <v>#DIV/0!</v>
      </c>
      <c r="AB9" s="94"/>
      <c r="AC9" s="28"/>
      <c r="AD9" s="1"/>
      <c r="AE9" s="1"/>
      <c r="AF9" s="27"/>
    </row>
    <row r="10" spans="1:32" ht="30" customHeight="1" x14ac:dyDescent="0.35">
      <c r="A10" s="52"/>
      <c r="B10" s="71" t="s">
        <v>56</v>
      </c>
      <c r="C10" s="68">
        <v>889441689</v>
      </c>
      <c r="D10" s="45" t="s">
        <v>93</v>
      </c>
      <c r="E10" s="45" t="s">
        <v>8</v>
      </c>
      <c r="F10" s="48">
        <v>30</v>
      </c>
      <c r="G10" s="88">
        <v>2021</v>
      </c>
      <c r="H10" s="42">
        <v>90000</v>
      </c>
      <c r="I10" s="93" t="s">
        <v>55</v>
      </c>
      <c r="J10" s="89">
        <v>44470</v>
      </c>
      <c r="K10" s="90" t="s">
        <v>4</v>
      </c>
      <c r="L10" s="89">
        <v>47727</v>
      </c>
      <c r="M10" s="42">
        <v>16830.25</v>
      </c>
      <c r="N10" s="41">
        <f>M10/F10</f>
        <v>561.00833333333333</v>
      </c>
      <c r="O10" s="65"/>
      <c r="P10" s="92">
        <v>6.5000000000000002E-2</v>
      </c>
      <c r="Q10" s="81"/>
      <c r="R10" s="87">
        <v>0.5</v>
      </c>
      <c r="S10" s="80">
        <f>Q10*R10</f>
        <v>0</v>
      </c>
      <c r="T10" s="78">
        <v>90000</v>
      </c>
      <c r="U10" s="78">
        <v>72351</v>
      </c>
      <c r="V10" s="86">
        <f>U10*R10</f>
        <v>36175.5</v>
      </c>
      <c r="W10" s="48">
        <v>2041</v>
      </c>
      <c r="X10" s="85">
        <v>4966.8</v>
      </c>
      <c r="Y10" s="48" t="s">
        <v>106</v>
      </c>
      <c r="Z10" s="109">
        <f>O10-X10</f>
        <v>-4966.8</v>
      </c>
      <c r="AA10" s="84" t="e">
        <f>U10/Q10</f>
        <v>#DIV/0!</v>
      </c>
      <c r="AB10" s="83">
        <f>M10/X10</f>
        <v>3.3885499718128371</v>
      </c>
      <c r="AC10" s="28"/>
      <c r="AD10" s="1"/>
      <c r="AE10" s="1"/>
      <c r="AF10" s="27"/>
    </row>
    <row r="11" spans="1:32" ht="30" customHeight="1" x14ac:dyDescent="0.35">
      <c r="A11" s="52"/>
      <c r="B11" s="166" t="s">
        <v>54</v>
      </c>
      <c r="C11" s="156">
        <v>907451462</v>
      </c>
      <c r="D11" s="170" t="s">
        <v>94</v>
      </c>
      <c r="E11" s="45" t="s">
        <v>8</v>
      </c>
      <c r="F11" s="48">
        <v>55</v>
      </c>
      <c r="G11" s="88">
        <v>2022</v>
      </c>
      <c r="H11" s="160">
        <v>970000</v>
      </c>
      <c r="I11" s="93" t="s">
        <v>53</v>
      </c>
      <c r="J11" s="89">
        <v>42826</v>
      </c>
      <c r="K11" s="90" t="s">
        <v>4</v>
      </c>
      <c r="L11" s="89">
        <v>46113</v>
      </c>
      <c r="M11" s="42">
        <v>15591.18</v>
      </c>
      <c r="N11" s="41">
        <f>M11/F11</f>
        <v>283.476</v>
      </c>
      <c r="O11" s="163"/>
      <c r="P11" s="92">
        <v>7.4999999999999997E-2</v>
      </c>
      <c r="Q11" s="81"/>
      <c r="R11" s="148">
        <v>0.33</v>
      </c>
      <c r="S11" s="80">
        <f>Q11*R11</f>
        <v>0</v>
      </c>
      <c r="T11" s="127">
        <v>776000</v>
      </c>
      <c r="U11" s="175">
        <v>606148</v>
      </c>
      <c r="V11" s="130">
        <f>U11*R11</f>
        <v>200028.84</v>
      </c>
      <c r="W11" s="133">
        <v>2037</v>
      </c>
      <c r="X11" s="185">
        <v>57385.32</v>
      </c>
      <c r="Y11" s="133" t="s">
        <v>24</v>
      </c>
      <c r="Z11" s="115">
        <f>O11-X11</f>
        <v>-57385.32</v>
      </c>
      <c r="AA11" s="118" t="e">
        <f>U11/(Q11+Q12)</f>
        <v>#DIV/0!</v>
      </c>
      <c r="AB11" s="121">
        <f>(M11+M12)/X11</f>
        <v>1.7088264036865175</v>
      </c>
      <c r="AC11" s="28"/>
      <c r="AD11" s="1"/>
      <c r="AE11" s="1"/>
      <c r="AF11" s="27"/>
    </row>
    <row r="12" spans="1:32" ht="42" customHeight="1" x14ac:dyDescent="0.35">
      <c r="A12" s="91"/>
      <c r="B12" s="182"/>
      <c r="C12" s="156"/>
      <c r="D12" s="181"/>
      <c r="E12" s="45" t="s">
        <v>8</v>
      </c>
      <c r="F12" s="48">
        <v>305</v>
      </c>
      <c r="G12" s="88">
        <v>2022</v>
      </c>
      <c r="H12" s="162"/>
      <c r="I12" s="45" t="s">
        <v>52</v>
      </c>
      <c r="J12" s="89">
        <v>43160</v>
      </c>
      <c r="K12" s="90" t="s">
        <v>4</v>
      </c>
      <c r="L12" s="89">
        <v>46447</v>
      </c>
      <c r="M12" s="77">
        <v>82470.37</v>
      </c>
      <c r="N12" s="41">
        <f>M12/F12</f>
        <v>270.39465573770491</v>
      </c>
      <c r="O12" s="165"/>
      <c r="P12" s="82">
        <v>7.7499999999999999E-2</v>
      </c>
      <c r="Q12" s="81"/>
      <c r="R12" s="150"/>
      <c r="S12" s="80">
        <f>Q12*R11</f>
        <v>0</v>
      </c>
      <c r="T12" s="129"/>
      <c r="U12" s="177"/>
      <c r="V12" s="132"/>
      <c r="W12" s="135"/>
      <c r="X12" s="190"/>
      <c r="Y12" s="135"/>
      <c r="Z12" s="117"/>
      <c r="AA12" s="120"/>
      <c r="AB12" s="123"/>
    </row>
    <row r="13" spans="1:32" ht="42.75" customHeight="1" x14ac:dyDescent="0.35">
      <c r="A13" s="52"/>
      <c r="B13" s="167" t="s">
        <v>51</v>
      </c>
      <c r="C13" s="171"/>
      <c r="D13" s="170" t="s">
        <v>95</v>
      </c>
      <c r="E13" s="45" t="s">
        <v>8</v>
      </c>
      <c r="F13" s="48">
        <v>1647</v>
      </c>
      <c r="G13" s="157">
        <v>2024</v>
      </c>
      <c r="H13" s="160">
        <v>5100000</v>
      </c>
      <c r="I13" s="45" t="s">
        <v>50</v>
      </c>
      <c r="J13" s="43">
        <v>44652</v>
      </c>
      <c r="K13" s="44" t="s">
        <v>36</v>
      </c>
      <c r="L13" s="43">
        <v>48305</v>
      </c>
      <c r="M13" s="77">
        <v>155000</v>
      </c>
      <c r="N13" s="41">
        <f>M13/F13</f>
        <v>94.110503946569523</v>
      </c>
      <c r="O13" s="163"/>
      <c r="P13" s="187">
        <v>7.0000000000000007E-2</v>
      </c>
      <c r="Q13" s="188"/>
      <c r="R13" s="148">
        <v>0.5</v>
      </c>
      <c r="S13" s="189">
        <f>Q13*R13</f>
        <v>0</v>
      </c>
      <c r="T13" s="183">
        <v>3800000</v>
      </c>
      <c r="U13" s="184">
        <v>3622397</v>
      </c>
      <c r="V13" s="130">
        <f>U13*R13</f>
        <v>1811198.5</v>
      </c>
      <c r="W13" s="133">
        <v>2039</v>
      </c>
      <c r="X13" s="185">
        <v>356000</v>
      </c>
      <c r="Y13" s="133" t="s">
        <v>49</v>
      </c>
      <c r="Z13" s="115">
        <f>O13-X13</f>
        <v>-356000</v>
      </c>
      <c r="AA13" s="118" t="e">
        <f>U13/Q13</f>
        <v>#DIV/0!</v>
      </c>
      <c r="AB13" s="121">
        <f>O13/X13</f>
        <v>0</v>
      </c>
      <c r="AC13" s="28"/>
      <c r="AD13" s="1"/>
      <c r="AE13" s="1"/>
      <c r="AF13" s="27"/>
    </row>
    <row r="14" spans="1:32" ht="42.75" customHeight="1" x14ac:dyDescent="0.35">
      <c r="A14" s="52"/>
      <c r="B14" s="167"/>
      <c r="C14" s="171"/>
      <c r="D14" s="171"/>
      <c r="E14" s="45" t="s">
        <v>8</v>
      </c>
      <c r="F14" s="48">
        <v>358</v>
      </c>
      <c r="G14" s="158"/>
      <c r="H14" s="161"/>
      <c r="I14" s="45" t="s">
        <v>48</v>
      </c>
      <c r="J14" s="43">
        <v>42705</v>
      </c>
      <c r="K14" s="44" t="s">
        <v>36</v>
      </c>
      <c r="L14" s="43">
        <v>46357</v>
      </c>
      <c r="M14" s="77">
        <v>65016.09</v>
      </c>
      <c r="N14" s="41">
        <f>M14/F14</f>
        <v>181.60918994413407</v>
      </c>
      <c r="O14" s="164"/>
      <c r="P14" s="187"/>
      <c r="Q14" s="188"/>
      <c r="R14" s="149"/>
      <c r="S14" s="189"/>
      <c r="T14" s="183"/>
      <c r="U14" s="184"/>
      <c r="V14" s="131"/>
      <c r="W14" s="134"/>
      <c r="X14" s="186"/>
      <c r="Y14" s="134"/>
      <c r="Z14" s="116"/>
      <c r="AA14" s="119"/>
      <c r="AB14" s="122"/>
      <c r="AC14" s="28"/>
      <c r="AD14" s="1"/>
      <c r="AE14" s="1"/>
      <c r="AF14" s="27"/>
    </row>
    <row r="15" spans="1:32" ht="42.75" customHeight="1" x14ac:dyDescent="0.35">
      <c r="A15" s="52"/>
      <c r="B15" s="167"/>
      <c r="C15" s="171"/>
      <c r="D15" s="171"/>
      <c r="E15" s="45" t="s">
        <v>8</v>
      </c>
      <c r="F15" s="48">
        <v>159</v>
      </c>
      <c r="G15" s="158"/>
      <c r="H15" s="161"/>
      <c r="I15" s="45" t="s">
        <v>47</v>
      </c>
      <c r="J15" s="43">
        <v>44713</v>
      </c>
      <c r="K15" s="44" t="s">
        <v>36</v>
      </c>
      <c r="L15" s="43">
        <v>48366</v>
      </c>
      <c r="M15" s="77">
        <v>43125.53</v>
      </c>
      <c r="N15" s="41">
        <f>M15/F15</f>
        <v>271.22974842767297</v>
      </c>
      <c r="O15" s="164"/>
      <c r="P15" s="187"/>
      <c r="Q15" s="188"/>
      <c r="R15" s="149"/>
      <c r="S15" s="189"/>
      <c r="T15" s="183"/>
      <c r="U15" s="184"/>
      <c r="V15" s="131"/>
      <c r="W15" s="134"/>
      <c r="X15" s="186"/>
      <c r="Y15" s="134"/>
      <c r="Z15" s="116"/>
      <c r="AA15" s="119"/>
      <c r="AB15" s="122"/>
      <c r="AC15" s="28"/>
      <c r="AD15" s="1"/>
      <c r="AE15" s="1"/>
      <c r="AF15" s="27"/>
    </row>
    <row r="16" spans="1:32" ht="42.75" customHeight="1" x14ac:dyDescent="0.35">
      <c r="A16" s="52"/>
      <c r="B16" s="167"/>
      <c r="C16" s="171"/>
      <c r="D16" s="171"/>
      <c r="E16" s="45" t="s">
        <v>8</v>
      </c>
      <c r="F16" s="48">
        <v>858</v>
      </c>
      <c r="G16" s="158"/>
      <c r="H16" s="161"/>
      <c r="I16" s="45" t="s">
        <v>46</v>
      </c>
      <c r="J16" s="43">
        <v>37956</v>
      </c>
      <c r="K16" s="44" t="s">
        <v>45</v>
      </c>
      <c r="L16" s="43">
        <v>48914</v>
      </c>
      <c r="M16" s="77">
        <v>87039</v>
      </c>
      <c r="N16" s="41">
        <f>M16/F16</f>
        <v>101.44405594405595</v>
      </c>
      <c r="O16" s="164"/>
      <c r="P16" s="187"/>
      <c r="Q16" s="188"/>
      <c r="R16" s="149"/>
      <c r="S16" s="189"/>
      <c r="T16" s="183"/>
      <c r="U16" s="184"/>
      <c r="V16" s="131"/>
      <c r="W16" s="134"/>
      <c r="X16" s="186"/>
      <c r="Y16" s="134"/>
      <c r="Z16" s="116"/>
      <c r="AA16" s="119"/>
      <c r="AB16" s="122"/>
      <c r="AC16" s="28"/>
      <c r="AD16" s="1"/>
      <c r="AE16" s="1"/>
      <c r="AF16" s="27"/>
    </row>
    <row r="17" spans="1:32" ht="42.75" customHeight="1" x14ac:dyDescent="0.35">
      <c r="A17" s="52"/>
      <c r="B17" s="167"/>
      <c r="C17" s="171"/>
      <c r="D17" s="171"/>
      <c r="E17" s="68" t="s">
        <v>8</v>
      </c>
      <c r="F17" s="64">
        <v>545</v>
      </c>
      <c r="G17" s="158"/>
      <c r="H17" s="161"/>
      <c r="I17" s="68" t="s">
        <v>44</v>
      </c>
      <c r="J17" s="70">
        <v>42522</v>
      </c>
      <c r="K17" s="69" t="s">
        <v>43</v>
      </c>
      <c r="L17" s="70">
        <v>57132</v>
      </c>
      <c r="M17" s="65">
        <v>79631.38</v>
      </c>
      <c r="N17" s="67">
        <f>M17/F17</f>
        <v>146.11262385321101</v>
      </c>
      <c r="O17" s="165"/>
      <c r="P17" s="178"/>
      <c r="Q17" s="145"/>
      <c r="R17" s="149"/>
      <c r="S17" s="151"/>
      <c r="T17" s="127"/>
      <c r="U17" s="172"/>
      <c r="V17" s="131"/>
      <c r="W17" s="134"/>
      <c r="X17" s="186"/>
      <c r="Y17" s="134"/>
      <c r="Z17" s="117"/>
      <c r="AA17" s="119"/>
      <c r="AB17" s="122"/>
      <c r="AC17" s="28"/>
      <c r="AD17" s="1"/>
      <c r="AE17" s="1"/>
      <c r="AF17" s="27"/>
    </row>
    <row r="18" spans="1:32" ht="42.75" customHeight="1" x14ac:dyDescent="0.35">
      <c r="A18" s="52"/>
      <c r="B18" s="182"/>
      <c r="C18" s="181"/>
      <c r="D18" s="45" t="s">
        <v>96</v>
      </c>
      <c r="E18" s="45" t="s">
        <v>8</v>
      </c>
      <c r="F18" s="48">
        <v>1700</v>
      </c>
      <c r="G18" s="88">
        <v>2024</v>
      </c>
      <c r="H18" s="42">
        <v>4000000</v>
      </c>
      <c r="I18" s="45" t="s">
        <v>86</v>
      </c>
      <c r="J18" s="43">
        <v>42430</v>
      </c>
      <c r="K18" s="44" t="s">
        <v>4</v>
      </c>
      <c r="L18" s="43">
        <v>45717</v>
      </c>
      <c r="M18" s="77">
        <v>345310</v>
      </c>
      <c r="N18" s="41">
        <f>M18/F18</f>
        <v>203.12352941176471</v>
      </c>
      <c r="O18" s="77"/>
      <c r="P18" s="82">
        <v>6.5000000000000002E-2</v>
      </c>
      <c r="Q18" s="81"/>
      <c r="R18" s="87">
        <v>0.5</v>
      </c>
      <c r="S18" s="80">
        <f>+R18*Q18</f>
        <v>0</v>
      </c>
      <c r="T18" s="79">
        <v>2950000</v>
      </c>
      <c r="U18" s="100">
        <v>2805123</v>
      </c>
      <c r="V18" s="86">
        <f>U18*R18</f>
        <v>1402561.5</v>
      </c>
      <c r="W18" s="48">
        <v>2039</v>
      </c>
      <c r="X18" s="85">
        <v>265356</v>
      </c>
      <c r="Y18" s="48" t="s">
        <v>87</v>
      </c>
      <c r="Z18" s="109">
        <f>O18-X18</f>
        <v>-265356</v>
      </c>
      <c r="AA18" s="84" t="e">
        <f>U18/Q18</f>
        <v>#DIV/0!</v>
      </c>
      <c r="AB18" s="83">
        <f>O18/X18</f>
        <v>0</v>
      </c>
      <c r="AC18" s="28"/>
      <c r="AD18" s="1"/>
      <c r="AE18" s="1"/>
      <c r="AF18" s="27"/>
    </row>
    <row r="19" spans="1:32" ht="42.75" customHeight="1" x14ac:dyDescent="0.35">
      <c r="A19" s="52"/>
      <c r="B19" s="166" t="s">
        <v>42</v>
      </c>
      <c r="C19" s="170">
        <v>912279429</v>
      </c>
      <c r="D19" s="170" t="s">
        <v>97</v>
      </c>
      <c r="E19" s="45" t="s">
        <v>8</v>
      </c>
      <c r="F19" s="48">
        <v>415</v>
      </c>
      <c r="G19" s="157">
        <v>2022</v>
      </c>
      <c r="H19" s="160">
        <v>3268300</v>
      </c>
      <c r="I19" s="45" t="s">
        <v>41</v>
      </c>
      <c r="J19" s="43">
        <v>42248</v>
      </c>
      <c r="K19" s="44" t="s">
        <v>4</v>
      </c>
      <c r="L19" s="43">
        <v>45536</v>
      </c>
      <c r="M19" s="77">
        <v>85533.23</v>
      </c>
      <c r="N19" s="41">
        <f>M19/F19</f>
        <v>206.1041686746988</v>
      </c>
      <c r="O19" s="163"/>
      <c r="P19" s="178">
        <v>6.7500000000000004E-2</v>
      </c>
      <c r="Q19" s="145"/>
      <c r="R19" s="148">
        <v>0.25</v>
      </c>
      <c r="S19" s="151">
        <f>Q19*R19</f>
        <v>0</v>
      </c>
      <c r="T19" s="127">
        <v>3336200</v>
      </c>
      <c r="U19" s="172">
        <v>2801609</v>
      </c>
      <c r="V19" s="130">
        <f>U19*R19</f>
        <v>700402.25</v>
      </c>
      <c r="W19" s="133">
        <v>2034</v>
      </c>
      <c r="X19" s="175">
        <v>263844</v>
      </c>
      <c r="Y19" s="139" t="s">
        <v>24</v>
      </c>
      <c r="Z19" s="115">
        <f>O19-X19</f>
        <v>-263844</v>
      </c>
      <c r="AA19" s="118" t="e">
        <f>U19/Q19</f>
        <v>#DIV/0!</v>
      </c>
      <c r="AB19" s="121">
        <f>(M19+M20+M21)/X19</f>
        <v>0.96495171389154188</v>
      </c>
      <c r="AC19" s="28"/>
      <c r="AD19" s="1"/>
      <c r="AE19" s="1"/>
      <c r="AF19" s="27"/>
    </row>
    <row r="20" spans="1:32" ht="42.75" customHeight="1" x14ac:dyDescent="0.35">
      <c r="A20" s="52"/>
      <c r="B20" s="167"/>
      <c r="C20" s="171"/>
      <c r="D20" s="171"/>
      <c r="E20" s="45" t="s">
        <v>8</v>
      </c>
      <c r="F20" s="48">
        <v>247</v>
      </c>
      <c r="G20" s="158"/>
      <c r="H20" s="161"/>
      <c r="I20" s="45" t="s">
        <v>40</v>
      </c>
      <c r="J20" s="43">
        <v>43739</v>
      </c>
      <c r="K20" s="44" t="s">
        <v>4</v>
      </c>
      <c r="L20" s="43">
        <v>47027</v>
      </c>
      <c r="M20" s="77">
        <v>50355</v>
      </c>
      <c r="N20" s="41">
        <f>M20/F20</f>
        <v>203.86639676113361</v>
      </c>
      <c r="O20" s="164"/>
      <c r="P20" s="179"/>
      <c r="Q20" s="146"/>
      <c r="R20" s="149"/>
      <c r="S20" s="152"/>
      <c r="T20" s="128"/>
      <c r="U20" s="173"/>
      <c r="V20" s="131"/>
      <c r="W20" s="134"/>
      <c r="X20" s="176"/>
      <c r="Y20" s="140"/>
      <c r="Z20" s="116"/>
      <c r="AA20" s="119"/>
      <c r="AB20" s="122"/>
      <c r="AC20" s="28"/>
      <c r="AD20" s="1"/>
      <c r="AE20" s="1"/>
      <c r="AF20" s="27"/>
    </row>
    <row r="21" spans="1:32" ht="42.75" customHeight="1" x14ac:dyDescent="0.35">
      <c r="A21" s="52"/>
      <c r="B21" s="167"/>
      <c r="C21" s="171"/>
      <c r="D21" s="181"/>
      <c r="E21" s="45" t="s">
        <v>8</v>
      </c>
      <c r="F21" s="48">
        <v>552</v>
      </c>
      <c r="G21" s="159"/>
      <c r="H21" s="162"/>
      <c r="I21" s="45" t="s">
        <v>39</v>
      </c>
      <c r="J21" s="43">
        <v>42583</v>
      </c>
      <c r="K21" s="44" t="s">
        <v>4</v>
      </c>
      <c r="L21" s="43">
        <v>45839</v>
      </c>
      <c r="M21" s="77">
        <v>118708.49</v>
      </c>
      <c r="N21" s="41">
        <f>M21/F21</f>
        <v>215.0516123188406</v>
      </c>
      <c r="O21" s="165"/>
      <c r="P21" s="180"/>
      <c r="Q21" s="147"/>
      <c r="R21" s="150"/>
      <c r="S21" s="153"/>
      <c r="T21" s="129"/>
      <c r="U21" s="174"/>
      <c r="V21" s="132"/>
      <c r="W21" s="135"/>
      <c r="X21" s="177"/>
      <c r="Y21" s="141"/>
      <c r="Z21" s="117"/>
      <c r="AA21" s="120"/>
      <c r="AB21" s="123"/>
      <c r="AC21" s="28"/>
      <c r="AD21" s="1"/>
      <c r="AE21" s="1"/>
      <c r="AF21" s="27"/>
    </row>
    <row r="22" spans="1:32" ht="42.75" customHeight="1" x14ac:dyDescent="0.35">
      <c r="A22" s="52"/>
      <c r="B22" s="167"/>
      <c r="C22" s="171"/>
      <c r="D22" s="170" t="s">
        <v>98</v>
      </c>
      <c r="E22" s="45" t="s">
        <v>8</v>
      </c>
      <c r="F22" s="48">
        <v>225</v>
      </c>
      <c r="G22" s="157">
        <v>2023</v>
      </c>
      <c r="H22" s="160">
        <v>1900000</v>
      </c>
      <c r="I22" s="45" t="s">
        <v>38</v>
      </c>
      <c r="J22" s="43">
        <v>41821</v>
      </c>
      <c r="K22" s="44" t="s">
        <v>4</v>
      </c>
      <c r="L22" s="43">
        <v>45078</v>
      </c>
      <c r="M22" s="77">
        <v>44577</v>
      </c>
      <c r="N22" s="41">
        <f>M22/F22</f>
        <v>198.12</v>
      </c>
      <c r="O22" s="163"/>
      <c r="P22" s="178">
        <v>5.3499999999999999E-2</v>
      </c>
      <c r="Q22" s="145"/>
      <c r="R22" s="148">
        <v>0.25</v>
      </c>
      <c r="S22" s="151">
        <f>Q22*R22</f>
        <v>0</v>
      </c>
      <c r="T22" s="127">
        <v>1500000</v>
      </c>
      <c r="U22" s="172">
        <v>1316327</v>
      </c>
      <c r="V22" s="130">
        <f>U22*R22</f>
        <v>329081.75</v>
      </c>
      <c r="W22" s="133">
        <v>2038</v>
      </c>
      <c r="X22" s="175">
        <v>146301</v>
      </c>
      <c r="Y22" s="139" t="s">
        <v>24</v>
      </c>
      <c r="Z22" s="115">
        <f>O22-X22</f>
        <v>-146301</v>
      </c>
      <c r="AA22" s="118" t="e">
        <f>U22/Q22</f>
        <v>#DIV/0!</v>
      </c>
      <c r="AB22" s="121">
        <f>(M22+M23+M24+M25)/X22</f>
        <v>1.0405328740063293</v>
      </c>
      <c r="AC22" s="28"/>
      <c r="AD22" s="1"/>
      <c r="AE22" s="1"/>
      <c r="AF22" s="27"/>
    </row>
    <row r="23" spans="1:32" ht="42.75" customHeight="1" x14ac:dyDescent="0.35">
      <c r="A23" s="52"/>
      <c r="B23" s="167"/>
      <c r="C23" s="171"/>
      <c r="D23" s="171"/>
      <c r="E23" s="45" t="s">
        <v>8</v>
      </c>
      <c r="F23" s="48">
        <v>275</v>
      </c>
      <c r="G23" s="158"/>
      <c r="H23" s="161"/>
      <c r="I23" s="45" t="s">
        <v>37</v>
      </c>
      <c r="J23" s="43">
        <v>45597</v>
      </c>
      <c r="K23" s="44" t="s">
        <v>36</v>
      </c>
      <c r="L23" s="43">
        <v>49249</v>
      </c>
      <c r="M23" s="42">
        <v>63000</v>
      </c>
      <c r="N23" s="41">
        <f>M23/F23</f>
        <v>229.09090909090909</v>
      </c>
      <c r="O23" s="164"/>
      <c r="P23" s="179"/>
      <c r="Q23" s="146"/>
      <c r="R23" s="149"/>
      <c r="S23" s="152"/>
      <c r="T23" s="128"/>
      <c r="U23" s="173"/>
      <c r="V23" s="131"/>
      <c r="W23" s="134"/>
      <c r="X23" s="176"/>
      <c r="Y23" s="140"/>
      <c r="Z23" s="116"/>
      <c r="AA23" s="119"/>
      <c r="AB23" s="122"/>
      <c r="AC23" s="28"/>
      <c r="AD23" s="1"/>
      <c r="AE23" s="1"/>
      <c r="AF23" s="27"/>
    </row>
    <row r="24" spans="1:32" ht="42.75" customHeight="1" x14ac:dyDescent="0.35">
      <c r="A24" s="52"/>
      <c r="B24" s="167"/>
      <c r="C24" s="171"/>
      <c r="D24" s="171"/>
      <c r="E24" s="45" t="s">
        <v>8</v>
      </c>
      <c r="F24" s="48">
        <v>160</v>
      </c>
      <c r="G24" s="158"/>
      <c r="H24" s="161"/>
      <c r="I24" s="45" t="s">
        <v>35</v>
      </c>
      <c r="J24" s="43">
        <v>41821</v>
      </c>
      <c r="K24" s="44" t="s">
        <v>4</v>
      </c>
      <c r="L24" s="43">
        <v>45078</v>
      </c>
      <c r="M24" s="42">
        <v>28154</v>
      </c>
      <c r="N24" s="41">
        <f>M24/F24</f>
        <v>175.96250000000001</v>
      </c>
      <c r="O24" s="164"/>
      <c r="P24" s="179"/>
      <c r="Q24" s="146"/>
      <c r="R24" s="149"/>
      <c r="S24" s="152"/>
      <c r="T24" s="128"/>
      <c r="U24" s="173"/>
      <c r="V24" s="131"/>
      <c r="W24" s="134"/>
      <c r="X24" s="176"/>
      <c r="Y24" s="140"/>
      <c r="Z24" s="116"/>
      <c r="AA24" s="119"/>
      <c r="AB24" s="122"/>
      <c r="AC24" s="28"/>
      <c r="AD24" s="1"/>
      <c r="AE24" s="1"/>
      <c r="AF24" s="27"/>
    </row>
    <row r="25" spans="1:32" ht="42.75" customHeight="1" x14ac:dyDescent="0.35">
      <c r="A25" s="52"/>
      <c r="B25" s="182"/>
      <c r="C25" s="181"/>
      <c r="D25" s="181"/>
      <c r="E25" s="45" t="s">
        <v>34</v>
      </c>
      <c r="F25" s="48">
        <v>1</v>
      </c>
      <c r="G25" s="159"/>
      <c r="H25" s="162"/>
      <c r="I25" s="45" t="s">
        <v>33</v>
      </c>
      <c r="J25" s="45"/>
      <c r="K25" s="44"/>
      <c r="L25" s="45"/>
      <c r="M25" s="42">
        <v>16500</v>
      </c>
      <c r="N25" s="41"/>
      <c r="O25" s="165"/>
      <c r="P25" s="180"/>
      <c r="Q25" s="147"/>
      <c r="R25" s="150"/>
      <c r="S25" s="153"/>
      <c r="T25" s="129"/>
      <c r="U25" s="174"/>
      <c r="V25" s="132"/>
      <c r="W25" s="135"/>
      <c r="X25" s="177"/>
      <c r="Y25" s="141"/>
      <c r="Z25" s="117"/>
      <c r="AA25" s="120"/>
      <c r="AB25" s="123"/>
      <c r="AC25" s="28"/>
      <c r="AD25" s="1"/>
      <c r="AE25" s="1"/>
      <c r="AF25" s="27"/>
    </row>
    <row r="26" spans="1:32" ht="42.75" customHeight="1" x14ac:dyDescent="0.35">
      <c r="A26" s="52"/>
      <c r="B26" s="76" t="s">
        <v>32</v>
      </c>
      <c r="C26" s="75">
        <v>918143330</v>
      </c>
      <c r="D26" s="74" t="s">
        <v>99</v>
      </c>
      <c r="E26" s="45" t="s">
        <v>8</v>
      </c>
      <c r="F26" s="48">
        <f>50+30</f>
        <v>80</v>
      </c>
      <c r="G26" s="56">
        <v>2022</v>
      </c>
      <c r="H26" s="55">
        <v>400000</v>
      </c>
      <c r="I26" s="45" t="s">
        <v>31</v>
      </c>
      <c r="J26" s="43">
        <v>45200</v>
      </c>
      <c r="K26" s="44" t="s">
        <v>4</v>
      </c>
      <c r="L26" s="43">
        <v>48458</v>
      </c>
      <c r="M26" s="42">
        <v>33192.019999999997</v>
      </c>
      <c r="N26" s="41">
        <f>M26/F26</f>
        <v>414.90024999999997</v>
      </c>
      <c r="O26" s="40"/>
      <c r="P26" s="39">
        <v>0.05</v>
      </c>
      <c r="Q26" s="38"/>
      <c r="R26" s="53">
        <v>1</v>
      </c>
      <c r="S26" s="36">
        <f>Q26*R26</f>
        <v>0</v>
      </c>
      <c r="T26" s="35">
        <v>400000</v>
      </c>
      <c r="U26" s="73">
        <v>373700</v>
      </c>
      <c r="V26" s="34">
        <f>U26*R26</f>
        <v>373700</v>
      </c>
      <c r="W26" s="33">
        <v>2037</v>
      </c>
      <c r="X26" s="73">
        <f>(2900*4)+(1900*4)</f>
        <v>19200</v>
      </c>
      <c r="Y26" s="31" t="s">
        <v>14</v>
      </c>
      <c r="Z26" s="110">
        <f>O26-X26</f>
        <v>-19200</v>
      </c>
      <c r="AA26" s="30" t="e">
        <f>U26/Q26</f>
        <v>#DIV/0!</v>
      </c>
      <c r="AB26" s="29">
        <f>M26/X26</f>
        <v>1.7287510416666665</v>
      </c>
      <c r="AC26" s="28"/>
      <c r="AD26" s="1"/>
      <c r="AE26" s="1"/>
      <c r="AF26" s="27"/>
    </row>
    <row r="27" spans="1:32" ht="42.75" customHeight="1" x14ac:dyDescent="0.35">
      <c r="A27" s="52"/>
      <c r="B27" s="51" t="s">
        <v>30</v>
      </c>
      <c r="C27" s="50">
        <v>839987930</v>
      </c>
      <c r="D27" s="49" t="s">
        <v>100</v>
      </c>
      <c r="E27" s="45" t="s">
        <v>8</v>
      </c>
      <c r="F27" s="48">
        <v>66</v>
      </c>
      <c r="G27" s="47">
        <v>2018</v>
      </c>
      <c r="H27" s="46">
        <v>210000</v>
      </c>
      <c r="I27" s="45" t="s">
        <v>29</v>
      </c>
      <c r="J27" s="43">
        <v>39904</v>
      </c>
      <c r="K27" s="44" t="s">
        <v>4</v>
      </c>
      <c r="L27" s="43">
        <v>43191</v>
      </c>
      <c r="M27" s="42">
        <v>14209</v>
      </c>
      <c r="N27" s="41">
        <f>M27/F27</f>
        <v>215.28787878787878</v>
      </c>
      <c r="O27" s="40"/>
      <c r="P27" s="39">
        <v>3.2500000000000001E-2</v>
      </c>
      <c r="Q27" s="38"/>
      <c r="R27" s="37">
        <f>(25%*50%)</f>
        <v>0.125</v>
      </c>
      <c r="S27" s="36">
        <f>Q27*R27</f>
        <v>0</v>
      </c>
      <c r="T27" s="60">
        <v>220000</v>
      </c>
      <c r="U27" s="112">
        <v>134755</v>
      </c>
      <c r="V27" s="59">
        <f>U27*R27</f>
        <v>16844.375</v>
      </c>
      <c r="W27" s="58">
        <v>2033</v>
      </c>
      <c r="X27" s="72">
        <v>16867</v>
      </c>
      <c r="Y27" s="57" t="s">
        <v>14</v>
      </c>
      <c r="Z27" s="111">
        <f>O27-X27</f>
        <v>-16867</v>
      </c>
      <c r="AA27" s="30" t="e">
        <f>U27/Q27</f>
        <v>#DIV/0!</v>
      </c>
      <c r="AB27" s="29">
        <f>M27/X27</f>
        <v>0.84241418153791425</v>
      </c>
      <c r="AC27" s="28"/>
      <c r="AD27" s="1"/>
      <c r="AE27" s="1"/>
      <c r="AF27" s="27"/>
    </row>
    <row r="28" spans="1:32" ht="42.75" customHeight="1" x14ac:dyDescent="0.35">
      <c r="A28" s="52"/>
      <c r="B28" s="166" t="s">
        <v>28</v>
      </c>
      <c r="C28" s="168">
        <v>922356514</v>
      </c>
      <c r="D28" s="170" t="s">
        <v>101</v>
      </c>
      <c r="E28" s="45" t="s">
        <v>27</v>
      </c>
      <c r="F28" s="48" t="s">
        <v>26</v>
      </c>
      <c r="G28" s="157">
        <v>2023</v>
      </c>
      <c r="H28" s="160">
        <v>480000</v>
      </c>
      <c r="I28" s="45" t="s">
        <v>25</v>
      </c>
      <c r="J28" s="43">
        <v>44986</v>
      </c>
      <c r="K28" s="44" t="s">
        <v>4</v>
      </c>
      <c r="L28" s="43">
        <v>48274</v>
      </c>
      <c r="M28" s="42">
        <v>28000</v>
      </c>
      <c r="N28" s="41">
        <f>M28/85</f>
        <v>329.41176470588238</v>
      </c>
      <c r="O28" s="163"/>
      <c r="P28" s="54">
        <v>0.05</v>
      </c>
      <c r="Q28" s="38"/>
      <c r="R28" s="148">
        <v>0.5</v>
      </c>
      <c r="S28" s="36">
        <f>Q28*R28</f>
        <v>0</v>
      </c>
      <c r="T28" s="127">
        <v>508000</v>
      </c>
      <c r="U28" s="127">
        <v>487299.77</v>
      </c>
      <c r="V28" s="130">
        <f>U28*R28</f>
        <v>243649.88500000001</v>
      </c>
      <c r="W28" s="133">
        <v>2043</v>
      </c>
      <c r="X28" s="136">
        <v>31947.34</v>
      </c>
      <c r="Y28" s="139" t="s">
        <v>24</v>
      </c>
      <c r="Z28" s="115">
        <f>O28-X28</f>
        <v>-31947.34</v>
      </c>
      <c r="AA28" s="118" t="e">
        <f>U28/(Q28+Q29+Q30)</f>
        <v>#DIV/0!</v>
      </c>
      <c r="AB28" s="121">
        <f>(M28+M30)/X28</f>
        <v>1.2144986092738863</v>
      </c>
      <c r="AC28" s="28"/>
      <c r="AD28" s="1"/>
      <c r="AE28" s="1"/>
      <c r="AF28" s="27"/>
    </row>
    <row r="29" spans="1:32" ht="42.75" customHeight="1" x14ac:dyDescent="0.35">
      <c r="A29" s="52"/>
      <c r="B29" s="167"/>
      <c r="C29" s="169"/>
      <c r="D29" s="171"/>
      <c r="E29" s="45" t="s">
        <v>23</v>
      </c>
      <c r="F29" s="48" t="s">
        <v>22</v>
      </c>
      <c r="G29" s="158"/>
      <c r="H29" s="161"/>
      <c r="I29" s="45" t="s">
        <v>21</v>
      </c>
      <c r="J29" s="45"/>
      <c r="K29" s="44"/>
      <c r="L29" s="45"/>
      <c r="M29" s="42"/>
      <c r="N29" s="41"/>
      <c r="O29" s="164"/>
      <c r="P29" s="54"/>
      <c r="Q29" s="38"/>
      <c r="R29" s="149"/>
      <c r="S29" s="36">
        <f>Q29*R28</f>
        <v>0</v>
      </c>
      <c r="T29" s="128"/>
      <c r="U29" s="128"/>
      <c r="V29" s="131"/>
      <c r="W29" s="134"/>
      <c r="X29" s="137"/>
      <c r="Y29" s="140"/>
      <c r="Z29" s="116"/>
      <c r="AA29" s="119"/>
      <c r="AB29" s="122"/>
      <c r="AC29" s="28"/>
      <c r="AD29" s="1"/>
      <c r="AE29" s="1"/>
      <c r="AF29" s="27"/>
    </row>
    <row r="30" spans="1:32" ht="42.75" customHeight="1" x14ac:dyDescent="0.35">
      <c r="A30" s="52"/>
      <c r="B30" s="167"/>
      <c r="C30" s="169"/>
      <c r="D30" s="171"/>
      <c r="E30" s="68" t="s">
        <v>20</v>
      </c>
      <c r="F30" s="64">
        <v>200</v>
      </c>
      <c r="G30" s="158"/>
      <c r="H30" s="161"/>
      <c r="I30" s="68" t="s">
        <v>19</v>
      </c>
      <c r="J30" s="70">
        <v>45078</v>
      </c>
      <c r="K30" s="69" t="s">
        <v>18</v>
      </c>
      <c r="L30" s="68">
        <v>2026</v>
      </c>
      <c r="M30" s="66">
        <f>900*12</f>
        <v>10800</v>
      </c>
      <c r="N30" s="67">
        <f>M30/F30</f>
        <v>54</v>
      </c>
      <c r="O30" s="165"/>
      <c r="P30" s="63" t="e">
        <f>M30/Q30</f>
        <v>#DIV/0!</v>
      </c>
      <c r="Q30" s="62"/>
      <c r="R30" s="149"/>
      <c r="S30" s="61">
        <f>Q30*R28</f>
        <v>0</v>
      </c>
      <c r="T30" s="128"/>
      <c r="U30" s="128"/>
      <c r="V30" s="131"/>
      <c r="W30" s="134"/>
      <c r="X30" s="137"/>
      <c r="Y30" s="140"/>
      <c r="Z30" s="117"/>
      <c r="AA30" s="119"/>
      <c r="AB30" s="122"/>
      <c r="AC30" s="28"/>
      <c r="AD30" s="1"/>
      <c r="AE30" s="1"/>
      <c r="AF30" s="27"/>
    </row>
    <row r="31" spans="1:32" ht="42.75" customHeight="1" x14ac:dyDescent="0.35">
      <c r="A31" s="52"/>
      <c r="B31" s="154" t="s">
        <v>17</v>
      </c>
      <c r="C31" s="155" t="s">
        <v>16</v>
      </c>
      <c r="D31" s="156" t="s">
        <v>102</v>
      </c>
      <c r="E31" s="45" t="s">
        <v>8</v>
      </c>
      <c r="F31" s="48">
        <v>252</v>
      </c>
      <c r="G31" s="157">
        <v>2023</v>
      </c>
      <c r="H31" s="160">
        <v>2570000</v>
      </c>
      <c r="I31" s="45" t="s">
        <v>15</v>
      </c>
      <c r="J31" s="43">
        <v>42644</v>
      </c>
      <c r="K31" s="44" t="s">
        <v>4</v>
      </c>
      <c r="L31" s="43">
        <v>45931</v>
      </c>
      <c r="M31" s="42">
        <v>54778.78</v>
      </c>
      <c r="N31" s="41">
        <f>M31/F31</f>
        <v>217.3761111111111</v>
      </c>
      <c r="O31" s="163"/>
      <c r="P31" s="142">
        <v>7.0000000000000007E-2</v>
      </c>
      <c r="Q31" s="145"/>
      <c r="R31" s="148">
        <v>0.25</v>
      </c>
      <c r="S31" s="151">
        <f>Q31*R31</f>
        <v>0</v>
      </c>
      <c r="T31" s="127">
        <v>2260000</v>
      </c>
      <c r="U31" s="127">
        <v>2260000</v>
      </c>
      <c r="V31" s="130">
        <f>U31*R31</f>
        <v>565000</v>
      </c>
      <c r="W31" s="133">
        <v>2027</v>
      </c>
      <c r="X31" s="136">
        <f>U31*0.054</f>
        <v>122040</v>
      </c>
      <c r="Y31" s="139" t="s">
        <v>14</v>
      </c>
      <c r="Z31" s="115">
        <f>O31-X31</f>
        <v>-122040</v>
      </c>
      <c r="AA31" s="118" t="e">
        <f>U31/Q31</f>
        <v>#DIV/0!</v>
      </c>
      <c r="AB31" s="121" t="s">
        <v>13</v>
      </c>
      <c r="AC31" s="28"/>
      <c r="AD31" s="1"/>
      <c r="AE31" s="1"/>
      <c r="AF31" s="27"/>
    </row>
    <row r="32" spans="1:32" ht="42.75" customHeight="1" x14ac:dyDescent="0.35">
      <c r="A32" s="52"/>
      <c r="B32" s="154"/>
      <c r="C32" s="155"/>
      <c r="D32" s="156"/>
      <c r="E32" s="45" t="s">
        <v>8</v>
      </c>
      <c r="F32" s="48">
        <v>126</v>
      </c>
      <c r="G32" s="158"/>
      <c r="H32" s="161"/>
      <c r="I32" s="45" t="s">
        <v>12</v>
      </c>
      <c r="J32" s="43">
        <v>43617</v>
      </c>
      <c r="K32" s="44" t="s">
        <v>4</v>
      </c>
      <c r="L32" s="43">
        <v>46874</v>
      </c>
      <c r="M32" s="42">
        <v>24506.29</v>
      </c>
      <c r="N32" s="41">
        <f>M32/F32</f>
        <v>194.49436507936508</v>
      </c>
      <c r="O32" s="164"/>
      <c r="P32" s="143"/>
      <c r="Q32" s="146"/>
      <c r="R32" s="149"/>
      <c r="S32" s="152"/>
      <c r="T32" s="128"/>
      <c r="U32" s="128"/>
      <c r="V32" s="131"/>
      <c r="W32" s="134"/>
      <c r="X32" s="137"/>
      <c r="Y32" s="140"/>
      <c r="Z32" s="116"/>
      <c r="AA32" s="119"/>
      <c r="AB32" s="122"/>
      <c r="AC32" s="28"/>
      <c r="AD32" s="1"/>
      <c r="AE32" s="1"/>
      <c r="AF32" s="27"/>
    </row>
    <row r="33" spans="1:32" ht="42.75" customHeight="1" x14ac:dyDescent="0.35">
      <c r="A33" s="52"/>
      <c r="B33" s="154"/>
      <c r="C33" s="155"/>
      <c r="D33" s="156"/>
      <c r="E33" s="45" t="s">
        <v>8</v>
      </c>
      <c r="F33" s="48">
        <v>184</v>
      </c>
      <c r="G33" s="158"/>
      <c r="H33" s="161"/>
      <c r="I33" s="45" t="s">
        <v>11</v>
      </c>
      <c r="J33" s="43">
        <v>42644</v>
      </c>
      <c r="K33" s="44" t="s">
        <v>4</v>
      </c>
      <c r="L33" s="43">
        <v>45931</v>
      </c>
      <c r="M33" s="42">
        <v>40280.01</v>
      </c>
      <c r="N33" s="41">
        <f>M33/F33</f>
        <v>218.91309782608695</v>
      </c>
      <c r="O33" s="164"/>
      <c r="P33" s="143"/>
      <c r="Q33" s="146"/>
      <c r="R33" s="149"/>
      <c r="S33" s="152"/>
      <c r="T33" s="128"/>
      <c r="U33" s="128"/>
      <c r="V33" s="131"/>
      <c r="W33" s="134"/>
      <c r="X33" s="137"/>
      <c r="Y33" s="140"/>
      <c r="Z33" s="116"/>
      <c r="AA33" s="119"/>
      <c r="AB33" s="122"/>
      <c r="AC33" s="28"/>
      <c r="AD33" s="1"/>
      <c r="AE33" s="1"/>
      <c r="AF33" s="27"/>
    </row>
    <row r="34" spans="1:32" ht="42.75" customHeight="1" x14ac:dyDescent="0.35">
      <c r="A34" s="52"/>
      <c r="B34" s="154"/>
      <c r="C34" s="155"/>
      <c r="D34" s="156"/>
      <c r="E34" s="45" t="s">
        <v>8</v>
      </c>
      <c r="F34" s="48">
        <v>396</v>
      </c>
      <c r="G34" s="158"/>
      <c r="H34" s="161"/>
      <c r="I34" s="45" t="s">
        <v>10</v>
      </c>
      <c r="J34" s="43">
        <v>42767</v>
      </c>
      <c r="K34" s="44" t="s">
        <v>4</v>
      </c>
      <c r="L34" s="43">
        <v>46023</v>
      </c>
      <c r="M34" s="42">
        <v>44081.38</v>
      </c>
      <c r="N34" s="41">
        <f>M34/F34</f>
        <v>111.31661616161615</v>
      </c>
      <c r="O34" s="164"/>
      <c r="P34" s="143"/>
      <c r="Q34" s="146"/>
      <c r="R34" s="149"/>
      <c r="S34" s="152"/>
      <c r="T34" s="128"/>
      <c r="U34" s="128"/>
      <c r="V34" s="131"/>
      <c r="W34" s="134"/>
      <c r="X34" s="137"/>
      <c r="Y34" s="140"/>
      <c r="Z34" s="116"/>
      <c r="AA34" s="119"/>
      <c r="AB34" s="122"/>
      <c r="AC34" s="28"/>
      <c r="AD34" s="1"/>
      <c r="AE34" s="1"/>
      <c r="AF34" s="27"/>
    </row>
    <row r="35" spans="1:32" ht="42.75" customHeight="1" x14ac:dyDescent="0.35">
      <c r="A35" s="52"/>
      <c r="B35" s="154"/>
      <c r="C35" s="155"/>
      <c r="D35" s="156"/>
      <c r="E35" s="45" t="s">
        <v>8</v>
      </c>
      <c r="F35" s="48">
        <v>195</v>
      </c>
      <c r="G35" s="158"/>
      <c r="H35" s="161"/>
      <c r="I35" s="45" t="s">
        <v>9</v>
      </c>
      <c r="J35" s="43">
        <v>43891</v>
      </c>
      <c r="K35" s="44" t="s">
        <v>4</v>
      </c>
      <c r="L35" s="43">
        <v>47150</v>
      </c>
      <c r="M35" s="42">
        <v>35573.370000000003</v>
      </c>
      <c r="N35" s="41">
        <f>M35/F35</f>
        <v>182.42753846153846</v>
      </c>
      <c r="O35" s="164"/>
      <c r="P35" s="143"/>
      <c r="Q35" s="146"/>
      <c r="R35" s="149"/>
      <c r="S35" s="152"/>
      <c r="T35" s="128"/>
      <c r="U35" s="128"/>
      <c r="V35" s="131"/>
      <c r="W35" s="134"/>
      <c r="X35" s="137"/>
      <c r="Y35" s="140"/>
      <c r="Z35" s="116"/>
      <c r="AA35" s="119"/>
      <c r="AB35" s="122"/>
      <c r="AC35" s="28"/>
      <c r="AD35" s="1"/>
      <c r="AE35" s="1"/>
      <c r="AF35" s="27"/>
    </row>
    <row r="36" spans="1:32" ht="42.75" customHeight="1" x14ac:dyDescent="0.35">
      <c r="A36" s="52"/>
      <c r="B36" s="154"/>
      <c r="C36" s="155"/>
      <c r="D36" s="156"/>
      <c r="E36" s="45" t="s">
        <v>8</v>
      </c>
      <c r="F36" s="48">
        <v>193</v>
      </c>
      <c r="G36" s="158"/>
      <c r="H36" s="161"/>
      <c r="I36" s="45" t="s">
        <v>7</v>
      </c>
      <c r="J36" s="43">
        <v>43831</v>
      </c>
      <c r="K36" s="44" t="s">
        <v>4</v>
      </c>
      <c r="L36" s="43">
        <v>47088</v>
      </c>
      <c r="M36" s="42">
        <v>41364.71</v>
      </c>
      <c r="N36" s="41">
        <f>M36/F36</f>
        <v>214.32492227979273</v>
      </c>
      <c r="O36" s="164"/>
      <c r="P36" s="143"/>
      <c r="Q36" s="146"/>
      <c r="R36" s="149"/>
      <c r="S36" s="152"/>
      <c r="T36" s="128"/>
      <c r="U36" s="128"/>
      <c r="V36" s="131"/>
      <c r="W36" s="134"/>
      <c r="X36" s="137"/>
      <c r="Y36" s="140"/>
      <c r="Z36" s="116"/>
      <c r="AA36" s="119"/>
      <c r="AB36" s="122"/>
      <c r="AC36" s="28"/>
      <c r="AD36" s="1"/>
      <c r="AE36" s="1"/>
      <c r="AF36" s="27"/>
    </row>
    <row r="37" spans="1:32" ht="42.75" customHeight="1" x14ac:dyDescent="0.35">
      <c r="A37" s="52"/>
      <c r="B37" s="154"/>
      <c r="C37" s="155"/>
      <c r="D37" s="156"/>
      <c r="E37" s="45" t="s">
        <v>6</v>
      </c>
      <c r="F37" s="48">
        <v>160</v>
      </c>
      <c r="G37" s="159"/>
      <c r="H37" s="162"/>
      <c r="I37" s="45" t="s">
        <v>5</v>
      </c>
      <c r="J37" s="43">
        <v>41153</v>
      </c>
      <c r="K37" s="44" t="s">
        <v>4</v>
      </c>
      <c r="L37" s="43">
        <v>44440</v>
      </c>
      <c r="M37" s="42">
        <v>32579</v>
      </c>
      <c r="N37" s="41">
        <f>M37/F37</f>
        <v>203.61875000000001</v>
      </c>
      <c r="O37" s="165"/>
      <c r="P37" s="144"/>
      <c r="Q37" s="147"/>
      <c r="R37" s="150"/>
      <c r="S37" s="153"/>
      <c r="T37" s="129"/>
      <c r="U37" s="129"/>
      <c r="V37" s="132"/>
      <c r="W37" s="135"/>
      <c r="X37" s="138"/>
      <c r="Y37" s="141"/>
      <c r="Z37" s="117"/>
      <c r="AA37" s="120"/>
      <c r="AB37" s="123"/>
      <c r="AC37" s="28"/>
      <c r="AD37" s="1"/>
      <c r="AE37" s="1"/>
      <c r="AF37" s="27"/>
    </row>
    <row r="38" spans="1:32" ht="58" customHeight="1" x14ac:dyDescent="0.35">
      <c r="A38" s="52"/>
      <c r="B38" s="51" t="s">
        <v>3</v>
      </c>
      <c r="C38" s="50">
        <v>985278548</v>
      </c>
      <c r="D38" s="49" t="s">
        <v>103</v>
      </c>
      <c r="E38" s="45" t="s">
        <v>2</v>
      </c>
      <c r="F38" s="48">
        <v>328</v>
      </c>
      <c r="G38" s="47">
        <v>2024</v>
      </c>
      <c r="H38" s="46">
        <v>1700000</v>
      </c>
      <c r="I38" s="45" t="s">
        <v>1</v>
      </c>
      <c r="J38" s="43"/>
      <c r="K38" s="44"/>
      <c r="L38" s="43"/>
      <c r="M38" s="42">
        <f>525888*18.33%</f>
        <v>96395.270399999994</v>
      </c>
      <c r="N38" s="41">
        <f>M38/F38</f>
        <v>293.88801951219511</v>
      </c>
      <c r="O38" s="40"/>
      <c r="P38" s="39">
        <v>5.7000000000000002E-2</v>
      </c>
      <c r="Q38" s="38"/>
      <c r="R38" s="37">
        <v>0.15</v>
      </c>
      <c r="S38" s="36">
        <f>Q38*R38</f>
        <v>0</v>
      </c>
      <c r="T38" s="35">
        <v>0</v>
      </c>
      <c r="U38" s="35">
        <v>0</v>
      </c>
      <c r="V38" s="34">
        <v>0</v>
      </c>
      <c r="W38" s="33"/>
      <c r="X38" s="32">
        <v>0</v>
      </c>
      <c r="Y38" s="31"/>
      <c r="Z38" s="110">
        <f>O38</f>
        <v>0</v>
      </c>
      <c r="AA38" s="30"/>
      <c r="AB38" s="29"/>
      <c r="AC38" s="28"/>
      <c r="AD38" s="1"/>
      <c r="AE38" s="1"/>
      <c r="AF38" s="27"/>
    </row>
    <row r="39" spans="1:32" ht="24" customHeight="1" x14ac:dyDescent="0.35">
      <c r="A39" s="26"/>
      <c r="B39" s="124" t="s">
        <v>0</v>
      </c>
      <c r="C39" s="125"/>
      <c r="D39" s="125"/>
      <c r="E39" s="126"/>
      <c r="F39" s="24">
        <f>SUM(F3:F27)+F30+SUM(F31:F38)</f>
        <v>11032</v>
      </c>
      <c r="G39" s="25"/>
      <c r="H39" s="25">
        <f>SUM(H3:H38)</f>
        <v>24817863</v>
      </c>
      <c r="I39" s="22"/>
      <c r="J39" s="22"/>
      <c r="K39" s="23"/>
      <c r="L39" s="22"/>
      <c r="M39" s="16">
        <f>SUM(M3:M38)</f>
        <v>2129704.2804</v>
      </c>
      <c r="N39" s="21"/>
      <c r="O39" s="20">
        <f>SUM(O3:O38)</f>
        <v>0</v>
      </c>
      <c r="P39" s="19"/>
      <c r="Q39" s="16">
        <f>SUM(Q3:Q38)</f>
        <v>0</v>
      </c>
      <c r="R39" s="18" t="e">
        <f>S39/Q39</f>
        <v>#DIV/0!</v>
      </c>
      <c r="S39" s="17">
        <f>SUM(S3:S38)</f>
        <v>0</v>
      </c>
      <c r="T39" s="16"/>
      <c r="U39" s="16">
        <f>SUM(U3:U38)</f>
        <v>16291406.77</v>
      </c>
      <c r="V39" s="15">
        <f>SUM(V3:V38)</f>
        <v>6352487.7750000004</v>
      </c>
      <c r="W39" s="14"/>
      <c r="X39" s="13">
        <f>SUM(X3:X38)</f>
        <v>1577610.9400000002</v>
      </c>
      <c r="Y39" s="13"/>
      <c r="Z39" s="13">
        <f>SUM(Z3:Z38)</f>
        <v>-1577610.9400000002</v>
      </c>
      <c r="AA39" s="12" t="e">
        <f>U39/Q39</f>
        <v>#DIV/0!</v>
      </c>
      <c r="AB39" s="11">
        <f>M39/X39</f>
        <v>1.3499553194021334</v>
      </c>
    </row>
    <row r="40" spans="1:32" ht="18.75" customHeight="1" x14ac:dyDescent="0.35">
      <c r="A40" s="6"/>
      <c r="B40" s="6"/>
      <c r="C40" s="6"/>
      <c r="D40" s="113"/>
      <c r="E40" s="7"/>
      <c r="F40" s="8"/>
      <c r="G40" s="8"/>
      <c r="H40" s="8"/>
      <c r="I40" s="7"/>
      <c r="J40" s="7"/>
      <c r="K40" s="10"/>
      <c r="L40" s="7"/>
      <c r="M40" s="7"/>
      <c r="N40" s="7"/>
      <c r="O40" s="7"/>
      <c r="P40" s="8"/>
      <c r="Q40" s="7"/>
      <c r="R40" s="8"/>
      <c r="S40" s="8"/>
      <c r="T40" s="7"/>
      <c r="U40" s="7"/>
      <c r="V40" s="9"/>
      <c r="W40" s="8"/>
      <c r="X40" s="7"/>
      <c r="Y40" s="7"/>
      <c r="Z40" s="7"/>
      <c r="AA40" s="7"/>
      <c r="AB40" s="6"/>
    </row>
    <row r="41" spans="1:32" x14ac:dyDescent="0.35">
      <c r="O41" s="4"/>
      <c r="S41" s="5"/>
      <c r="X41" s="4"/>
    </row>
    <row r="42" spans="1:32" x14ac:dyDescent="0.35">
      <c r="O42" s="4"/>
    </row>
  </sheetData>
  <mergeCells count="153">
    <mergeCell ref="O28:O30"/>
    <mergeCell ref="I1:O1"/>
    <mergeCell ref="P1:S1"/>
    <mergeCell ref="T1:Y1"/>
    <mergeCell ref="O3:O5"/>
    <mergeCell ref="P3:P5"/>
    <mergeCell ref="D1:H1"/>
    <mergeCell ref="Z1:AB1"/>
    <mergeCell ref="A3:A5"/>
    <mergeCell ref="B3:B5"/>
    <mergeCell ref="C3:C5"/>
    <mergeCell ref="D3:D5"/>
    <mergeCell ref="E3:E5"/>
    <mergeCell ref="AA3:AA5"/>
    <mergeCell ref="AB3:AB5"/>
    <mergeCell ref="AC3:AC5"/>
    <mergeCell ref="X3:X4"/>
    <mergeCell ref="Y3:Y5"/>
    <mergeCell ref="Z3:Z5"/>
    <mergeCell ref="B6:B7"/>
    <mergeCell ref="C6:C7"/>
    <mergeCell ref="G6:G7"/>
    <mergeCell ref="H6:H7"/>
    <mergeCell ref="O6:O7"/>
    <mergeCell ref="V3:V4"/>
    <mergeCell ref="W3:W4"/>
    <mergeCell ref="Q3:Q5"/>
    <mergeCell ref="R3:R5"/>
    <mergeCell ref="S3:S5"/>
    <mergeCell ref="T3:T4"/>
    <mergeCell ref="U3:U4"/>
    <mergeCell ref="G3:G4"/>
    <mergeCell ref="H3:H4"/>
    <mergeCell ref="D11:D12"/>
    <mergeCell ref="H11:H12"/>
    <mergeCell ref="AA6:AA7"/>
    <mergeCell ref="AB6:AB7"/>
    <mergeCell ref="B8:B9"/>
    <mergeCell ref="C8:C9"/>
    <mergeCell ref="O8:O9"/>
    <mergeCell ref="Z8:Z9"/>
    <mergeCell ref="V6:V7"/>
    <mergeCell ref="W6:W7"/>
    <mergeCell ref="X6:X7"/>
    <mergeCell ref="Y6:Y7"/>
    <mergeCell ref="Z6:Z7"/>
    <mergeCell ref="R6:R7"/>
    <mergeCell ref="S6:S7"/>
    <mergeCell ref="T6:T7"/>
    <mergeCell ref="U6:U7"/>
    <mergeCell ref="AA11:AA12"/>
    <mergeCell ref="AB11:AB12"/>
    <mergeCell ref="B13:B18"/>
    <mergeCell ref="C13:C18"/>
    <mergeCell ref="D13:D17"/>
    <mergeCell ref="G13:G17"/>
    <mergeCell ref="H13:H17"/>
    <mergeCell ref="O13:O17"/>
    <mergeCell ref="V11:V12"/>
    <mergeCell ref="W11:W12"/>
    <mergeCell ref="X11:X12"/>
    <mergeCell ref="Y11:Y12"/>
    <mergeCell ref="Z11:Z12"/>
    <mergeCell ref="O11:O12"/>
    <mergeCell ref="R11:R12"/>
    <mergeCell ref="T11:T12"/>
    <mergeCell ref="U11:U12"/>
    <mergeCell ref="B11:B12"/>
    <mergeCell ref="C11:C12"/>
    <mergeCell ref="Z13:Z17"/>
    <mergeCell ref="AA13:AA17"/>
    <mergeCell ref="AB13:AB17"/>
    <mergeCell ref="B19:B25"/>
    <mergeCell ref="C19:C25"/>
    <mergeCell ref="D19:D21"/>
    <mergeCell ref="G19:G21"/>
    <mergeCell ref="H19:H21"/>
    <mergeCell ref="T13:T17"/>
    <mergeCell ref="U13:U17"/>
    <mergeCell ref="V13:V17"/>
    <mergeCell ref="W13:W17"/>
    <mergeCell ref="X13:X17"/>
    <mergeCell ref="Y13:Y17"/>
    <mergeCell ref="P13:P17"/>
    <mergeCell ref="Q13:Q17"/>
    <mergeCell ref="R13:R17"/>
    <mergeCell ref="S13:S17"/>
    <mergeCell ref="AB19:AB21"/>
    <mergeCell ref="S19:S21"/>
    <mergeCell ref="G22:G25"/>
    <mergeCell ref="H22:H25"/>
    <mergeCell ref="O22:O25"/>
    <mergeCell ref="X19:X21"/>
    <mergeCell ref="Y19:Y21"/>
    <mergeCell ref="Z19:Z21"/>
    <mergeCell ref="AA19:AA21"/>
    <mergeCell ref="Z22:Z25"/>
    <mergeCell ref="AA22:AA25"/>
    <mergeCell ref="T19:T21"/>
    <mergeCell ref="U19:U21"/>
    <mergeCell ref="V19:V21"/>
    <mergeCell ref="W19:W21"/>
    <mergeCell ref="O19:O21"/>
    <mergeCell ref="P19:P21"/>
    <mergeCell ref="Q19:Q21"/>
    <mergeCell ref="R19:R21"/>
    <mergeCell ref="AB22:AB25"/>
    <mergeCell ref="B28:B30"/>
    <mergeCell ref="C28:C30"/>
    <mergeCell ref="D28:D30"/>
    <mergeCell ref="G28:G30"/>
    <mergeCell ref="H28:H30"/>
    <mergeCell ref="T22:T25"/>
    <mergeCell ref="U22:U25"/>
    <mergeCell ref="V22:V25"/>
    <mergeCell ref="W22:W25"/>
    <mergeCell ref="X22:X25"/>
    <mergeCell ref="Y22:Y25"/>
    <mergeCell ref="P22:P25"/>
    <mergeCell ref="Q22:Q25"/>
    <mergeCell ref="R22:R25"/>
    <mergeCell ref="S22:S25"/>
    <mergeCell ref="D22:D25"/>
    <mergeCell ref="AA28:AA30"/>
    <mergeCell ref="AB28:AB30"/>
    <mergeCell ref="W28:W30"/>
    <mergeCell ref="X28:X30"/>
    <mergeCell ref="Y28:Y30"/>
    <mergeCell ref="Z28:Z30"/>
    <mergeCell ref="R28:R30"/>
    <mergeCell ref="T28:T30"/>
    <mergeCell ref="U28:U30"/>
    <mergeCell ref="V28:V30"/>
    <mergeCell ref="Z31:Z37"/>
    <mergeCell ref="AA31:AA37"/>
    <mergeCell ref="AB31:AB37"/>
    <mergeCell ref="B39:E39"/>
    <mergeCell ref="U31:U37"/>
    <mergeCell ref="V31:V37"/>
    <mergeCell ref="W31:W37"/>
    <mergeCell ref="X31:X37"/>
    <mergeCell ref="Y31:Y37"/>
    <mergeCell ref="P31:P37"/>
    <mergeCell ref="Q31:Q37"/>
    <mergeCell ref="R31:R37"/>
    <mergeCell ref="S31:S37"/>
    <mergeCell ref="T31:T37"/>
    <mergeCell ref="B31:B37"/>
    <mergeCell ref="C31:C37"/>
    <mergeCell ref="D31:D37"/>
    <mergeCell ref="G31:G37"/>
    <mergeCell ref="H31:H37"/>
    <mergeCell ref="O31:O37"/>
  </mergeCells>
  <pageMargins left="0.70866141732283472" right="0.70866141732283472" top="0.74803149606299213" bottom="0.74803149606299213" header="0.31496062992125984" footer="0.31496062992125984"/>
  <pageSetup paperSize="8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Etat Patrimonial</vt:lpstr>
      <vt:lpstr>'Etat Patrimonial'!Zone_d_impression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Etat Patrimonial</dc:title>
  <dc:creator>AS</dc:creator>
  <cp:lastModifiedBy>Antoine FINDEV</cp:lastModifiedBy>
  <cp:lastPrinted>2025-01-03T12:36:31Z</cp:lastPrinted>
  <dcterms:created xsi:type="dcterms:W3CDTF">2024-10-23T12:46:33Z</dcterms:created>
  <dcterms:modified xsi:type="dcterms:W3CDTF">2025-09-15T19:44:14Z</dcterms:modified>
</cp:coreProperties>
</file>