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cairui\Downloads\"/>
    </mc:Choice>
  </mc:AlternateContent>
  <xr:revisionPtr revIDLastSave="0" documentId="13_ncr:1_{E8D703FC-3CF5-418E-8C60-D2B6520CD334}" xr6:coauthVersionLast="47" xr6:coauthVersionMax="47" xr10:uidLastSave="{00000000-0000-0000-0000-000000000000}"/>
  <bookViews>
    <workbookView xWindow="-120" yWindow="-120" windowWidth="29040" windowHeight="15720" xr2:uid="{00000000-000D-0000-FFFF-FFFF00000000}"/>
  </bookViews>
  <sheets>
    <sheet name="有存货的企业" sheetId="1" r:id="rId1"/>
    <sheet name="利润表" sheetId="3" r:id="rId2"/>
    <sheet name="服务业"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3" l="1"/>
  <c r="M27" i="3"/>
  <c r="R11" i="3"/>
  <c r="U9" i="3"/>
  <c r="U12" i="3" s="1"/>
  <c r="T9" i="3"/>
  <c r="T12" i="3" s="1"/>
  <c r="S9" i="3"/>
  <c r="S12" i="3" s="1"/>
  <c r="R9" i="3"/>
  <c r="Q9" i="3"/>
  <c r="U8" i="3"/>
  <c r="U11" i="3" s="1"/>
  <c r="R8" i="3"/>
  <c r="Q8" i="3"/>
  <c r="Q11" i="3" s="1"/>
  <c r="U7" i="3"/>
  <c r="U10" i="3" s="1"/>
  <c r="U13" i="3" s="1"/>
  <c r="T7" i="3"/>
  <c r="S7" i="3"/>
  <c r="R7" i="3"/>
  <c r="R10" i="3" s="1"/>
  <c r="R13" i="3" s="1"/>
  <c r="Q7" i="3"/>
  <c r="Q12" i="3" s="1"/>
  <c r="M2" i="3"/>
  <c r="M25" i="3"/>
  <c r="K7" i="3"/>
  <c r="K6" i="3"/>
  <c r="K5" i="3"/>
  <c r="L9" i="3" s="1"/>
  <c r="M11" i="3" s="1"/>
  <c r="M12" i="3" s="1"/>
  <c r="M26" i="3" s="1"/>
  <c r="E78" i="3"/>
  <c r="D72" i="3"/>
  <c r="E74" i="3" s="1"/>
  <c r="E75" i="3" s="1"/>
  <c r="E80" i="3" s="1"/>
  <c r="E62" i="3"/>
  <c r="D55" i="3"/>
  <c r="E57" i="3" s="1"/>
  <c r="E58" i="3" s="1"/>
  <c r="E63" i="3" s="1"/>
  <c r="E46" i="3"/>
  <c r="D42" i="3"/>
  <c r="E44" i="3" s="1"/>
  <c r="E45" i="3" s="1"/>
  <c r="C222" i="1"/>
  <c r="C226" i="1" s="1"/>
  <c r="H226" i="1"/>
  <c r="C223" i="1"/>
  <c r="C225" i="1" s="1"/>
  <c r="K207" i="1"/>
  <c r="F208" i="1" s="1"/>
  <c r="H207" i="1"/>
  <c r="K206" i="1"/>
  <c r="C211" i="1"/>
  <c r="C213" i="1" s="1"/>
  <c r="C210" i="1"/>
  <c r="R191" i="1"/>
  <c r="N200" i="1"/>
  <c r="S192" i="1"/>
  <c r="S194" i="1" s="1"/>
  <c r="N198" i="1"/>
  <c r="M192" i="1"/>
  <c r="N194" i="1" s="1"/>
  <c r="N195" i="1" s="1"/>
  <c r="H194" i="1"/>
  <c r="H200" i="1" s="1"/>
  <c r="C197" i="1"/>
  <c r="C199" i="1" s="1"/>
  <c r="C196" i="1"/>
  <c r="C200" i="1" s="1"/>
  <c r="K179" i="1"/>
  <c r="K180" i="1" s="1"/>
  <c r="L178" i="1" s="1"/>
  <c r="H188" i="1"/>
  <c r="C188" i="1"/>
  <c r="F167" i="1"/>
  <c r="H176" i="1" s="1"/>
  <c r="C176" i="1"/>
  <c r="H168" i="1"/>
  <c r="U161" i="1"/>
  <c r="T154" i="1"/>
  <c r="U156" i="1" s="1"/>
  <c r="U157" i="1" s="1"/>
  <c r="H160" i="1"/>
  <c r="C160" i="1"/>
  <c r="N146" i="1"/>
  <c r="N148" i="1" s="1"/>
  <c r="C141" i="1"/>
  <c r="F141" i="1"/>
  <c r="C148" i="1"/>
  <c r="Q143" i="1"/>
  <c r="Q142" i="1"/>
  <c r="N134" i="1"/>
  <c r="N136" i="1" s="1"/>
  <c r="H137" i="1"/>
  <c r="C137" i="1"/>
  <c r="N125" i="1"/>
  <c r="N127" i="1" s="1"/>
  <c r="C122" i="1"/>
  <c r="C121" i="1"/>
  <c r="C127" i="1"/>
  <c r="H127" i="1"/>
  <c r="U111" i="1"/>
  <c r="T107" i="1"/>
  <c r="U109" i="1" s="1"/>
  <c r="U110" i="1" s="1"/>
  <c r="U112" i="1" s="1"/>
  <c r="O111" i="1"/>
  <c r="C109" i="1"/>
  <c r="L98" i="1"/>
  <c r="C101" i="1"/>
  <c r="C100" i="1"/>
  <c r="H115" i="1"/>
  <c r="C115" i="1"/>
  <c r="C106" i="1"/>
  <c r="L97" i="1"/>
  <c r="L99" i="1" s="1"/>
  <c r="H106" i="1"/>
  <c r="C93" i="1"/>
  <c r="C97" i="1" s="1"/>
  <c r="F91" i="1"/>
  <c r="O93" i="1"/>
  <c r="O92" i="1"/>
  <c r="O91" i="1"/>
  <c r="H92" i="1"/>
  <c r="H97" i="1" s="1"/>
  <c r="E3" i="2"/>
  <c r="D13" i="2"/>
  <c r="E15" i="2" s="1"/>
  <c r="D6" i="2"/>
  <c r="D5" i="2"/>
  <c r="E8" i="2"/>
  <c r="E9" i="2" s="1"/>
  <c r="W68" i="1"/>
  <c r="W82" i="1"/>
  <c r="U71" i="1"/>
  <c r="P82" i="1"/>
  <c r="O75" i="1"/>
  <c r="N72" i="1"/>
  <c r="U72" i="1" s="1"/>
  <c r="N71" i="1"/>
  <c r="H82" i="1"/>
  <c r="H86" i="1" s="1"/>
  <c r="C80" i="1"/>
  <c r="C86" i="1" s="1"/>
  <c r="H72" i="1"/>
  <c r="C70" i="1"/>
  <c r="C75" i="1" s="1"/>
  <c r="F71" i="1"/>
  <c r="H75" i="1"/>
  <c r="K51" i="1"/>
  <c r="K52" i="1"/>
  <c r="K53" i="1" s="1"/>
  <c r="H48" i="1"/>
  <c r="N36" i="1"/>
  <c r="N35" i="1"/>
  <c r="C28" i="1"/>
  <c r="T15" i="1"/>
  <c r="F19" i="1"/>
  <c r="F27" i="1" s="1"/>
  <c r="H31" i="1" s="1"/>
  <c r="K21" i="1"/>
  <c r="K13" i="1"/>
  <c r="T2" i="1" s="1"/>
  <c r="C7" i="1"/>
  <c r="H9" i="1"/>
  <c r="C9" i="1"/>
  <c r="N7" i="1"/>
  <c r="R5" i="1" s="1"/>
  <c r="N6" i="1"/>
  <c r="R6" i="1" s="1"/>
  <c r="H4" i="1"/>
  <c r="C4" i="1"/>
  <c r="Q10" i="3" l="1"/>
  <c r="Q13" i="3" s="1"/>
  <c r="R12" i="3"/>
  <c r="S8" i="3"/>
  <c r="S11" i="3" s="1"/>
  <c r="T8" i="3"/>
  <c r="T11" i="3" s="1"/>
  <c r="E47" i="3"/>
  <c r="K208" i="1"/>
  <c r="H208" i="1"/>
  <c r="H214" i="1" s="1"/>
  <c r="C214" i="1"/>
  <c r="P68" i="1"/>
  <c r="V74" i="1"/>
  <c r="W76" i="1" s="1"/>
  <c r="W77" i="1" s="1"/>
  <c r="W83" i="1" s="1"/>
  <c r="C55" i="1"/>
  <c r="C64" i="1" s="1"/>
  <c r="C66" i="1" s="1"/>
  <c r="C37" i="1"/>
  <c r="C45" i="1" s="1"/>
  <c r="C46" i="1" s="1"/>
  <c r="H54" i="1" s="1"/>
  <c r="H143" i="1"/>
  <c r="H148" i="1" s="1"/>
  <c r="L179" i="1"/>
  <c r="L180" i="1" s="1"/>
  <c r="M178" i="1" s="1"/>
  <c r="M179" i="1" s="1"/>
  <c r="M180" i="1" s="1"/>
  <c r="N178" i="1" s="1"/>
  <c r="N179" i="1" s="1"/>
  <c r="N180" i="1" s="1"/>
  <c r="O178" i="1" s="1"/>
  <c r="O179" i="1" s="1"/>
  <c r="O180" i="1" s="1"/>
  <c r="P178" i="1" s="1"/>
  <c r="U162" i="1"/>
  <c r="N107" i="1"/>
  <c r="O109" i="1" s="1"/>
  <c r="O110" i="1" s="1"/>
  <c r="O112" i="1" s="1"/>
  <c r="E16" i="2"/>
  <c r="N8" i="1"/>
  <c r="L11" i="1" s="1"/>
  <c r="K14" i="1" s="1"/>
  <c r="C15" i="1" s="1"/>
  <c r="S8" i="1" s="1"/>
  <c r="N69" i="1" s="1"/>
  <c r="O74" i="1" s="1"/>
  <c r="P76" i="1" s="1"/>
  <c r="P77" i="1" s="1"/>
  <c r="P83" i="1" s="1"/>
  <c r="F36" i="1"/>
  <c r="H40" i="1" s="1"/>
  <c r="S7" i="1"/>
  <c r="T9" i="1" s="1"/>
  <c r="T10" i="1" s="1"/>
  <c r="T16" i="1" s="1"/>
  <c r="C14" i="1"/>
  <c r="K15" i="1"/>
  <c r="H15" i="1" s="1"/>
  <c r="T10" i="3" l="1"/>
  <c r="T13" i="3" s="1"/>
  <c r="S10" i="3"/>
  <c r="S13" i="3" s="1"/>
  <c r="H63" i="1"/>
  <c r="H66" i="1" s="1"/>
  <c r="H57" i="1"/>
  <c r="P179" i="1"/>
  <c r="P180" i="1" s="1"/>
  <c r="Q178" i="1" s="1"/>
  <c r="Q179" i="1" s="1"/>
  <c r="Q180" i="1" s="1"/>
  <c r="R178" i="1" s="1"/>
  <c r="R179" i="1" s="1"/>
  <c r="R180" i="1" s="1"/>
  <c r="S178" i="1" s="1"/>
  <c r="H16" i="1"/>
  <c r="H20" i="1"/>
  <c r="H22" i="1" s="1"/>
  <c r="C16" i="1"/>
  <c r="C19" i="1"/>
  <c r="S179" i="1" l="1"/>
  <c r="S180" i="1" s="1"/>
  <c r="T178" i="1" s="1"/>
  <c r="C22" i="1"/>
  <c r="C27" i="1"/>
  <c r="T179" i="1" l="1"/>
  <c r="T180" i="1"/>
  <c r="C31" i="1"/>
  <c r="C36" i="1"/>
  <c r="C44" i="1" l="1"/>
  <c r="C40" i="1"/>
  <c r="C48" i="1" l="1"/>
  <c r="C52" i="1"/>
  <c r="C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tc={949C8954-4E07-4A98-BEA0-6675865FB423}</author>
    <author>tc={99B5500B-A9FC-4273-993F-7D9B1B6E887F}</author>
    <author>tc={42AE84E5-E6D6-4F3E-9CB6-976456754743}</author>
    <author>tc={5C14BB9B-6354-4326-A376-994FF702A319}</author>
    <author>tc={46500B59-DDCC-415E-8387-94BD7A95226C}</author>
    <author>tc={1A0CE7D1-5554-4E0D-8BF2-4BB5D2FE28C0}</author>
    <author>tc={495AFD7A-9924-4954-A229-B1077BF6016B}</author>
    <author>tc={02690845-E8B6-4794-BB2D-DB1252A93B1B}</author>
    <author>tc={5610E856-456F-405F-9EC3-E1BCB8A72036}</author>
    <author>tc={36291E7E-0B98-4BC4-A1C1-BDC01C13D407}</author>
    <author>tc={C50FA38B-911C-455C-B36C-DFE01CE577FD}</author>
    <author>tc={14D67D52-8C2F-46F3-8549-93654A4459C2}</author>
    <author>tc={16596BEC-1699-4F4B-8410-F1F2CB91CAE7}</author>
    <author>tc={7A0A6F76-4C9E-4DF6-9783-26F13F23164F}</author>
    <author>tc={8EBDAE05-92DA-4FF0-8B98-F2C2AF98E2AC}</author>
  </authors>
  <commentList>
    <comment ref="E1" authorId="0" shapeId="0" xr:uid="{949C8954-4E07-4A98-BEA0-6675865FB423}">
      <text>
        <t>[Threaded comment]
Your version of Excel allows you to read this threaded comment; however, any edits to it will get removed if the file is opened in a newer version of Excel. Learn more: https://go.microsoft.com/fwlink/?linkid=870924
Comment:
    负债（我们欠别人的）</t>
      </text>
    </comment>
    <comment ref="G1" authorId="1" shapeId="0" xr:uid="{99B5500B-A9FC-4273-993F-7D9B1B6E887F}">
      <text>
        <t>[Threaded comment]
Your version of Excel allows you to read this threaded comment; however, any edits to it will get removed if the file is opened in a newer version of Excel. Learn more: https://go.microsoft.com/fwlink/?linkid=870924
Comment:
    所有者权益（你自己拥有的）​。</t>
      </text>
    </comment>
    <comment ref="B18" authorId="2" shapeId="0" xr:uid="{42AE84E5-E6D6-4F3E-9CB6-976456754743}">
      <text>
        <t>[Threaded comment]
Your version of Excel allows you to read this threaded comment; however, any edits to it will get removed if the file is opened in a newer version of Excel. Learn more: https://go.microsoft.com/fwlink/?linkid=870924
Comment:
    资产负债表的编制目的就是在人和物之间建立一种联系，它表明了你在生意中所拥有的东西，以及这些东西与那些拥有它的人或对此有要求权的人们之间的关系。</t>
      </text>
    </comment>
    <comment ref="J21" authorId="3" shapeId="0" xr:uid="{5C14BB9B-6354-4326-A376-994FF702A319}">
      <text>
        <t>[Threaded comment]
Your version of Excel allows you to read this threaded comment; however, any edits to it will get removed if the file is opened in a newer version of Excel. Learn more: https://go.microsoft.com/fwlink/?linkid=870924
Comment:
    费用减少了盈利</t>
      </text>
    </comment>
    <comment ref="E36" authorId="4" shapeId="0" xr:uid="{46500B59-DDCC-415E-8387-94BD7A95226C}">
      <text>
        <t>[Threaded comment]
Your version of Excel allows you to read this threaded comment; however, any edits to it will get removed if the file is opened in a newer version of Excel. Learn more: https://go.microsoft.com/fwlink/?linkid=870924
Comment:
    应付票据而获得现金，因应付账款而获得商品或服务。
应付账款的还款期限较短，通常是30天。应付票据的还款期限较长，可能会长达几年。这就是应付账款被列在负债类首位的原因，负债项目的排列通常根据各类债务到期的期限长短来列示。</t>
      </text>
    </comment>
    <comment ref="E37" authorId="5" shapeId="0" xr:uid="{1A0CE7D1-5554-4E0D-8BF2-4BB5D2FE28C0}">
      <text>
        <t>[Threaded comment]
Your version of Excel allows you to read this threaded comment; however, any edits to it will get removed if the file is opened in a newer version of Excel. Learn more: https://go.microsoft.com/fwlink/?linkid=870924
Comment:
    往往需要利息</t>
      </text>
    </comment>
    <comment ref="B46" authorId="6" shapeId="0" xr:uid="{495AFD7A-9924-4954-A229-B1077BF6016B}">
      <text>
        <t>[Threaded comment]
Your version of Excel allows you to read this threaded comment; however, any edits to it will get removed if the file is opened in a newer version of Excel. Learn more: https://go.microsoft.com/fwlink/?linkid=870924
Comment:
    产品制作的人工费被“捆绑”在存货里面了。这1美元人工费将一直放在存货里，直到产品出售后才被计为费用。这也就是公司通常都会严控存货数量并且希望其尽快出售的原因之一。</t>
      </text>
    </comment>
    <comment ref="B55" authorId="7" shapeId="0" xr:uid="{02690845-E8B6-4794-BB2D-DB1252A93B1B}">
      <text>
        <t>[Threaded comment]
Your version of Excel allows you to read this threaded comment; however, any edits to it will get removed if the file is opened in a newer version of Excel. Learn more: https://go.microsoft.com/fwlink/?linkid=870924
Comment:
    为了获得更高的销售额。</t>
      </text>
    </comment>
    <comment ref="L67" authorId="8" shapeId="0" xr:uid="{5610E856-456F-405F-9EC3-E1BCB8A72036}">
      <text>
        <t>[Threaded comment]
Your version of Excel allows you to read this threaded comment; however, any edits to it will get removed if the file is opened in a newer version of Excel. Learn more: https://go.microsoft.com/fwlink/?linkid=870924
Comment:
    带给银行家或投资人看，它的结果看起来更好点，其结果有着更多的利润。
更准确的反应交易发生</t>
      </text>
    </comment>
    <comment ref="S67" authorId="9" shapeId="0" xr:uid="{36291E7E-0B98-4BC4-A1C1-BDC01C13D407}">
      <text>
        <t>[Threaded comment]
Your version of Excel allows you to read this threaded comment; however, any edits to it will get removed if the file is opened in a newer version of Excel. Learn more: https://go.microsoft.com/fwlink/?linkid=870924
Comment:
    合理避税，延期纳税等于税收减少，有存货的公司不可以这么做，因为可以在年底全换成现金。</t>
      </text>
    </comment>
    <comment ref="A108" authorId="10" shapeId="0" xr:uid="{C50FA38B-911C-455C-B36C-DFE01CE577FD}">
      <text>
        <t>[Threaded comment]
Your version of Excel allows you to read this threaded comment; however, any edits to it will get removed if the file is opened in a newer version of Excel. Learn more: https://go.microsoft.com/fwlink/?linkid=870924
Comment:
    后进先出法是会计核算方法上的一种创新。在实践中，你应该总会使用那些先购入的柠檬，在后进先出法下，你仅仅是“假装”在使用那些新购入的柠檬。实际上，你使用的是旧的柠檬但其价值是按照新购入的那批来计算的。正如我们之前所提到的，这仅仅是出于节税目的而创造的一种会计核算方法。</t>
      </text>
    </comment>
    <comment ref="A129" authorId="11" shapeId="0" xr:uid="{14D67D52-8C2F-46F3-8549-93654A4459C2}">
      <text>
        <t>[Threaded comment]
Your version of Excel allows you to read this threaded comment; however, any edits to it will get removed if the file is opened in a newer version of Excel. Learn more: https://go.microsoft.com/fwlink/?linkid=870924
Comment:
    因为这是一项价值较大且使用周期较长的支出。
Reply:
    一般说来，价值大的采购支出使资产增加，从而被放入资产负债表中，即资本化。</t>
      </text>
    </comment>
    <comment ref="A132" authorId="12" shapeId="0" xr:uid="{16596BEC-1699-4F4B-8410-F1F2CB91CAE7}">
      <text>
        <t>[Threaded comment]
Your version of Excel allows you to read this threaded comment; however, any edits to it will get removed if the file is opened in a newer version of Excel. Learn more: https://go.microsoft.com/fwlink/?linkid=870924
Comment:
    如果一样东西的增加能延长一项固定资产的寿命或增加其价值、性能，你就需要将之资本化。所以，现在柠檬汁摊的价值因洗涤槽的存在而增加，该项支出就是资本性支出。</t>
      </text>
    </comment>
    <comment ref="A133" authorId="13" shapeId="0" xr:uid="{7A0A6F76-4C9E-4DF6-9783-26F13F23164F}">
      <text>
        <t>[Threaded comment]
Your version of Excel allows you to read this threaded comment; however, any edits to it will get removed if the file is opened in a newer version of Excel. Learn more: https://go.microsoft.com/fwlink/?linkid=870924
Comment:
    当你不得不增加一个新的顶棚时，才是资本性改良支出。</t>
      </text>
    </comment>
    <comment ref="A151" authorId="14" shapeId="0" xr:uid="{8EBDAE05-92DA-4FF0-8B98-F2C2AF98E2AC}">
      <text>
        <t>[Threaded comment]
Your version of Excel allows you to read this threaded comment; however, any edits to it will get removed if the file is opened in a newer version of Excel. Learn more: https://go.microsoft.com/fwlink/?linkid=870924
Comment:
    这是本书中首次出现一项费用的发生没有影响到现金流的情况。</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tc={3EB29EE3-C540-45F1-A2DE-3AFD0E77CE28}</author>
  </authors>
  <commentList>
    <comment ref="A18" authorId="0" shapeId="0" xr:uid="{3EB29EE3-C540-45F1-A2DE-3AFD0E77CE28}">
      <text>
        <t>[Threaded comment]
Your version of Excel allows you to read this threaded comment; however, any edits to it will get removed if the file is opened in a newer version of Excel. Learn more: https://go.microsoft.com/fwlink/?linkid=870924
Comment:
    带给银行家或投资人看，它的结果看起来更好点，其结果有着更多的利润。
更准确的反应交易发生</t>
      </text>
    </comment>
  </commentList>
</comments>
</file>

<file path=xl/sharedStrings.xml><?xml version="1.0" encoding="utf-8"?>
<sst xmlns="http://schemas.openxmlformats.org/spreadsheetml/2006/main" count="724" uniqueCount="186">
  <si>
    <t>ASSET</t>
  </si>
  <si>
    <t>LIABILITY</t>
  </si>
  <si>
    <t>EQUITY</t>
  </si>
  <si>
    <t>现金</t>
  </si>
  <si>
    <t>应付票据</t>
  </si>
  <si>
    <t>初始投资</t>
  </si>
  <si>
    <t>总资产</t>
  </si>
  <si>
    <t>总负债及所有者权益</t>
  </si>
  <si>
    <t>做生意的启动资金</t>
  </si>
  <si>
    <t>材料：</t>
  </si>
  <si>
    <t>柠檬</t>
  </si>
  <si>
    <t>白糖</t>
  </si>
  <si>
    <t>合计</t>
  </si>
  <si>
    <t>存货</t>
  </si>
  <si>
    <t>买原料</t>
  </si>
  <si>
    <t>一共60杯</t>
  </si>
  <si>
    <t>单杯成本</t>
  </si>
  <si>
    <t>销售50杯</t>
  </si>
  <si>
    <t>销售收入</t>
  </si>
  <si>
    <t>销售成本</t>
  </si>
  <si>
    <t>单杯定价</t>
  </si>
  <si>
    <t>毛利</t>
  </si>
  <si>
    <t>本周盈利</t>
  </si>
  <si>
    <t>其他费用</t>
  </si>
  <si>
    <t>玻璃杯租金</t>
  </si>
  <si>
    <t>广告费</t>
  </si>
  <si>
    <t>场地租金</t>
  </si>
  <si>
    <t>总费用</t>
  </si>
  <si>
    <t>归还借款</t>
  </si>
  <si>
    <t>利润表</t>
  </si>
  <si>
    <t>期初存货</t>
  </si>
  <si>
    <t>“+原料采购”</t>
  </si>
  <si>
    <t>糖</t>
  </si>
  <si>
    <t>可供出售的商品</t>
  </si>
  <si>
    <t>“-期末存货”</t>
  </si>
  <si>
    <t>“=商品销售成本”</t>
  </si>
  <si>
    <t>“毛利=”</t>
  </si>
  <si>
    <t>费用</t>
  </si>
  <si>
    <t>“=总费用”</t>
  </si>
  <si>
    <t>净利润</t>
  </si>
  <si>
    <t>滚存利润</t>
  </si>
  <si>
    <t>留存收益</t>
  </si>
  <si>
    <t>银行贷款</t>
  </si>
  <si>
    <t>成本价清仓</t>
  </si>
  <si>
    <t>赊账买原材料</t>
  </si>
  <si>
    <t>应付账款</t>
  </si>
  <si>
    <t>支付方式</t>
  </si>
  <si>
    <t>赊账</t>
  </si>
  <si>
    <t>买原材料</t>
  </si>
  <si>
    <t>人工成本做柠檬汁</t>
  </si>
  <si>
    <t>存货-原材料-在产品-产成品</t>
  </si>
  <si>
    <t>存货-原材料</t>
  </si>
  <si>
    <t>存货-产成品</t>
  </si>
  <si>
    <t>人工成本做柠檬汁60杯</t>
  </si>
  <si>
    <t>40杯现金 20杯赊账</t>
  </si>
  <si>
    <t>应收账款</t>
  </si>
  <si>
    <t>营业收入</t>
  </si>
  <si>
    <t>坏账4元</t>
  </si>
  <si>
    <t>还一半贷款</t>
  </si>
  <si>
    <t>付利息</t>
  </si>
  <si>
    <t>买三年保险-摊销</t>
  </si>
  <si>
    <t>待摊费用</t>
  </si>
  <si>
    <t>“+人工成本”</t>
  </si>
  <si>
    <t>本年保险</t>
  </si>
  <si>
    <t>利润表-权责发生制</t>
  </si>
  <si>
    <t>利润表-收付实现制-交易事项以现金结算时才被记录。</t>
  </si>
  <si>
    <t>咨询公司</t>
  </si>
  <si>
    <t>服务行业利润表</t>
  </si>
  <si>
    <t>服务成本(营业成本)</t>
  </si>
  <si>
    <t>服务成本总额</t>
  </si>
  <si>
    <t>费用总额</t>
  </si>
  <si>
    <t>出差的交通费（汽油）6</t>
  </si>
  <si>
    <t>交通费</t>
  </si>
  <si>
    <t>每人每天2美元</t>
  </si>
  <si>
    <t>3天外勤</t>
  </si>
  <si>
    <t>管理费</t>
  </si>
  <si>
    <t>服务</t>
  </si>
  <si>
    <t>研发费</t>
  </si>
  <si>
    <t>材料演示3元</t>
  </si>
  <si>
    <t>给mike的管理费</t>
  </si>
  <si>
    <t>给两个咨询师非咨询时间</t>
  </si>
  <si>
    <t>研发课程</t>
  </si>
  <si>
    <t>咨询师的工资仅当其从事咨询项目时才计为服务成本</t>
  </si>
  <si>
    <t>他们从事咨询工作、管理性的工作及研发工作时的时间分配让我们认识到如何更有效率地利用他们的时间</t>
  </si>
  <si>
    <t>材料</t>
  </si>
  <si>
    <t>营业及市场费用</t>
  </si>
  <si>
    <t>库存原材料：</t>
  </si>
  <si>
    <t>L</t>
  </si>
  <si>
    <t>FIFO下，卖60杯饮料</t>
  </si>
  <si>
    <t>销售支出</t>
  </si>
  <si>
    <t>LIFO下，卖60杯饮料</t>
  </si>
  <si>
    <t>50杯现金销售</t>
  </si>
  <si>
    <t>10杯赊销</t>
  </si>
  <si>
    <t>25现金</t>
  </si>
  <si>
    <t>5赊销</t>
  </si>
  <si>
    <t>利润表-FIFO</t>
  </si>
  <si>
    <t>利润表-LIFO</t>
  </si>
  <si>
    <t>公司选择采用后进先出法的唯一目的在于节税！</t>
  </si>
  <si>
    <t>主要取决于公司的两大经营策略：公司的纳税筹划策略是什么？公司所处行业的产品价格走势如何</t>
  </si>
  <si>
    <t>收回款项5元</t>
  </si>
  <si>
    <t>现金流量表</t>
  </si>
  <si>
    <t>现金的流入</t>
  </si>
  <si>
    <t>购置存货的现金流出</t>
  </si>
  <si>
    <t>购置固定资产的现金投资</t>
  </si>
  <si>
    <t>费用的现金支付</t>
  </si>
  <si>
    <t>现金流量净额</t>
  </si>
  <si>
    <t>期初现金余额</t>
  </si>
  <si>
    <t>期末现金余额</t>
  </si>
  <si>
    <t>以8美元的价格收购了新店</t>
  </si>
  <si>
    <t>新地2元</t>
  </si>
  <si>
    <t>固定资产</t>
  </si>
  <si>
    <t>买油漆装修2元</t>
  </si>
  <si>
    <t>赊账买洗涤槽2元</t>
  </si>
  <si>
    <t>赊账修复顶棚1元</t>
  </si>
  <si>
    <t>对于一项支出，公司如何考虑其应该资本化还是费用化？取决于两个标准。</t>
  </si>
  <si>
    <t>1.时间。该项支出使公司受益的时间。一般都会将受益时间超过一年的支出作为资本性支出而若其受益期间仅在一年以内，就为费用性支出。</t>
  </si>
  <si>
    <t>2.成本。如果你买了个垃圾桶，它的使用寿命超过了一年，不会资本化。因为它的价值太微不足道了。</t>
  </si>
  <si>
    <t>花了20美元预制菜</t>
  </si>
  <si>
    <t>20美元100杯</t>
  </si>
  <si>
    <t>营业支出</t>
  </si>
  <si>
    <t>利润</t>
  </si>
  <si>
    <t>现金收入80杯 赊账20杯</t>
  </si>
  <si>
    <t>偿还白糖的四美元赊账</t>
  </si>
  <si>
    <t>归还本息27美元</t>
  </si>
  <si>
    <t>贷款</t>
  </si>
  <si>
    <t>固定资产-土地</t>
  </si>
  <si>
    <t>固定资产-其他</t>
  </si>
  <si>
    <t>折旧10%房子</t>
  </si>
  <si>
    <t>费用发生变化，但现金流没变！！！</t>
  </si>
  <si>
    <t>折旧是一项非付现费用，他只体现在账面上</t>
  </si>
  <si>
    <t>很妙的是，不需要支付现金，盈利和税收同时减少！</t>
  </si>
  <si>
    <t>柠檬汁</t>
  </si>
  <si>
    <t>利息</t>
  </si>
  <si>
    <t>折旧</t>
  </si>
  <si>
    <t>油漆、顶棚</t>
  </si>
  <si>
    <t>固定资产-设备</t>
  </si>
  <si>
    <t>固定资产-建筑</t>
  </si>
  <si>
    <t>买旅行车20刀</t>
  </si>
  <si>
    <t>花光现金并赊账 30</t>
  </si>
  <si>
    <t>维持企业日常经营的是现金</t>
  </si>
  <si>
    <t>equity仅仅反应股东对于资产占有的份额</t>
  </si>
  <si>
    <t>卖光了柠檬汁收入50刀</t>
  </si>
  <si>
    <t>给自己发工资4刀</t>
  </si>
  <si>
    <t>旅行车折旧-“双倍余额递减法”</t>
  </si>
  <si>
    <t>年数</t>
  </si>
  <si>
    <t>余额</t>
  </si>
  <si>
    <t>双倍折旧额</t>
  </si>
  <si>
    <t>资产价值</t>
  </si>
  <si>
    <t>可以减少当前的所得税</t>
  </si>
  <si>
    <t>加入12%税费</t>
  </si>
  <si>
    <t>流动资产合计</t>
  </si>
  <si>
    <t>固定资产原值</t>
  </si>
  <si>
    <t>累计折旧</t>
  </si>
  <si>
    <t>固定资产净值</t>
  </si>
  <si>
    <t>应付税金</t>
  </si>
  <si>
    <t>管理费用</t>
  </si>
  <si>
    <t>税费</t>
  </si>
  <si>
    <t>折旧不体现在现金流量上</t>
  </si>
  <si>
    <t>清算</t>
  </si>
  <si>
    <t>核销库存</t>
  </si>
  <si>
    <t>应交税费</t>
  </si>
  <si>
    <t>税后利润</t>
  </si>
  <si>
    <r>
      <t>在柠檬腐烂的时候，我们应该做什么？扔掉它们并在</t>
    </r>
    <r>
      <rPr>
        <sz val="11"/>
        <color rgb="FFFF0000"/>
        <rFont val="Calibri"/>
        <family val="2"/>
        <scheme val="minor"/>
      </rPr>
      <t>此刻</t>
    </r>
    <r>
      <rPr>
        <sz val="11"/>
        <color theme="1"/>
        <rFont val="Calibri"/>
        <family val="2"/>
        <scheme val="minor"/>
      </rPr>
      <t>从账面上核销它们，将它们的价值确认为一项损失。</t>
    </r>
  </si>
  <si>
    <t>陈旧存货应该清理</t>
  </si>
  <si>
    <t>应收账款应当检查账簿并打电话确认欠款</t>
  </si>
  <si>
    <t>待摊费用应当查阅相关合同确认签订日期</t>
  </si>
  <si>
    <t>固定资产也需要检查</t>
  </si>
  <si>
    <t>收回应收账款16</t>
  </si>
  <si>
    <t>支付所得税14</t>
  </si>
  <si>
    <t>付清应付账款32</t>
  </si>
  <si>
    <t>保险取消收回预付</t>
  </si>
  <si>
    <t>固定资产的处置：</t>
  </si>
  <si>
    <t>如果你以超过资产账面价值的价格将这些固定资产售出，你就需要确认出售资产的收益。如果它们以低于账面价值的价格被售出，就需要确认出售资产的损失。</t>
  </si>
  <si>
    <t>WEEK1</t>
  </si>
  <si>
    <t>WEEK2</t>
  </si>
  <si>
    <t>WEEK3</t>
  </si>
  <si>
    <t>WEEK4</t>
  </si>
  <si>
    <t>WEEK5</t>
  </si>
  <si>
    <t>总利润表</t>
  </si>
  <si>
    <t>销售收入、销售（服务）成本及费用是影响利润的三大因素。</t>
  </si>
  <si>
    <t>成本销售收入比率、费用销售收入比率以及净利率来做比较</t>
  </si>
  <si>
    <t>成本销售收入比</t>
  </si>
  <si>
    <t>费用销售收入比</t>
  </si>
  <si>
    <t>净利率</t>
  </si>
  <si>
    <t>税前利润</t>
  </si>
  <si>
    <t>所得税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</si>
</sst>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39997558519241921"/>
        <bgColor indexed="64"/>
      </patternFill>
    </fill>
  </fills>
  <borders count="30">
    <border>
      <left/>
      <right/>
      <top/>
      <bottom/>
      <diagonal/>
    </border>
    <border>
      <left/>
      <right/>
      <top style="thick">
        <color rgb="FFC00000"/>
      </top>
      <bottom/>
      <diagonal/>
    </border>
    <border>
      <left style="thick">
        <color rgb="FFC00000"/>
      </left>
      <right/>
      <top/>
      <bottom/>
      <diagonal/>
    </border>
    <border>
      <left/>
      <right/>
      <top/>
      <bottom style="thick">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right style="medium">
        <color rgb="FFC00000"/>
      </right>
      <top/>
      <bottom style="thick">
        <color rgb="FFC00000"/>
      </bottom>
      <diagonal/>
    </border>
    <border>
      <left style="medium">
        <color rgb="FFC00000"/>
      </left>
      <right/>
      <top/>
      <bottom style="medium">
        <color rgb="FFC00000"/>
      </bottom>
      <diagonal/>
    </border>
    <border>
      <left/>
      <right/>
      <top/>
      <bottom style="medium">
        <color rgb="FFC00000"/>
      </bottom>
      <diagonal/>
    </border>
    <border>
      <left style="thick">
        <color rgb="FFC00000"/>
      </left>
      <right style="medium">
        <color rgb="FFC00000"/>
      </right>
      <top/>
      <bottom style="medium">
        <color rgb="FFC00000"/>
      </bottom>
      <diagonal/>
    </border>
    <border>
      <left/>
      <right style="medium">
        <color rgb="FFC00000"/>
      </right>
      <top/>
      <bottom style="medium">
        <color rgb="FFC00000"/>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right style="thin">
        <color rgb="FFC00000"/>
      </right>
      <top/>
      <bottom style="thick">
        <color rgb="FFC00000"/>
      </bottom>
      <diagonal/>
    </border>
    <border>
      <left style="thin">
        <color rgb="FFC00000"/>
      </left>
      <right/>
      <top/>
      <bottom style="thin">
        <color rgb="FFC00000"/>
      </bottom>
      <diagonal/>
    </border>
    <border>
      <left/>
      <right/>
      <top/>
      <bottom style="thin">
        <color rgb="FFC00000"/>
      </bottom>
      <diagonal/>
    </border>
    <border>
      <left style="thick">
        <color rgb="FFC00000"/>
      </left>
      <right style="thin">
        <color rgb="FFC00000"/>
      </right>
      <top/>
      <bottom style="thin">
        <color rgb="FFC00000"/>
      </bottom>
      <diagonal/>
    </border>
    <border>
      <left style="medium">
        <color rgb="FFC00000"/>
      </left>
      <right style="thin">
        <color rgb="FFC00000"/>
      </right>
      <top style="medium">
        <color rgb="FFC00000"/>
      </top>
      <bottom style="thin">
        <color rgb="FFC00000"/>
      </bottom>
      <diagonal/>
    </border>
    <border>
      <left style="thick">
        <color rgb="FFC00000"/>
      </left>
      <right/>
      <top style="thick">
        <color rgb="FFC00000"/>
      </top>
      <bottom/>
      <diagonal/>
    </border>
    <border>
      <left/>
      <right style="thick">
        <color rgb="FFC00000"/>
      </right>
      <top style="thick">
        <color rgb="FFC00000"/>
      </top>
      <bottom/>
      <diagonal/>
    </border>
    <border>
      <left/>
      <right style="thick">
        <color rgb="FFC00000"/>
      </right>
      <top/>
      <bottom/>
      <diagonal/>
    </border>
    <border>
      <left style="thick">
        <color rgb="FFC00000"/>
      </left>
      <right/>
      <top/>
      <bottom style="thick">
        <color rgb="FFC00000"/>
      </bottom>
      <diagonal/>
    </border>
    <border>
      <left/>
      <right style="thick">
        <color rgb="FFC00000"/>
      </right>
      <top/>
      <bottom style="thick">
        <color rgb="FFC00000"/>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xf numFmtId="0" fontId="0" fillId="4" borderId="0" xfId="0" applyFill="1"/>
    <xf numFmtId="0" fontId="0" fillId="3" borderId="2" xfId="0" applyFill="1" applyBorder="1"/>
    <xf numFmtId="0" fontId="0" fillId="0" borderId="1" xfId="0" applyBorder="1"/>
    <xf numFmtId="0" fontId="0" fillId="0" borderId="2" xfId="0" applyBorder="1"/>
    <xf numFmtId="0" fontId="0" fillId="3" borderId="3" xfId="0" applyFill="1" applyBorder="1"/>
    <xf numFmtId="0" fontId="0" fillId="0" borderId="4" xfId="0" applyBorder="1" applyAlignment="1">
      <alignment horizontal="center"/>
    </xf>
    <xf numFmtId="0" fontId="0" fillId="5" borderId="0" xfId="0" applyFill="1"/>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4" borderId="0" xfId="0" applyFill="1" applyAlignment="1">
      <alignment horizontal="center"/>
    </xf>
    <xf numFmtId="0" fontId="0" fillId="8" borderId="0" xfId="0" applyFill="1"/>
    <xf numFmtId="0" fontId="0" fillId="8" borderId="0" xfId="0" applyFill="1" applyAlignment="1">
      <alignment horizontal="center"/>
    </xf>
    <xf numFmtId="0" fontId="0" fillId="4" borderId="4" xfId="0" applyFill="1" applyBorder="1" applyAlignment="1">
      <alignment horizontal="center"/>
    </xf>
    <xf numFmtId="0" fontId="0" fillId="3" borderId="4" xfId="0" applyFill="1" applyBorder="1"/>
    <xf numFmtId="0" fontId="0" fillId="9" borderId="0" xfId="0" applyFill="1"/>
    <xf numFmtId="0" fontId="0" fillId="10" borderId="0" xfId="0" applyFill="1"/>
    <xf numFmtId="0" fontId="0" fillId="0" borderId="8" xfId="0" applyBorder="1"/>
    <xf numFmtId="0" fontId="0" fillId="3" borderId="9" xfId="0" applyFill="1" applyBorder="1"/>
    <xf numFmtId="0" fontId="0" fillId="0" borderId="9" xfId="0" applyBorder="1"/>
    <xf numFmtId="0" fontId="0" fillId="3" borderId="10" xfId="0" applyFill="1" applyBorder="1"/>
    <xf numFmtId="0" fontId="0" fillId="0" borderId="11" xfId="0" applyBorder="1"/>
    <xf numFmtId="0" fontId="0" fillId="0" borderId="12" xfId="0" applyBorder="1"/>
    <xf numFmtId="0" fontId="0" fillId="3" borderId="13" xfId="0" applyFill="1" applyBorder="1"/>
    <xf numFmtId="0" fontId="0" fillId="8" borderId="0" xfId="0" applyFill="1" applyAlignment="1">
      <alignment wrapText="1"/>
    </xf>
    <xf numFmtId="0" fontId="0" fillId="3" borderId="14" xfId="0" applyFill="1" applyBorder="1"/>
    <xf numFmtId="0" fontId="0" fillId="10" borderId="0" xfId="0"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0" xfId="0" applyFont="1" applyAlignment="1">
      <alignment horizontal="center"/>
    </xf>
    <xf numFmtId="0" fontId="0" fillId="11" borderId="0" xfId="0" applyFill="1"/>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xf numFmtId="0" fontId="0" fillId="0" borderId="0" xfId="0" applyBorder="1"/>
    <xf numFmtId="0" fontId="0" fillId="3" borderId="19" xfId="0" applyFill="1" applyBorder="1"/>
    <xf numFmtId="0" fontId="0" fillId="4" borderId="0" xfId="0" applyFill="1" applyBorder="1"/>
    <xf numFmtId="0" fontId="0" fillId="0" borderId="19" xfId="0" applyBorder="1"/>
    <xf numFmtId="0" fontId="0" fillId="3" borderId="20" xfId="0" applyFill="1" applyBorder="1"/>
    <xf numFmtId="0" fontId="0" fillId="0" borderId="21" xfId="0" applyBorder="1"/>
    <xf numFmtId="0" fontId="0" fillId="0" borderId="22" xfId="0" applyBorder="1"/>
    <xf numFmtId="0" fontId="0" fillId="3" borderId="23" xfId="0" applyFill="1" applyBorder="1"/>
    <xf numFmtId="0" fontId="0" fillId="8" borderId="18" xfId="0" applyFill="1" applyBorder="1"/>
    <xf numFmtId="0" fontId="0" fillId="8" borderId="0" xfId="0" applyFill="1" applyBorder="1"/>
    <xf numFmtId="0" fontId="0" fillId="3" borderId="24" xfId="0" applyFill="1" applyBorder="1"/>
    <xf numFmtId="2" fontId="0" fillId="0" borderId="0" xfId="0" applyNumberFormat="1"/>
    <xf numFmtId="0" fontId="0" fillId="0" borderId="25" xfId="0" applyBorder="1" applyAlignment="1">
      <alignment horizontal="center"/>
    </xf>
    <xf numFmtId="0" fontId="0" fillId="0" borderId="1" xfId="0" applyBorder="1" applyAlignment="1">
      <alignment horizontal="center"/>
    </xf>
    <xf numFmtId="0" fontId="0" fillId="0" borderId="26" xfId="0" applyBorder="1" applyAlignment="1">
      <alignment horizontal="center"/>
    </xf>
    <xf numFmtId="0" fontId="0" fillId="3" borderId="27" xfId="0" applyFill="1" applyBorder="1"/>
    <xf numFmtId="0" fontId="0" fillId="0" borderId="27" xfId="0" applyBorder="1"/>
    <xf numFmtId="0" fontId="0" fillId="0" borderId="28" xfId="0" applyBorder="1"/>
    <xf numFmtId="0" fontId="0" fillId="0" borderId="3" xfId="0" applyBorder="1"/>
    <xf numFmtId="0" fontId="0" fillId="0" borderId="29" xfId="0" applyBorder="1"/>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i, Ruilin (external)" id="{1A772CFF-4B0A-4751-97D1-5FAE5D3E163E}" userId="S::Ruilin.Cai@external.webasto.com::993382a0-2991-4b27-bf60-ae4ba7a3ba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5-09-22T17:35:24.26" personId="{1A772CFF-4B0A-4751-97D1-5FAE5D3E163E}" id="{949C8954-4E07-4A98-BEA0-6675865FB423}">
    <text>负债（我们欠别人的）</text>
  </threadedComment>
  <threadedComment ref="G1" dT="2025-09-22T17:35:35.67" personId="{1A772CFF-4B0A-4751-97D1-5FAE5D3E163E}" id="{99B5500B-A9FC-4273-993F-7D9B1B6E887F}">
    <text>所有者权益（你自己拥有的）​。</text>
  </threadedComment>
  <threadedComment ref="B18" dT="2025-09-22T17:52:02.96" personId="{1A772CFF-4B0A-4751-97D1-5FAE5D3E163E}" id="{42AE84E5-E6D6-4F3E-9CB6-976456754743}">
    <text>资产负债表的编制目的就是在人和物之间建立一种联系，它表明了你在生意中所拥有的东西，以及这些东西与那些拥有它的人或对此有要求权的人们之间的关系。</text>
  </threadedComment>
  <threadedComment ref="J21" dT="2025-09-22T17:50:34.37" personId="{1A772CFF-4B0A-4751-97D1-5FAE5D3E163E}" id="{5C14BB9B-6354-4326-A376-994FF702A319}">
    <text>费用减少了盈利</text>
  </threadedComment>
  <threadedComment ref="E36" dT="2025-09-22T18:16:55.02" personId="{1A772CFF-4B0A-4751-97D1-5FAE5D3E163E}" id="{46500B59-DDCC-415E-8387-94BD7A95226C}">
    <text>应付票据而获得现金，因应付账款而获得商品或服务。
应付账款的还款期限较短，通常是30天。应付票据的还款期限较长，可能会长达几年。这就是应付账款被列在负债类首位的原因，负债项目的排列通常根据各类债务到期的期限长短来列示。</text>
  </threadedComment>
  <threadedComment ref="E37" dT="2025-09-22T18:18:21.34" personId="{1A772CFF-4B0A-4751-97D1-5FAE5D3E163E}" id="{1A0CE7D1-5554-4E0D-8BF2-4BB5D2FE28C0}">
    <text>往往需要利息</text>
  </threadedComment>
  <threadedComment ref="B46" dT="2025-09-22T18:23:55.24" personId="{1A772CFF-4B0A-4751-97D1-5FAE5D3E163E}" id="{495AFD7A-9924-4954-A229-B1077BF6016B}">
    <text>产品制作的人工费被“捆绑”在存货里面了。这1美元人工费将一直放在存货里，直到产品出售后才被计为费用。这也就是公司通常都会严控存货数量并且希望其尽快出售的原因之一。</text>
  </threadedComment>
  <threadedComment ref="B55" dT="2025-09-22T18:27:44.06" personId="{1A772CFF-4B0A-4751-97D1-5FAE5D3E163E}" id="{02690845-E8B6-4794-BB2D-DB1252A93B1B}">
    <text>为了获得更高的销售额。</text>
  </threadedComment>
  <threadedComment ref="L67" dT="2025-09-22T18:51:58.33" personId="{1A772CFF-4B0A-4751-97D1-5FAE5D3E163E}" id="{5610E856-456F-405F-9EC3-E1BCB8A72036}">
    <text>带给银行家或投资人看，它的结果看起来更好点，其结果有着更多的利润。
更准确的反应交易发生</text>
  </threadedComment>
  <threadedComment ref="S67" dT="2025-09-22T18:53:35.65" personId="{1A772CFF-4B0A-4751-97D1-5FAE5D3E163E}" id="{36291E7E-0B98-4BC4-A1C1-BDC01C13D407}">
    <text>合理避税，延期纳税等于税收减少，有存货的公司不可以这么做，因为可以在年底全换成现金。</text>
  </threadedComment>
  <threadedComment ref="A108" dT="2025-09-22T19:33:29.79" personId="{1A772CFF-4B0A-4751-97D1-5FAE5D3E163E}" id="{C50FA38B-911C-455C-B36C-DFE01CE577FD}">
    <text>后进先出法是会计核算方法上的一种创新。在实践中，你应该总会使用那些先购入的柠檬，在后进先出法下，你仅仅是“假装”在使用那些新购入的柠檬。实际上，你使用的是旧的柠檬但其价值是按照新购入的那批来计算的。正如我们之前所提到的，这仅仅是出于节税目的而创造的一种会计核算方法。</text>
  </threadedComment>
  <threadedComment ref="A129" dT="2025-09-22T19:41:32.83" personId="{1A772CFF-4B0A-4751-97D1-5FAE5D3E163E}" id="{14D67D52-8C2F-46F3-8549-93654A4459C2}">
    <text>因为这是一项价值较大且使用周期较长的支出。</text>
  </threadedComment>
  <threadedComment ref="A129" dT="2025-09-22T19:41:49.86" personId="{1A772CFF-4B0A-4751-97D1-5FAE5D3E163E}" id="{3B87C637-3124-4225-8B44-20E74D142373}" parentId="{14D67D52-8C2F-46F3-8549-93654A4459C2}">
    <text>一般说来，价值大的采购支出使资产增加，从而被放入资产负债表中，即资本化。</text>
  </threadedComment>
  <threadedComment ref="A132" dT="2025-09-22T19:45:45.89" personId="{1A772CFF-4B0A-4751-97D1-5FAE5D3E163E}" id="{16596BEC-1699-4F4B-8410-F1F2CB91CAE7}">
    <text>如果一样东西的增加能延长一项固定资产的寿命或增加其价值、性能，你就需要将之资本化。所以，现在柠檬汁摊的价值因洗涤槽的存在而增加，该项支出就是资本性支出。</text>
  </threadedComment>
  <threadedComment ref="A133" dT="2025-09-22T19:48:00.91" personId="{1A772CFF-4B0A-4751-97D1-5FAE5D3E163E}" id="{7A0A6F76-4C9E-4DF6-9783-26F13F23164F}">
    <text>当你不得不增加一个新的顶棚时，才是资本性改良支出。</text>
  </threadedComment>
  <threadedComment ref="A151" dT="2025-09-22T20:11:24.58" personId="{1A772CFF-4B0A-4751-97D1-5FAE5D3E163E}" id="{8EBDAE05-92DA-4FF0-8B98-F2C2AF98E2AC}">
    <text>这是本书中首次出现一项费用的发生没有影响到现金流的情况。</text>
  </threadedComment>
</ThreadedComments>
</file>

<file path=xl/threadedComments/threadedComment2.xml><?xml version="1.0" encoding="utf-8"?>
<ThreadedComments xmlns="http://schemas.microsoft.com/office/spreadsheetml/2018/threadedcomments" xmlns:x="http://schemas.openxmlformats.org/spreadsheetml/2006/main">
  <threadedComment ref="A18" dT="2025-09-22T18:51:58.33" personId="{1A772CFF-4B0A-4751-97D1-5FAE5D3E163E}" id="{3EB29EE3-C540-45F1-A2DE-3AFD0E77CE28}">
    <text>带给银行家或投资人看，它的结果看起来更好点，其结果有着更多的利润。
更准确的反应交易发生</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6"/>
  <sheetViews>
    <sheetView tabSelected="1" topLeftCell="A171" zoomScale="86" zoomScaleNormal="130" workbookViewId="0">
      <selection activeCell="S195" sqref="S195"/>
    </sheetView>
  </sheetViews>
  <sheetFormatPr defaultRowHeight="15" x14ac:dyDescent="0.25"/>
  <cols>
    <col min="1" max="1" width="31.42578125" customWidth="1"/>
    <col min="2" max="2" width="16" customWidth="1"/>
    <col min="4" max="4" width="0.85546875" style="3" customWidth="1"/>
    <col min="5" max="5" width="11.42578125" customWidth="1"/>
    <col min="6" max="6" width="15.28515625" customWidth="1"/>
    <col min="7" max="7" width="12.140625" customWidth="1"/>
    <col min="10" max="10" width="11.140625" customWidth="1"/>
    <col min="11" max="11" width="15.42578125" customWidth="1"/>
    <col min="16" max="16" width="16.5703125" customWidth="1"/>
    <col min="17" max="17" width="11.7109375" customWidth="1"/>
    <col min="18" max="18" width="8.42578125" customWidth="1"/>
    <col min="19" max="19" width="13.5703125" customWidth="1"/>
    <col min="23" max="23" width="10" customWidth="1"/>
  </cols>
  <sheetData>
    <row r="1" spans="1:21" x14ac:dyDescent="0.25">
      <c r="B1" s="36" t="s">
        <v>0</v>
      </c>
      <c r="C1" s="36"/>
      <c r="D1" s="5"/>
      <c r="E1" s="36" t="s">
        <v>1</v>
      </c>
      <c r="F1" s="36"/>
      <c r="G1" s="36" t="s">
        <v>2</v>
      </c>
      <c r="H1" s="36"/>
      <c r="P1" s="35" t="s">
        <v>29</v>
      </c>
      <c r="Q1" s="35"/>
      <c r="R1" s="35"/>
      <c r="S1" s="35"/>
      <c r="T1" s="35"/>
    </row>
    <row r="2" spans="1:21" x14ac:dyDescent="0.25">
      <c r="A2" t="s">
        <v>8</v>
      </c>
      <c r="B2" s="4" t="s">
        <v>3</v>
      </c>
      <c r="C2" s="4">
        <v>15</v>
      </c>
      <c r="D2" s="5"/>
      <c r="E2" s="4" t="s">
        <v>4</v>
      </c>
      <c r="F2" s="4">
        <v>10</v>
      </c>
      <c r="G2" s="4" t="s">
        <v>5</v>
      </c>
      <c r="H2" s="4">
        <v>5</v>
      </c>
      <c r="P2" t="s">
        <v>18</v>
      </c>
      <c r="T2" s="6">
        <f>K13</f>
        <v>25</v>
      </c>
    </row>
    <row r="3" spans="1:21" x14ac:dyDescent="0.25">
      <c r="B3" s="4"/>
      <c r="C3" s="4"/>
      <c r="D3" s="5"/>
      <c r="E3" s="4"/>
      <c r="F3" s="4"/>
      <c r="G3" s="4"/>
      <c r="H3" s="4"/>
      <c r="P3" t="s">
        <v>30</v>
      </c>
      <c r="R3" s="7">
        <v>0</v>
      </c>
    </row>
    <row r="4" spans="1:21" x14ac:dyDescent="0.25">
      <c r="B4" s="4" t="s">
        <v>6</v>
      </c>
      <c r="C4" s="4">
        <f>SUM(C2:C3)</f>
        <v>15</v>
      </c>
      <c r="D4" s="5"/>
      <c r="E4" s="36" t="s">
        <v>7</v>
      </c>
      <c r="F4" s="36"/>
      <c r="G4" s="36"/>
      <c r="H4" s="4">
        <f>SUM(F2:F3)+SUM(H2:H3)</f>
        <v>15</v>
      </c>
      <c r="P4" t="s">
        <v>31</v>
      </c>
    </row>
    <row r="5" spans="1:21" x14ac:dyDescent="0.25">
      <c r="B5" s="4"/>
      <c r="C5" s="4"/>
      <c r="D5" s="5"/>
      <c r="E5" s="4"/>
      <c r="F5" s="4"/>
      <c r="G5" s="4"/>
      <c r="H5" s="4"/>
      <c r="Q5" t="s">
        <v>32</v>
      </c>
      <c r="R5" s="7">
        <f>N7</f>
        <v>2</v>
      </c>
    </row>
    <row r="6" spans="1:21" x14ac:dyDescent="0.25">
      <c r="B6" s="36" t="s">
        <v>0</v>
      </c>
      <c r="C6" s="36"/>
      <c r="D6" s="5"/>
      <c r="E6" s="36" t="s">
        <v>1</v>
      </c>
      <c r="F6" s="36"/>
      <c r="G6" s="36" t="s">
        <v>2</v>
      </c>
      <c r="H6" s="36"/>
      <c r="J6" t="s">
        <v>9</v>
      </c>
      <c r="K6" t="s">
        <v>10</v>
      </c>
      <c r="L6">
        <v>50</v>
      </c>
      <c r="M6">
        <v>0.2</v>
      </c>
      <c r="N6">
        <f>M6*L6</f>
        <v>10</v>
      </c>
      <c r="Q6" t="s">
        <v>10</v>
      </c>
      <c r="R6" s="7">
        <f>N6</f>
        <v>10</v>
      </c>
    </row>
    <row r="7" spans="1:21" x14ac:dyDescent="0.25">
      <c r="B7" s="4" t="s">
        <v>3</v>
      </c>
      <c r="C7" s="4">
        <f>C2-12</f>
        <v>3</v>
      </c>
      <c r="D7" s="5"/>
      <c r="E7" s="4" t="s">
        <v>4</v>
      </c>
      <c r="F7" s="4">
        <v>10</v>
      </c>
      <c r="G7" s="4" t="s">
        <v>5</v>
      </c>
      <c r="H7" s="4">
        <v>5</v>
      </c>
      <c r="K7" t="s">
        <v>11</v>
      </c>
      <c r="L7">
        <v>5</v>
      </c>
      <c r="M7">
        <v>0.4</v>
      </c>
      <c r="N7">
        <f>M7*L7</f>
        <v>2</v>
      </c>
      <c r="P7" t="s">
        <v>33</v>
      </c>
      <c r="S7" s="7">
        <f>R3+R5+R6</f>
        <v>12</v>
      </c>
    </row>
    <row r="8" spans="1:21" x14ac:dyDescent="0.25">
      <c r="A8" t="s">
        <v>14</v>
      </c>
      <c r="B8" s="4" t="s">
        <v>13</v>
      </c>
      <c r="C8" s="4">
        <v>12</v>
      </c>
      <c r="D8" s="5"/>
      <c r="E8" s="4"/>
      <c r="F8" s="4"/>
      <c r="G8" s="4"/>
      <c r="H8" s="4"/>
      <c r="K8" t="s">
        <v>12</v>
      </c>
      <c r="N8">
        <f>N7+N6</f>
        <v>12</v>
      </c>
      <c r="P8" t="s">
        <v>34</v>
      </c>
      <c r="S8" s="7">
        <f>C15</f>
        <v>2</v>
      </c>
    </row>
    <row r="9" spans="1:21" x14ac:dyDescent="0.25">
      <c r="B9" s="4" t="s">
        <v>6</v>
      </c>
      <c r="C9" s="4">
        <f>SUM(C7:C8)</f>
        <v>15</v>
      </c>
      <c r="D9" s="5"/>
      <c r="E9" s="36" t="s">
        <v>7</v>
      </c>
      <c r="F9" s="36"/>
      <c r="G9" s="36"/>
      <c r="H9" s="4">
        <f>SUM(F7:F8)+SUM(H7:H8)</f>
        <v>15</v>
      </c>
      <c r="P9" t="s">
        <v>35</v>
      </c>
      <c r="T9" s="6">
        <f>S7-S8</f>
        <v>10</v>
      </c>
    </row>
    <row r="10" spans="1:21" x14ac:dyDescent="0.25">
      <c r="P10" t="s">
        <v>36</v>
      </c>
      <c r="T10" s="6">
        <f>T2-T9</f>
        <v>15</v>
      </c>
    </row>
    <row r="11" spans="1:21" x14ac:dyDescent="0.25">
      <c r="J11" t="s">
        <v>15</v>
      </c>
      <c r="K11" t="s">
        <v>16</v>
      </c>
      <c r="L11">
        <f>N8/60</f>
        <v>0.2</v>
      </c>
      <c r="M11" t="s">
        <v>20</v>
      </c>
      <c r="N11">
        <v>0.5</v>
      </c>
    </row>
    <row r="12" spans="1:21" x14ac:dyDescent="0.25">
      <c r="P12" t="s">
        <v>37</v>
      </c>
      <c r="Q12" s="7" t="s">
        <v>24</v>
      </c>
      <c r="R12" s="7">
        <v>2</v>
      </c>
    </row>
    <row r="13" spans="1:21" x14ac:dyDescent="0.25">
      <c r="A13" t="s">
        <v>17</v>
      </c>
      <c r="B13" s="36" t="s">
        <v>0</v>
      </c>
      <c r="C13" s="36"/>
      <c r="D13" s="5"/>
      <c r="E13" s="36" t="s">
        <v>1</v>
      </c>
      <c r="F13" s="36"/>
      <c r="G13" s="36" t="s">
        <v>2</v>
      </c>
      <c r="H13" s="36"/>
      <c r="J13" t="s">
        <v>18</v>
      </c>
      <c r="K13">
        <f>N11*50</f>
        <v>25</v>
      </c>
      <c r="Q13" s="7" t="s">
        <v>25</v>
      </c>
      <c r="R13" s="7">
        <v>1</v>
      </c>
    </row>
    <row r="14" spans="1:21" x14ac:dyDescent="0.25">
      <c r="B14" s="4" t="s">
        <v>3</v>
      </c>
      <c r="C14" s="4">
        <f>C7+K13</f>
        <v>28</v>
      </c>
      <c r="D14" s="5"/>
      <c r="E14" s="4" t="s">
        <v>4</v>
      </c>
      <c r="F14" s="4">
        <v>10</v>
      </c>
      <c r="G14" s="4" t="s">
        <v>5</v>
      </c>
      <c r="H14" s="4">
        <v>5</v>
      </c>
      <c r="J14" t="s">
        <v>19</v>
      </c>
      <c r="K14">
        <f>50*L11</f>
        <v>10</v>
      </c>
      <c r="Q14" s="7" t="s">
        <v>26</v>
      </c>
      <c r="R14" s="7">
        <v>2</v>
      </c>
    </row>
    <row r="15" spans="1:21" ht="15.75" thickBot="1" x14ac:dyDescent="0.3">
      <c r="B15" s="4" t="s">
        <v>13</v>
      </c>
      <c r="C15" s="4">
        <f>C8-K14</f>
        <v>2</v>
      </c>
      <c r="D15" s="5"/>
      <c r="E15" s="4"/>
      <c r="F15" s="4"/>
      <c r="G15" s="4" t="s">
        <v>22</v>
      </c>
      <c r="H15" s="4">
        <f>K15</f>
        <v>15</v>
      </c>
      <c r="J15" t="s">
        <v>21</v>
      </c>
      <c r="K15">
        <f>K13-K14</f>
        <v>15</v>
      </c>
      <c r="P15" t="s">
        <v>38</v>
      </c>
      <c r="T15" s="11">
        <f>SUM(R12:R14)</f>
        <v>5</v>
      </c>
    </row>
    <row r="16" spans="1:21" ht="16.5" thickTop="1" thickBot="1" x14ac:dyDescent="0.3">
      <c r="B16" s="4" t="s">
        <v>6</v>
      </c>
      <c r="C16" s="4">
        <f>SUM(C14:C15)</f>
        <v>30</v>
      </c>
      <c r="D16" s="5"/>
      <c r="E16" s="36" t="s">
        <v>7</v>
      </c>
      <c r="F16" s="36"/>
      <c r="G16" s="36"/>
      <c r="H16" s="4">
        <f>SUM(F14:F15)+SUM(H14:H15)</f>
        <v>30</v>
      </c>
      <c r="P16" t="s">
        <v>39</v>
      </c>
      <c r="T16" s="8">
        <f>T10-T15</f>
        <v>10</v>
      </c>
      <c r="U16" s="10"/>
    </row>
    <row r="17" spans="1:20" ht="15.75" thickTop="1" x14ac:dyDescent="0.25">
      <c r="T17" s="9"/>
    </row>
    <row r="18" spans="1:20" x14ac:dyDescent="0.25">
      <c r="A18" t="s">
        <v>23</v>
      </c>
      <c r="B18" s="36" t="s">
        <v>0</v>
      </c>
      <c r="C18" s="36"/>
      <c r="D18" s="5"/>
      <c r="E18" s="36" t="s">
        <v>1</v>
      </c>
      <c r="F18" s="36"/>
      <c r="G18" s="36" t="s">
        <v>2</v>
      </c>
      <c r="H18" s="36"/>
      <c r="J18" t="s">
        <v>24</v>
      </c>
      <c r="K18">
        <v>2</v>
      </c>
    </row>
    <row r="19" spans="1:20" ht="15.75" thickBot="1" x14ac:dyDescent="0.3">
      <c r="A19" t="s">
        <v>28</v>
      </c>
      <c r="B19" s="1" t="s">
        <v>3</v>
      </c>
      <c r="C19" s="1">
        <f>C14-K21-F14</f>
        <v>13</v>
      </c>
      <c r="D19" s="2"/>
      <c r="E19" s="1" t="s">
        <v>4</v>
      </c>
      <c r="F19" s="1">
        <f>F14-F14</f>
        <v>0</v>
      </c>
      <c r="G19" s="1" t="s">
        <v>5</v>
      </c>
      <c r="H19" s="1">
        <v>5</v>
      </c>
      <c r="J19" t="s">
        <v>25</v>
      </c>
      <c r="K19">
        <v>1</v>
      </c>
    </row>
    <row r="20" spans="1:20" ht="15.75" thickBot="1" x14ac:dyDescent="0.3">
      <c r="B20" s="4" t="s">
        <v>13</v>
      </c>
      <c r="C20" s="1">
        <v>2</v>
      </c>
      <c r="D20" s="2"/>
      <c r="E20" s="1"/>
      <c r="F20" s="1"/>
      <c r="G20" s="1" t="s">
        <v>22</v>
      </c>
      <c r="H20" s="12">
        <f>H15-K21</f>
        <v>10</v>
      </c>
      <c r="J20" t="s">
        <v>26</v>
      </c>
      <c r="K20">
        <v>2</v>
      </c>
    </row>
    <row r="21" spans="1:20" x14ac:dyDescent="0.25">
      <c r="B21" s="1"/>
      <c r="C21" s="1"/>
      <c r="D21" s="2"/>
      <c r="E21" s="1"/>
      <c r="F21" s="1"/>
      <c r="G21" s="1"/>
      <c r="H21" s="1"/>
      <c r="J21" t="s">
        <v>27</v>
      </c>
      <c r="K21">
        <f>SUM(K18:K20)</f>
        <v>5</v>
      </c>
    </row>
    <row r="22" spans="1:20" x14ac:dyDescent="0.25">
      <c r="B22" s="1" t="s">
        <v>6</v>
      </c>
      <c r="C22" s="1">
        <f>SUM(C19:C21)</f>
        <v>15</v>
      </c>
      <c r="D22" s="2"/>
      <c r="E22" s="35" t="s">
        <v>7</v>
      </c>
      <c r="F22" s="35"/>
      <c r="G22" s="35"/>
      <c r="H22" s="1">
        <f>SUM(F19:F21)+SUM(H19:H21)</f>
        <v>15</v>
      </c>
    </row>
    <row r="24" spans="1:20" s="13" customFormat="1" ht="6" customHeight="1" x14ac:dyDescent="0.25"/>
    <row r="26" spans="1:20" x14ac:dyDescent="0.25">
      <c r="A26" s="14" t="s">
        <v>40</v>
      </c>
      <c r="B26" s="36" t="s">
        <v>0</v>
      </c>
      <c r="C26" s="36"/>
      <c r="D26" s="5"/>
      <c r="E26" s="36" t="s">
        <v>1</v>
      </c>
      <c r="F26" s="36"/>
      <c r="G26" s="36" t="s">
        <v>2</v>
      </c>
      <c r="H26" s="36"/>
    </row>
    <row r="27" spans="1:20" x14ac:dyDescent="0.25">
      <c r="A27" s="16" t="s">
        <v>42</v>
      </c>
      <c r="B27" s="18" t="s">
        <v>3</v>
      </c>
      <c r="C27" s="17">
        <f>C19+50+2</f>
        <v>65</v>
      </c>
      <c r="D27" s="2"/>
      <c r="E27" s="1" t="s">
        <v>4</v>
      </c>
      <c r="F27" s="17">
        <f>F19+50</f>
        <v>50</v>
      </c>
      <c r="G27" s="1" t="s">
        <v>5</v>
      </c>
      <c r="H27" s="1">
        <v>5</v>
      </c>
    </row>
    <row r="28" spans="1:20" x14ac:dyDescent="0.25">
      <c r="A28" s="7" t="s">
        <v>43</v>
      </c>
      <c r="B28" s="4" t="s">
        <v>13</v>
      </c>
      <c r="C28" s="18">
        <f>C20-2</f>
        <v>0</v>
      </c>
      <c r="D28" s="2"/>
      <c r="E28" s="1"/>
      <c r="F28" s="1"/>
      <c r="G28" s="1" t="s">
        <v>41</v>
      </c>
      <c r="H28" s="15">
        <v>10</v>
      </c>
    </row>
    <row r="29" spans="1:20" ht="15" customHeight="1" x14ac:dyDescent="0.25">
      <c r="B29" s="1"/>
      <c r="C29" s="1"/>
      <c r="D29" s="2"/>
      <c r="E29" s="1"/>
      <c r="F29" s="1"/>
      <c r="G29" s="1" t="s">
        <v>22</v>
      </c>
      <c r="H29" s="15">
        <v>0</v>
      </c>
    </row>
    <row r="30" spans="1:20" ht="15" customHeight="1" x14ac:dyDescent="0.25">
      <c r="B30" s="1"/>
      <c r="C30" s="1"/>
      <c r="D30" s="2"/>
      <c r="E30" s="1"/>
      <c r="F30" s="1"/>
      <c r="G30" s="1"/>
    </row>
    <row r="31" spans="1:20" x14ac:dyDescent="0.25">
      <c r="B31" s="1" t="s">
        <v>6</v>
      </c>
      <c r="C31" s="1">
        <f>SUM(C27:C29)</f>
        <v>65</v>
      </c>
      <c r="D31" s="2"/>
      <c r="E31" s="35" t="s">
        <v>7</v>
      </c>
      <c r="F31" s="35"/>
      <c r="G31" s="35"/>
      <c r="H31" s="1">
        <f>SUM(F27:F29)+SUM(H27:H29)</f>
        <v>65</v>
      </c>
    </row>
    <row r="34" spans="1:15" x14ac:dyDescent="0.25">
      <c r="O34" t="s">
        <v>46</v>
      </c>
    </row>
    <row r="35" spans="1:15" x14ac:dyDescent="0.25">
      <c r="A35" s="19" t="s">
        <v>44</v>
      </c>
      <c r="B35" s="36" t="s">
        <v>0</v>
      </c>
      <c r="C35" s="36"/>
      <c r="D35" s="5"/>
      <c r="E35" s="36" t="s">
        <v>1</v>
      </c>
      <c r="F35" s="36"/>
      <c r="G35" s="36" t="s">
        <v>2</v>
      </c>
      <c r="H35" s="36"/>
      <c r="J35" t="s">
        <v>9</v>
      </c>
      <c r="K35" t="s">
        <v>11</v>
      </c>
      <c r="L35">
        <v>10</v>
      </c>
      <c r="M35">
        <v>0.4</v>
      </c>
      <c r="N35">
        <f>M35*L35</f>
        <v>4</v>
      </c>
      <c r="O35" t="s">
        <v>47</v>
      </c>
    </row>
    <row r="36" spans="1:15" x14ac:dyDescent="0.25">
      <c r="A36" t="s">
        <v>48</v>
      </c>
      <c r="B36" s="1" t="s">
        <v>3</v>
      </c>
      <c r="C36" s="1">
        <f>C27-N36</f>
        <v>45</v>
      </c>
      <c r="D36" s="2"/>
      <c r="E36" s="20" t="s">
        <v>45</v>
      </c>
      <c r="F36" s="20">
        <f>N35</f>
        <v>4</v>
      </c>
      <c r="G36" s="1" t="s">
        <v>5</v>
      </c>
      <c r="H36" s="1">
        <v>5</v>
      </c>
      <c r="K36" t="s">
        <v>10</v>
      </c>
      <c r="L36">
        <v>100</v>
      </c>
      <c r="M36">
        <v>0.2</v>
      </c>
      <c r="N36">
        <f>M36*L36</f>
        <v>20</v>
      </c>
      <c r="O36" t="s">
        <v>3</v>
      </c>
    </row>
    <row r="37" spans="1:15" x14ac:dyDescent="0.25">
      <c r="B37" s="4" t="s">
        <v>13</v>
      </c>
      <c r="C37" s="1">
        <f>C28+N35+N36</f>
        <v>24</v>
      </c>
      <c r="D37" s="2"/>
      <c r="E37" s="1" t="s">
        <v>4</v>
      </c>
      <c r="F37" s="1">
        <v>50</v>
      </c>
      <c r="G37" s="1" t="s">
        <v>41</v>
      </c>
      <c r="H37" s="1">
        <v>10</v>
      </c>
    </row>
    <row r="38" spans="1:15" x14ac:dyDescent="0.25">
      <c r="B38" s="1"/>
      <c r="C38" s="1"/>
      <c r="D38" s="2"/>
      <c r="G38" s="1" t="s">
        <v>22</v>
      </c>
      <c r="H38" s="1">
        <v>0</v>
      </c>
    </row>
    <row r="39" spans="1:15" x14ac:dyDescent="0.25">
      <c r="B39" s="1"/>
      <c r="C39" s="1"/>
      <c r="D39" s="2"/>
      <c r="E39" s="1"/>
      <c r="F39" s="1"/>
      <c r="G39" s="1"/>
      <c r="H39" s="1"/>
    </row>
    <row r="40" spans="1:15" x14ac:dyDescent="0.25">
      <c r="B40" s="1" t="s">
        <v>6</v>
      </c>
      <c r="C40" s="1">
        <f>SUM(C36:C38)</f>
        <v>69</v>
      </c>
      <c r="D40" s="2"/>
      <c r="E40" s="35" t="s">
        <v>7</v>
      </c>
      <c r="F40" s="35"/>
      <c r="G40" s="35"/>
      <c r="H40" s="1">
        <f>SUM(F36:F37)+SUM(H36:H38)</f>
        <v>69</v>
      </c>
    </row>
    <row r="43" spans="1:15" x14ac:dyDescent="0.25">
      <c r="A43" t="s">
        <v>53</v>
      </c>
      <c r="B43" s="36" t="s">
        <v>0</v>
      </c>
      <c r="C43" s="36"/>
      <c r="D43" s="5"/>
      <c r="E43" s="36" t="s">
        <v>1</v>
      </c>
      <c r="F43" s="36"/>
      <c r="G43" s="36" t="s">
        <v>2</v>
      </c>
      <c r="H43" s="36"/>
      <c r="J43" t="s">
        <v>49</v>
      </c>
      <c r="L43">
        <v>1</v>
      </c>
    </row>
    <row r="44" spans="1:15" x14ac:dyDescent="0.25">
      <c r="A44" t="s">
        <v>50</v>
      </c>
      <c r="B44" s="1" t="s">
        <v>3</v>
      </c>
      <c r="C44" s="1">
        <f>C36-1</f>
        <v>44</v>
      </c>
      <c r="D44" s="2"/>
      <c r="E44" s="1" t="s">
        <v>45</v>
      </c>
      <c r="F44" s="1">
        <v>4</v>
      </c>
      <c r="G44" s="1" t="s">
        <v>5</v>
      </c>
      <c r="H44" s="1">
        <v>5</v>
      </c>
    </row>
    <row r="45" spans="1:15" x14ac:dyDescent="0.25">
      <c r="B45" s="1" t="s">
        <v>51</v>
      </c>
      <c r="C45" s="1">
        <f>C37/2</f>
        <v>12</v>
      </c>
      <c r="D45" s="2"/>
      <c r="E45" s="1" t="s">
        <v>4</v>
      </c>
      <c r="F45" s="1">
        <v>50</v>
      </c>
      <c r="G45" s="1" t="s">
        <v>41</v>
      </c>
      <c r="H45" s="1">
        <v>10</v>
      </c>
    </row>
    <row r="46" spans="1:15" x14ac:dyDescent="0.25">
      <c r="B46" s="1" t="s">
        <v>52</v>
      </c>
      <c r="C46" s="1">
        <f>C37-C45+1</f>
        <v>13</v>
      </c>
      <c r="D46" s="2"/>
      <c r="E46" s="1"/>
      <c r="F46" s="1"/>
      <c r="G46" s="1" t="s">
        <v>22</v>
      </c>
      <c r="H46" s="1">
        <v>0</v>
      </c>
    </row>
    <row r="48" spans="1:15" x14ac:dyDescent="0.25">
      <c r="B48" s="1" t="s">
        <v>6</v>
      </c>
      <c r="C48" s="1">
        <f>SUM(C44:C46)</f>
        <v>69</v>
      </c>
      <c r="D48" s="2"/>
      <c r="E48" s="35" t="s">
        <v>7</v>
      </c>
      <c r="F48" s="35"/>
      <c r="G48" s="35"/>
      <c r="H48" s="1">
        <f>SUM(F44:F45)+SUM(H44:H46)</f>
        <v>69</v>
      </c>
    </row>
    <row r="51" spans="1:11" x14ac:dyDescent="0.25">
      <c r="A51" t="s">
        <v>54</v>
      </c>
      <c r="B51" s="36" t="s">
        <v>0</v>
      </c>
      <c r="C51" s="36"/>
      <c r="D51" s="5"/>
      <c r="E51" s="36" t="s">
        <v>1</v>
      </c>
      <c r="F51" s="36"/>
      <c r="G51" s="36" t="s">
        <v>2</v>
      </c>
      <c r="H51" s="36"/>
      <c r="J51" t="s">
        <v>3</v>
      </c>
      <c r="K51">
        <f>40*0.5</f>
        <v>20</v>
      </c>
    </row>
    <row r="52" spans="1:11" x14ac:dyDescent="0.25">
      <c r="B52" s="1" t="s">
        <v>3</v>
      </c>
      <c r="C52" s="20">
        <f>C44+K51</f>
        <v>64</v>
      </c>
      <c r="D52" s="2"/>
      <c r="E52" s="1" t="s">
        <v>45</v>
      </c>
      <c r="F52" s="1">
        <v>4</v>
      </c>
      <c r="G52" s="1" t="s">
        <v>5</v>
      </c>
      <c r="H52" s="1">
        <v>5</v>
      </c>
      <c r="J52" t="s">
        <v>55</v>
      </c>
      <c r="K52">
        <f>20*0.5</f>
        <v>10</v>
      </c>
    </row>
    <row r="53" spans="1:11" x14ac:dyDescent="0.25">
      <c r="B53" s="1" t="s">
        <v>51</v>
      </c>
      <c r="C53" s="1">
        <v>12</v>
      </c>
      <c r="D53" s="2"/>
      <c r="E53" s="1" t="s">
        <v>4</v>
      </c>
      <c r="F53" s="1">
        <v>50</v>
      </c>
      <c r="G53" s="1" t="s">
        <v>41</v>
      </c>
      <c r="H53" s="1">
        <v>10</v>
      </c>
      <c r="J53" t="s">
        <v>56</v>
      </c>
      <c r="K53">
        <f>K51+K52</f>
        <v>30</v>
      </c>
    </row>
    <row r="54" spans="1:11" x14ac:dyDescent="0.25">
      <c r="B54" s="1" t="s">
        <v>52</v>
      </c>
      <c r="C54" s="20">
        <v>0</v>
      </c>
      <c r="D54" s="2"/>
      <c r="E54" s="1"/>
      <c r="F54" s="1"/>
      <c r="G54" s="1" t="s">
        <v>22</v>
      </c>
      <c r="H54" s="20">
        <f>K53-C46</f>
        <v>17</v>
      </c>
    </row>
    <row r="55" spans="1:11" x14ac:dyDescent="0.25">
      <c r="B55" s="1" t="s">
        <v>55</v>
      </c>
      <c r="C55" s="20">
        <f>K52</f>
        <v>10</v>
      </c>
    </row>
    <row r="57" spans="1:11" x14ac:dyDescent="0.25">
      <c r="B57" s="1" t="s">
        <v>6</v>
      </c>
      <c r="C57" s="1">
        <f>SUM(C52:C55)</f>
        <v>86</v>
      </c>
      <c r="D57" s="2"/>
      <c r="E57" s="35" t="s">
        <v>7</v>
      </c>
      <c r="F57" s="35"/>
      <c r="G57" s="35"/>
      <c r="H57" s="1">
        <f>SUM(F52:F55)+SUM(H52:H55)</f>
        <v>86</v>
      </c>
    </row>
    <row r="60" spans="1:11" x14ac:dyDescent="0.25">
      <c r="A60" t="s">
        <v>57</v>
      </c>
      <c r="B60" s="36" t="s">
        <v>0</v>
      </c>
      <c r="C60" s="36"/>
      <c r="D60" s="5"/>
      <c r="E60" s="36" t="s">
        <v>1</v>
      </c>
      <c r="F60" s="36"/>
      <c r="G60" s="36" t="s">
        <v>2</v>
      </c>
      <c r="H60" s="36"/>
    </row>
    <row r="61" spans="1:11" x14ac:dyDescent="0.25">
      <c r="B61" s="1" t="s">
        <v>3</v>
      </c>
      <c r="C61" s="1">
        <v>64</v>
      </c>
      <c r="D61" s="2"/>
      <c r="E61" s="1" t="s">
        <v>45</v>
      </c>
      <c r="F61" s="1">
        <v>4</v>
      </c>
      <c r="G61" s="1" t="s">
        <v>5</v>
      </c>
      <c r="H61" s="1">
        <v>5</v>
      </c>
    </row>
    <row r="62" spans="1:11" x14ac:dyDescent="0.25">
      <c r="B62" s="1" t="s">
        <v>51</v>
      </c>
      <c r="C62" s="1">
        <v>12</v>
      </c>
      <c r="D62" s="2"/>
      <c r="E62" s="1" t="s">
        <v>4</v>
      </c>
      <c r="F62" s="1">
        <v>50</v>
      </c>
      <c r="G62" s="1" t="s">
        <v>41</v>
      </c>
      <c r="H62" s="1">
        <v>10</v>
      </c>
    </row>
    <row r="63" spans="1:11" x14ac:dyDescent="0.25">
      <c r="B63" s="1" t="s">
        <v>52</v>
      </c>
      <c r="C63" s="1">
        <v>0</v>
      </c>
      <c r="D63" s="2"/>
      <c r="E63" s="1"/>
      <c r="F63" s="1"/>
      <c r="G63" s="1" t="s">
        <v>22</v>
      </c>
      <c r="H63" s="20">
        <f>H54-4</f>
        <v>13</v>
      </c>
    </row>
    <row r="64" spans="1:11" x14ac:dyDescent="0.25">
      <c r="B64" s="1" t="s">
        <v>55</v>
      </c>
      <c r="C64" s="20">
        <f>C55-4</f>
        <v>6</v>
      </c>
      <c r="D64" s="2"/>
      <c r="E64" s="1"/>
      <c r="F64" s="1"/>
      <c r="G64" s="1"/>
      <c r="H64" s="1"/>
    </row>
    <row r="66" spans="1:23" x14ac:dyDescent="0.25">
      <c r="B66" s="1" t="s">
        <v>6</v>
      </c>
      <c r="C66" s="1">
        <f>SUM(C61:C64)</f>
        <v>82</v>
      </c>
      <c r="D66" s="2"/>
      <c r="E66" s="35" t="s">
        <v>7</v>
      </c>
      <c r="F66" s="35"/>
      <c r="G66" s="35"/>
      <c r="H66" s="1">
        <f>SUM(F61:F64)+SUM(H61:H64)</f>
        <v>82</v>
      </c>
    </row>
    <row r="67" spans="1:23" x14ac:dyDescent="0.25">
      <c r="L67" s="35" t="s">
        <v>64</v>
      </c>
      <c r="M67" s="35"/>
      <c r="N67" s="35"/>
      <c r="O67" s="35"/>
      <c r="P67" s="35"/>
      <c r="S67" s="35" t="s">
        <v>65</v>
      </c>
      <c r="T67" s="35"/>
      <c r="U67" s="35"/>
      <c r="V67" s="35"/>
      <c r="W67" s="35"/>
    </row>
    <row r="68" spans="1:23" x14ac:dyDescent="0.25">
      <c r="L68" t="s">
        <v>18</v>
      </c>
      <c r="P68" s="6">
        <f>K53+2</f>
        <v>32</v>
      </c>
      <c r="S68" t="s">
        <v>18</v>
      </c>
      <c r="W68" s="6">
        <f>20+2</f>
        <v>22</v>
      </c>
    </row>
    <row r="69" spans="1:23" x14ac:dyDescent="0.25">
      <c r="B69" s="36" t="s">
        <v>0</v>
      </c>
      <c r="C69" s="36"/>
      <c r="D69" s="5"/>
      <c r="E69" s="36" t="s">
        <v>1</v>
      </c>
      <c r="F69" s="36"/>
      <c r="G69" s="36" t="s">
        <v>2</v>
      </c>
      <c r="H69" s="36"/>
      <c r="L69" s="19" t="s">
        <v>30</v>
      </c>
      <c r="N69" s="7">
        <f>S8</f>
        <v>2</v>
      </c>
      <c r="S69" s="19" t="s">
        <v>30</v>
      </c>
      <c r="U69" s="7">
        <v>0</v>
      </c>
    </row>
    <row r="70" spans="1:23" x14ac:dyDescent="0.25">
      <c r="A70" s="19" t="s">
        <v>58</v>
      </c>
      <c r="B70" s="1" t="s">
        <v>3</v>
      </c>
      <c r="C70" s="20">
        <f>C61-F62/2-2</f>
        <v>37</v>
      </c>
      <c r="D70" s="2"/>
      <c r="E70" s="1" t="s">
        <v>45</v>
      </c>
      <c r="F70" s="1">
        <v>4</v>
      </c>
      <c r="G70" s="1" t="s">
        <v>5</v>
      </c>
      <c r="H70" s="1">
        <v>5</v>
      </c>
      <c r="L70" t="s">
        <v>31</v>
      </c>
      <c r="S70" t="s">
        <v>31</v>
      </c>
    </row>
    <row r="71" spans="1:23" x14ac:dyDescent="0.25">
      <c r="A71" s="7" t="s">
        <v>59</v>
      </c>
      <c r="B71" s="1" t="s">
        <v>51</v>
      </c>
      <c r="C71" s="1">
        <v>12</v>
      </c>
      <c r="D71" s="2"/>
      <c r="E71" s="1" t="s">
        <v>4</v>
      </c>
      <c r="F71" s="20">
        <f>F62/2</f>
        <v>25</v>
      </c>
      <c r="G71" s="1" t="s">
        <v>41</v>
      </c>
      <c r="H71" s="1">
        <v>10</v>
      </c>
      <c r="M71" s="19" t="s">
        <v>32</v>
      </c>
      <c r="N71" s="7">
        <f>N35</f>
        <v>4</v>
      </c>
      <c r="T71" s="19" t="s">
        <v>32</v>
      </c>
      <c r="U71" s="7">
        <f>U35</f>
        <v>0</v>
      </c>
    </row>
    <row r="72" spans="1:23" x14ac:dyDescent="0.25">
      <c r="B72" s="1" t="s">
        <v>52</v>
      </c>
      <c r="C72" s="1">
        <v>0</v>
      </c>
      <c r="D72" s="2"/>
      <c r="E72" s="1"/>
      <c r="F72" s="1"/>
      <c r="G72" s="1" t="s">
        <v>22</v>
      </c>
      <c r="H72" s="18">
        <f>13-2</f>
        <v>11</v>
      </c>
      <c r="M72" t="s">
        <v>10</v>
      </c>
      <c r="N72" s="7">
        <f>N36</f>
        <v>20</v>
      </c>
      <c r="T72" t="s">
        <v>10</v>
      </c>
      <c r="U72" s="7">
        <f>N72</f>
        <v>20</v>
      </c>
    </row>
    <row r="73" spans="1:23" x14ac:dyDescent="0.25">
      <c r="B73" s="1" t="s">
        <v>55</v>
      </c>
      <c r="C73" s="1">
        <v>6</v>
      </c>
      <c r="D73" s="2"/>
      <c r="E73" s="1"/>
      <c r="F73" s="1"/>
      <c r="G73" s="1"/>
      <c r="H73" s="1"/>
      <c r="L73" t="s">
        <v>62</v>
      </c>
      <c r="N73" s="7">
        <v>1</v>
      </c>
      <c r="S73" t="s">
        <v>62</v>
      </c>
      <c r="U73" s="7">
        <v>1</v>
      </c>
    </row>
    <row r="74" spans="1:23" x14ac:dyDescent="0.25">
      <c r="L74" t="s">
        <v>33</v>
      </c>
      <c r="O74" s="7">
        <f>N69+N71+N72+N73</f>
        <v>27</v>
      </c>
      <c r="S74" t="s">
        <v>33</v>
      </c>
      <c r="V74" s="7">
        <f>U69+U71+U72+U73</f>
        <v>21</v>
      </c>
    </row>
    <row r="75" spans="1:23" x14ac:dyDescent="0.25">
      <c r="B75" s="1" t="s">
        <v>6</v>
      </c>
      <c r="C75" s="1">
        <f>SUM(C70:C73)</f>
        <v>55</v>
      </c>
      <c r="D75" s="2"/>
      <c r="E75" s="35" t="s">
        <v>7</v>
      </c>
      <c r="F75" s="35"/>
      <c r="G75" s="35"/>
      <c r="H75" s="1">
        <f>SUM(F70:F73)+SUM(H70:H73)</f>
        <v>55</v>
      </c>
      <c r="L75" s="19" t="s">
        <v>34</v>
      </c>
      <c r="O75" s="7">
        <f>C81</f>
        <v>12</v>
      </c>
      <c r="S75" s="19" t="s">
        <v>34</v>
      </c>
      <c r="V75" s="7">
        <v>0</v>
      </c>
    </row>
    <row r="76" spans="1:23" x14ac:dyDescent="0.25">
      <c r="L76" t="s">
        <v>35</v>
      </c>
      <c r="P76" s="6">
        <f>O74-O75</f>
        <v>15</v>
      </c>
      <c r="S76" t="s">
        <v>35</v>
      </c>
      <c r="W76" s="6">
        <f>V74-V75</f>
        <v>21</v>
      </c>
    </row>
    <row r="77" spans="1:23" x14ac:dyDescent="0.25">
      <c r="L77" t="s">
        <v>36</v>
      </c>
      <c r="P77" s="6">
        <f>P68-P76</f>
        <v>17</v>
      </c>
      <c r="S77" t="s">
        <v>36</v>
      </c>
      <c r="W77" s="6">
        <f>W68-W76</f>
        <v>1</v>
      </c>
    </row>
    <row r="79" spans="1:23" x14ac:dyDescent="0.25">
      <c r="A79" t="s">
        <v>60</v>
      </c>
      <c r="B79" s="36" t="s">
        <v>0</v>
      </c>
      <c r="C79" s="36"/>
      <c r="D79" s="5"/>
      <c r="E79" s="36" t="s">
        <v>1</v>
      </c>
      <c r="F79" s="36"/>
      <c r="G79" s="36" t="s">
        <v>2</v>
      </c>
      <c r="H79" s="36"/>
      <c r="L79" t="s">
        <v>37</v>
      </c>
      <c r="M79" s="19" t="s">
        <v>57</v>
      </c>
      <c r="N79" s="7">
        <v>4</v>
      </c>
      <c r="S79" t="s">
        <v>37</v>
      </c>
      <c r="T79" s="19" t="s">
        <v>57</v>
      </c>
      <c r="U79" s="7">
        <v>0</v>
      </c>
    </row>
    <row r="80" spans="1:23" x14ac:dyDescent="0.25">
      <c r="B80" s="1" t="s">
        <v>3</v>
      </c>
      <c r="C80" s="18">
        <f>37-3</f>
        <v>34</v>
      </c>
      <c r="D80" s="2"/>
      <c r="E80" s="1" t="s">
        <v>45</v>
      </c>
      <c r="F80" s="1">
        <v>4</v>
      </c>
      <c r="G80" s="1" t="s">
        <v>5</v>
      </c>
      <c r="H80" s="1">
        <v>5</v>
      </c>
      <c r="M80" s="7" t="s">
        <v>59</v>
      </c>
      <c r="N80" s="7">
        <v>2</v>
      </c>
      <c r="T80" s="7" t="s">
        <v>59</v>
      </c>
      <c r="U80" s="7">
        <v>2</v>
      </c>
    </row>
    <row r="81" spans="1:23" ht="15.75" thickBot="1" x14ac:dyDescent="0.3">
      <c r="B81" s="1" t="s">
        <v>51</v>
      </c>
      <c r="C81" s="1">
        <v>12</v>
      </c>
      <c r="D81" s="2"/>
      <c r="E81" s="1" t="s">
        <v>4</v>
      </c>
      <c r="F81" s="1">
        <v>25</v>
      </c>
      <c r="G81" s="1" t="s">
        <v>41</v>
      </c>
      <c r="H81" s="1">
        <v>10</v>
      </c>
      <c r="M81" s="19" t="s">
        <v>63</v>
      </c>
      <c r="N81" s="7">
        <v>1</v>
      </c>
      <c r="T81" s="19" t="s">
        <v>63</v>
      </c>
      <c r="U81" s="7">
        <v>3</v>
      </c>
    </row>
    <row r="82" spans="1:23" ht="15.75" thickBot="1" x14ac:dyDescent="0.3">
      <c r="B82" s="1" t="s">
        <v>52</v>
      </c>
      <c r="C82" s="1">
        <v>0</v>
      </c>
      <c r="D82" s="2"/>
      <c r="E82" s="1"/>
      <c r="F82" s="1"/>
      <c r="G82" s="1" t="s">
        <v>22</v>
      </c>
      <c r="H82" s="21">
        <f>11-1</f>
        <v>10</v>
      </c>
      <c r="L82" t="s">
        <v>38</v>
      </c>
      <c r="P82" s="6">
        <f>SUM(N79:N81)</f>
        <v>7</v>
      </c>
      <c r="S82" t="s">
        <v>38</v>
      </c>
      <c r="W82" s="6">
        <f>SUM(U79:U81)</f>
        <v>5</v>
      </c>
    </row>
    <row r="83" spans="1:23" ht="15.75" thickBot="1" x14ac:dyDescent="0.3">
      <c r="B83" s="1" t="s">
        <v>55</v>
      </c>
      <c r="C83" s="1">
        <v>6</v>
      </c>
      <c r="D83" s="2"/>
      <c r="E83" s="1"/>
      <c r="F83" s="1"/>
      <c r="G83" s="1"/>
      <c r="H83" s="1"/>
      <c r="L83" t="s">
        <v>39</v>
      </c>
      <c r="P83" s="22">
        <f>P77-P82</f>
        <v>10</v>
      </c>
      <c r="S83" t="s">
        <v>39</v>
      </c>
      <c r="W83" s="22">
        <f>W77-W82</f>
        <v>-4</v>
      </c>
    </row>
    <row r="84" spans="1:23" x14ac:dyDescent="0.25">
      <c r="B84" s="1" t="s">
        <v>61</v>
      </c>
      <c r="C84" s="18">
        <v>2</v>
      </c>
    </row>
    <row r="86" spans="1:23" x14ac:dyDescent="0.25">
      <c r="B86" s="1" t="s">
        <v>6</v>
      </c>
      <c r="C86" s="1">
        <f>SUM(C80:C84)</f>
        <v>54</v>
      </c>
      <c r="D86" s="2"/>
      <c r="E86" s="35" t="s">
        <v>7</v>
      </c>
      <c r="F86" s="35"/>
      <c r="G86" s="35"/>
      <c r="H86" s="1">
        <f>SUM(F80:F84)+SUM(H80:H84)</f>
        <v>54</v>
      </c>
    </row>
    <row r="88" spans="1:23" s="23" customFormat="1" ht="7.5" customHeight="1" x14ac:dyDescent="0.25"/>
    <row r="90" spans="1:23" x14ac:dyDescent="0.25">
      <c r="A90" t="s">
        <v>40</v>
      </c>
      <c r="B90" s="36" t="s">
        <v>0</v>
      </c>
      <c r="C90" s="36"/>
      <c r="D90" s="5"/>
      <c r="E90" s="36" t="s">
        <v>1</v>
      </c>
      <c r="F90" s="36"/>
      <c r="G90" s="36" t="s">
        <v>2</v>
      </c>
      <c r="H90" s="36"/>
      <c r="P90" t="s">
        <v>46</v>
      </c>
    </row>
    <row r="91" spans="1:23" x14ac:dyDescent="0.25">
      <c r="A91" s="7" t="s">
        <v>44</v>
      </c>
      <c r="B91" s="1" t="s">
        <v>3</v>
      </c>
      <c r="C91" s="1">
        <v>34</v>
      </c>
      <c r="D91" s="2"/>
      <c r="E91" s="1" t="s">
        <v>45</v>
      </c>
      <c r="F91" s="18">
        <f>4+20</f>
        <v>24</v>
      </c>
      <c r="G91" s="1" t="s">
        <v>5</v>
      </c>
      <c r="H91" s="1">
        <v>5</v>
      </c>
      <c r="K91" t="s">
        <v>9</v>
      </c>
      <c r="L91" t="s">
        <v>10</v>
      </c>
      <c r="M91">
        <v>50</v>
      </c>
      <c r="N91" s="24">
        <v>0.4</v>
      </c>
      <c r="O91">
        <f>N91*M91</f>
        <v>20</v>
      </c>
      <c r="P91" t="s">
        <v>47</v>
      </c>
    </row>
    <row r="92" spans="1:23" x14ac:dyDescent="0.25">
      <c r="B92" s="1" t="s">
        <v>55</v>
      </c>
      <c r="C92" s="1">
        <v>6</v>
      </c>
      <c r="D92" s="2"/>
      <c r="E92" s="1" t="s">
        <v>4</v>
      </c>
      <c r="F92" s="1">
        <v>25</v>
      </c>
      <c r="G92" s="1" t="s">
        <v>41</v>
      </c>
      <c r="H92" s="1">
        <f>SUM(H81:H82)</f>
        <v>20</v>
      </c>
      <c r="K92" t="s">
        <v>86</v>
      </c>
      <c r="L92" t="s">
        <v>11</v>
      </c>
      <c r="M92">
        <v>5</v>
      </c>
      <c r="N92">
        <v>0.4</v>
      </c>
      <c r="O92">
        <f>N92*M92</f>
        <v>2</v>
      </c>
    </row>
    <row r="93" spans="1:23" x14ac:dyDescent="0.25">
      <c r="B93" s="1" t="s">
        <v>51</v>
      </c>
      <c r="C93" s="18">
        <f>12+20</f>
        <v>32</v>
      </c>
      <c r="D93" s="2"/>
      <c r="E93" s="1"/>
      <c r="F93" s="1"/>
      <c r="G93" s="1" t="s">
        <v>22</v>
      </c>
      <c r="H93" s="1">
        <v>0</v>
      </c>
      <c r="L93" t="s">
        <v>10</v>
      </c>
      <c r="M93">
        <v>50</v>
      </c>
      <c r="N93">
        <v>0.2</v>
      </c>
      <c r="O93">
        <f>N93*M93</f>
        <v>10</v>
      </c>
    </row>
    <row r="94" spans="1:23" x14ac:dyDescent="0.25">
      <c r="B94" s="1" t="s">
        <v>52</v>
      </c>
      <c r="C94" s="1">
        <v>0</v>
      </c>
      <c r="D94" s="2"/>
      <c r="E94" s="1"/>
      <c r="F94" s="1"/>
      <c r="G94" s="1"/>
      <c r="H94" s="1"/>
    </row>
    <row r="95" spans="1:23" x14ac:dyDescent="0.25">
      <c r="B95" s="1" t="s">
        <v>61</v>
      </c>
      <c r="C95" s="1">
        <v>2</v>
      </c>
      <c r="D95" s="2"/>
      <c r="E95" s="1"/>
      <c r="F95" s="1"/>
      <c r="G95" s="1"/>
      <c r="H95" s="1"/>
    </row>
    <row r="97" spans="1:21" x14ac:dyDescent="0.25">
      <c r="B97" s="1" t="s">
        <v>6</v>
      </c>
      <c r="C97" s="1">
        <f>SUM(C91:C95)</f>
        <v>74</v>
      </c>
      <c r="D97" s="2"/>
      <c r="E97" s="35" t="s">
        <v>7</v>
      </c>
      <c r="F97" s="35"/>
      <c r="G97" s="35"/>
      <c r="H97" s="1">
        <f>SUM(F91:F95)+SUM(H91:H95)</f>
        <v>74</v>
      </c>
      <c r="J97" t="s">
        <v>87</v>
      </c>
      <c r="K97" t="s">
        <v>18</v>
      </c>
      <c r="L97">
        <f>0.5*60</f>
        <v>30</v>
      </c>
      <c r="M97" t="s">
        <v>93</v>
      </c>
      <c r="N97" t="s">
        <v>94</v>
      </c>
    </row>
    <row r="98" spans="1:21" x14ac:dyDescent="0.25">
      <c r="K98" t="s">
        <v>89</v>
      </c>
      <c r="L98">
        <f>10+2</f>
        <v>12</v>
      </c>
    </row>
    <row r="99" spans="1:21" x14ac:dyDescent="0.25">
      <c r="A99" t="s">
        <v>88</v>
      </c>
      <c r="B99" s="36" t="s">
        <v>0</v>
      </c>
      <c r="C99" s="36"/>
      <c r="D99" s="5"/>
      <c r="E99" s="36" t="s">
        <v>1</v>
      </c>
      <c r="F99" s="36"/>
      <c r="G99" s="36" t="s">
        <v>2</v>
      </c>
      <c r="H99" s="36"/>
      <c r="L99">
        <f>L97-L98</f>
        <v>18</v>
      </c>
    </row>
    <row r="100" spans="1:21" ht="15.75" thickBot="1" x14ac:dyDescent="0.3">
      <c r="A100" t="s">
        <v>91</v>
      </c>
      <c r="B100" s="1" t="s">
        <v>3</v>
      </c>
      <c r="C100" s="1">
        <f>34+25</f>
        <v>59</v>
      </c>
      <c r="D100" s="2"/>
      <c r="E100" s="1" t="s">
        <v>45</v>
      </c>
      <c r="F100" s="1">
        <v>24</v>
      </c>
      <c r="G100" s="1" t="s">
        <v>5</v>
      </c>
      <c r="H100" s="1">
        <v>5</v>
      </c>
    </row>
    <row r="101" spans="1:21" ht="15.75" thickBot="1" x14ac:dyDescent="0.3">
      <c r="A101" t="s">
        <v>92</v>
      </c>
      <c r="B101" s="1" t="s">
        <v>55</v>
      </c>
      <c r="C101" s="1">
        <f>6+5</f>
        <v>11</v>
      </c>
      <c r="D101" s="2"/>
      <c r="E101" s="1" t="s">
        <v>4</v>
      </c>
      <c r="F101" s="1">
        <v>25</v>
      </c>
      <c r="G101" s="1" t="s">
        <v>41</v>
      </c>
      <c r="H101" s="1">
        <v>20</v>
      </c>
      <c r="K101" s="37" t="s">
        <v>95</v>
      </c>
      <c r="L101" s="38"/>
      <c r="M101" s="38"/>
      <c r="N101" s="38"/>
      <c r="O101" s="39"/>
      <c r="Q101" s="37" t="s">
        <v>96</v>
      </c>
      <c r="R101" s="38"/>
      <c r="S101" s="38"/>
      <c r="T101" s="38"/>
      <c r="U101" s="39"/>
    </row>
    <row r="102" spans="1:21" ht="15.75" thickBot="1" x14ac:dyDescent="0.3">
      <c r="B102" s="1" t="s">
        <v>51</v>
      </c>
      <c r="C102" s="1">
        <v>20</v>
      </c>
      <c r="D102" s="2"/>
      <c r="E102" s="1"/>
      <c r="F102" s="1"/>
      <c r="G102" s="1" t="s">
        <v>22</v>
      </c>
      <c r="H102" s="12">
        <v>18</v>
      </c>
      <c r="K102" s="25" t="s">
        <v>18</v>
      </c>
      <c r="O102" s="26">
        <v>30</v>
      </c>
      <c r="Q102" s="25" t="s">
        <v>18</v>
      </c>
      <c r="U102" s="26">
        <v>30</v>
      </c>
    </row>
    <row r="103" spans="1:21" x14ac:dyDescent="0.25">
      <c r="B103" s="1" t="s">
        <v>52</v>
      </c>
      <c r="C103" s="1">
        <v>0</v>
      </c>
      <c r="D103" s="2"/>
      <c r="E103" s="1"/>
      <c r="F103" s="1"/>
      <c r="G103" s="1"/>
      <c r="H103" s="1"/>
      <c r="K103" s="25" t="s">
        <v>30</v>
      </c>
      <c r="M103" s="7">
        <v>12</v>
      </c>
      <c r="O103" s="27"/>
      <c r="Q103" s="25" t="s">
        <v>30</v>
      </c>
      <c r="S103" s="7">
        <v>12</v>
      </c>
      <c r="U103" s="27"/>
    </row>
    <row r="104" spans="1:21" x14ac:dyDescent="0.25">
      <c r="B104" s="1" t="s">
        <v>61</v>
      </c>
      <c r="C104" s="1">
        <v>2</v>
      </c>
      <c r="D104" s="2"/>
      <c r="E104" s="1"/>
      <c r="F104" s="1"/>
      <c r="G104" s="1"/>
      <c r="H104" s="1"/>
      <c r="K104" s="25" t="s">
        <v>31</v>
      </c>
      <c r="O104" s="27"/>
      <c r="Q104" s="25" t="s">
        <v>31</v>
      </c>
      <c r="U104" s="27"/>
    </row>
    <row r="105" spans="1:21" x14ac:dyDescent="0.25">
      <c r="K105" s="25"/>
      <c r="L105" t="s">
        <v>32</v>
      </c>
      <c r="M105" s="7">
        <v>0</v>
      </c>
      <c r="O105" s="27"/>
      <c r="Q105" s="25"/>
      <c r="R105" t="s">
        <v>32</v>
      </c>
      <c r="S105" s="7">
        <v>0</v>
      </c>
      <c r="U105" s="27"/>
    </row>
    <row r="106" spans="1:21" x14ac:dyDescent="0.25">
      <c r="B106" s="1" t="s">
        <v>6</v>
      </c>
      <c r="C106" s="1">
        <f>SUM(C100:C104)</f>
        <v>92</v>
      </c>
      <c r="D106" s="2"/>
      <c r="E106" s="35" t="s">
        <v>7</v>
      </c>
      <c r="F106" s="35"/>
      <c r="G106" s="35"/>
      <c r="H106" s="1">
        <f>SUM(F100:F104)+SUM(H100:H104)</f>
        <v>92</v>
      </c>
      <c r="K106" s="25"/>
      <c r="L106" t="s">
        <v>10</v>
      </c>
      <c r="M106" s="7">
        <v>20</v>
      </c>
      <c r="O106" s="27"/>
      <c r="Q106" s="25"/>
      <c r="R106" t="s">
        <v>10</v>
      </c>
      <c r="S106" s="7">
        <v>20</v>
      </c>
      <c r="U106" s="27"/>
    </row>
    <row r="107" spans="1:21" x14ac:dyDescent="0.25">
      <c r="K107" s="25" t="s">
        <v>33</v>
      </c>
      <c r="N107" s="7">
        <f>M103+M105+M106</f>
        <v>32</v>
      </c>
      <c r="O107" s="27"/>
      <c r="Q107" s="25" t="s">
        <v>33</v>
      </c>
      <c r="T107" s="7">
        <f>S103+S105+S106</f>
        <v>32</v>
      </c>
      <c r="U107" s="27"/>
    </row>
    <row r="108" spans="1:21" x14ac:dyDescent="0.25">
      <c r="A108" t="s">
        <v>90</v>
      </c>
      <c r="B108" s="36" t="s">
        <v>0</v>
      </c>
      <c r="C108" s="36"/>
      <c r="D108" s="5"/>
      <c r="E108" s="36" t="s">
        <v>1</v>
      </c>
      <c r="F108" s="36"/>
      <c r="G108" s="36" t="s">
        <v>2</v>
      </c>
      <c r="H108" s="36"/>
      <c r="K108" s="25" t="s">
        <v>34</v>
      </c>
      <c r="N108" s="7">
        <v>20</v>
      </c>
      <c r="O108" s="27"/>
      <c r="Q108" s="25" t="s">
        <v>34</v>
      </c>
      <c r="T108" s="7">
        <v>10</v>
      </c>
      <c r="U108" s="27"/>
    </row>
    <row r="109" spans="1:21" x14ac:dyDescent="0.25">
      <c r="A109" t="s">
        <v>91</v>
      </c>
      <c r="B109" s="1" t="s">
        <v>3</v>
      </c>
      <c r="C109" s="1">
        <f>34+25</f>
        <v>59</v>
      </c>
      <c r="D109" s="2"/>
      <c r="E109" s="1" t="s">
        <v>45</v>
      </c>
      <c r="F109" s="1">
        <v>24</v>
      </c>
      <c r="G109" s="1" t="s">
        <v>5</v>
      </c>
      <c r="H109" s="1">
        <v>5</v>
      </c>
      <c r="K109" s="25" t="s">
        <v>35</v>
      </c>
      <c r="O109" s="26">
        <f>N107-N108</f>
        <v>12</v>
      </c>
      <c r="Q109" s="25" t="s">
        <v>35</v>
      </c>
      <c r="U109" s="26">
        <f>T107-T108</f>
        <v>22</v>
      </c>
    </row>
    <row r="110" spans="1:21" ht="15.75" thickBot="1" x14ac:dyDescent="0.3">
      <c r="A110" t="s">
        <v>92</v>
      </c>
      <c r="B110" s="1" t="s">
        <v>55</v>
      </c>
      <c r="C110" s="1">
        <v>11</v>
      </c>
      <c r="D110" s="2"/>
      <c r="E110" s="1" t="s">
        <v>4</v>
      </c>
      <c r="F110" s="1">
        <v>25</v>
      </c>
      <c r="G110" s="1" t="s">
        <v>41</v>
      </c>
      <c r="H110" s="1">
        <v>20</v>
      </c>
      <c r="K110" s="25" t="s">
        <v>36</v>
      </c>
      <c r="O110" s="26">
        <f>O102-O109</f>
        <v>18</v>
      </c>
      <c r="Q110" s="25" t="s">
        <v>36</v>
      </c>
      <c r="U110" s="26">
        <f>U102-U109</f>
        <v>8</v>
      </c>
    </row>
    <row r="111" spans="1:21" ht="15.75" thickBot="1" x14ac:dyDescent="0.3">
      <c r="B111" s="1" t="s">
        <v>51</v>
      </c>
      <c r="C111" s="1">
        <v>10</v>
      </c>
      <c r="D111" s="2"/>
      <c r="E111" s="1"/>
      <c r="F111" s="1"/>
      <c r="G111" s="1" t="s">
        <v>22</v>
      </c>
      <c r="H111" s="12">
        <v>8</v>
      </c>
      <c r="K111" s="25" t="s">
        <v>38</v>
      </c>
      <c r="O111" s="28">
        <f>SUM(M113:M114)</f>
        <v>0</v>
      </c>
      <c r="Q111" s="25" t="s">
        <v>38</v>
      </c>
      <c r="U111" s="28">
        <f>SUM(S113:S114)</f>
        <v>0</v>
      </c>
    </row>
    <row r="112" spans="1:21" ht="15.75" thickBot="1" x14ac:dyDescent="0.3">
      <c r="B112" s="1" t="s">
        <v>52</v>
      </c>
      <c r="C112" s="1">
        <v>0</v>
      </c>
      <c r="D112" s="2"/>
      <c r="E112" s="1"/>
      <c r="F112" s="1"/>
      <c r="G112" s="1"/>
      <c r="H112" s="1"/>
      <c r="K112" s="29" t="s">
        <v>39</v>
      </c>
      <c r="L112" s="30"/>
      <c r="M112" s="30"/>
      <c r="N112" s="30"/>
      <c r="O112" s="31">
        <f>O110-O111</f>
        <v>18</v>
      </c>
      <c r="Q112" s="29" t="s">
        <v>39</v>
      </c>
      <c r="R112" s="30"/>
      <c r="S112" s="30"/>
      <c r="T112" s="30"/>
      <c r="U112" s="31">
        <f>U110-U111</f>
        <v>8</v>
      </c>
    </row>
    <row r="113" spans="1:17" x14ac:dyDescent="0.25">
      <c r="B113" s="1" t="s">
        <v>61</v>
      </c>
      <c r="C113" s="1">
        <v>2</v>
      </c>
      <c r="D113" s="2"/>
      <c r="E113" s="1"/>
      <c r="F113" s="1"/>
      <c r="G113" s="1"/>
      <c r="H113" s="1"/>
    </row>
    <row r="114" spans="1:17" x14ac:dyDescent="0.25">
      <c r="Q114" t="s">
        <v>97</v>
      </c>
    </row>
    <row r="115" spans="1:17" x14ac:dyDescent="0.25">
      <c r="B115" s="1" t="s">
        <v>6</v>
      </c>
      <c r="C115" s="1">
        <f>SUM(C109:C113)</f>
        <v>82</v>
      </c>
      <c r="D115" s="2"/>
      <c r="E115" s="35" t="s">
        <v>7</v>
      </c>
      <c r="F115" s="35"/>
      <c r="G115" s="35"/>
      <c r="H115" s="1">
        <f>SUM(F109:F113)+SUM(H109:H113)</f>
        <v>82</v>
      </c>
      <c r="K115" t="s">
        <v>98</v>
      </c>
    </row>
    <row r="117" spans="1:17" s="23" customFormat="1" ht="6" customHeight="1" x14ac:dyDescent="0.25"/>
    <row r="120" spans="1:17" x14ac:dyDescent="0.25">
      <c r="A120" t="s">
        <v>40</v>
      </c>
      <c r="B120" s="36" t="s">
        <v>0</v>
      </c>
      <c r="C120" s="36"/>
      <c r="D120" s="5"/>
      <c r="E120" s="36" t="s">
        <v>1</v>
      </c>
      <c r="F120" s="36"/>
      <c r="G120" s="36" t="s">
        <v>2</v>
      </c>
      <c r="H120" s="36"/>
      <c r="K120" s="35" t="s">
        <v>100</v>
      </c>
      <c r="L120" s="35"/>
      <c r="M120" s="35"/>
      <c r="N120" s="35"/>
    </row>
    <row r="121" spans="1:17" x14ac:dyDescent="0.25">
      <c r="A121" t="s">
        <v>99</v>
      </c>
      <c r="B121" s="1" t="s">
        <v>3</v>
      </c>
      <c r="C121" s="1">
        <f>C109+5</f>
        <v>64</v>
      </c>
      <c r="D121" s="2"/>
      <c r="E121" s="1" t="s">
        <v>45</v>
      </c>
      <c r="F121" s="1">
        <v>24</v>
      </c>
      <c r="G121" s="1" t="s">
        <v>5</v>
      </c>
      <c r="H121" s="1">
        <v>5</v>
      </c>
      <c r="K121" t="s">
        <v>101</v>
      </c>
      <c r="M121" s="7">
        <v>5</v>
      </c>
    </row>
    <row r="122" spans="1:17" x14ac:dyDescent="0.25">
      <c r="B122" s="1" t="s">
        <v>55</v>
      </c>
      <c r="C122" s="1">
        <f>C110-5</f>
        <v>6</v>
      </c>
      <c r="D122" s="2"/>
      <c r="E122" s="1" t="s">
        <v>4</v>
      </c>
      <c r="F122" s="1">
        <v>25</v>
      </c>
      <c r="G122" s="1" t="s">
        <v>41</v>
      </c>
      <c r="H122" s="1">
        <v>28</v>
      </c>
      <c r="K122" t="s">
        <v>102</v>
      </c>
      <c r="M122" s="7"/>
    </row>
    <row r="123" spans="1:17" x14ac:dyDescent="0.25">
      <c r="B123" s="1" t="s">
        <v>51</v>
      </c>
      <c r="C123" s="1">
        <v>10</v>
      </c>
      <c r="D123" s="2"/>
      <c r="E123" s="1"/>
      <c r="F123" s="1"/>
      <c r="G123" s="1" t="s">
        <v>22</v>
      </c>
      <c r="H123" s="1">
        <v>0</v>
      </c>
      <c r="K123" t="s">
        <v>103</v>
      </c>
      <c r="M123" s="7"/>
    </row>
    <row r="124" spans="1:17" x14ac:dyDescent="0.25">
      <c r="B124" s="1" t="s">
        <v>52</v>
      </c>
      <c r="C124" s="1">
        <v>0</v>
      </c>
      <c r="D124" s="2"/>
      <c r="E124" s="1"/>
      <c r="F124" s="1"/>
      <c r="G124" s="1"/>
      <c r="H124" s="1"/>
      <c r="K124" t="s">
        <v>104</v>
      </c>
      <c r="M124" s="7"/>
    </row>
    <row r="125" spans="1:17" x14ac:dyDescent="0.25">
      <c r="B125" s="1" t="s">
        <v>61</v>
      </c>
      <c r="C125" s="1">
        <v>2</v>
      </c>
      <c r="D125" s="2"/>
      <c r="E125" s="1"/>
      <c r="F125" s="1"/>
      <c r="G125" s="1"/>
      <c r="H125" s="1"/>
      <c r="K125" t="s">
        <v>105</v>
      </c>
      <c r="N125" s="7">
        <f>M121-M122-M123-M124</f>
        <v>5</v>
      </c>
    </row>
    <row r="126" spans="1:17" x14ac:dyDescent="0.25">
      <c r="K126" t="s">
        <v>106</v>
      </c>
      <c r="N126" s="7">
        <v>59</v>
      </c>
    </row>
    <row r="127" spans="1:17" x14ac:dyDescent="0.25">
      <c r="B127" s="1" t="s">
        <v>6</v>
      </c>
      <c r="C127" s="1">
        <f>SUM(C121:C125)</f>
        <v>82</v>
      </c>
      <c r="D127" s="2"/>
      <c r="E127" s="35" t="s">
        <v>7</v>
      </c>
      <c r="F127" s="35"/>
      <c r="G127" s="35"/>
      <c r="H127" s="1">
        <f>SUM(F121:F125)+SUM(H121:H125)</f>
        <v>82</v>
      </c>
      <c r="K127" t="s">
        <v>107</v>
      </c>
      <c r="N127" s="7">
        <f>N126+N125</f>
        <v>64</v>
      </c>
    </row>
    <row r="129" spans="1:17" x14ac:dyDescent="0.25">
      <c r="A129" s="32" t="s">
        <v>108</v>
      </c>
      <c r="B129" s="36" t="s">
        <v>0</v>
      </c>
      <c r="C129" s="36"/>
      <c r="D129" s="5"/>
      <c r="E129" s="36" t="s">
        <v>1</v>
      </c>
      <c r="F129" s="36"/>
      <c r="G129" s="36" t="s">
        <v>2</v>
      </c>
      <c r="H129" s="36"/>
      <c r="K129" s="35" t="s">
        <v>100</v>
      </c>
      <c r="L129" s="35"/>
      <c r="M129" s="35"/>
      <c r="N129" s="35"/>
      <c r="P129" t="s">
        <v>114</v>
      </c>
    </row>
    <row r="130" spans="1:17" x14ac:dyDescent="0.25">
      <c r="A130" s="19" t="s">
        <v>109</v>
      </c>
      <c r="B130" s="1" t="s">
        <v>3</v>
      </c>
      <c r="C130" s="1">
        <v>52</v>
      </c>
      <c r="D130" s="2"/>
      <c r="E130" s="1" t="s">
        <v>45</v>
      </c>
      <c r="F130" s="1">
        <v>27</v>
      </c>
      <c r="G130" s="1" t="s">
        <v>5</v>
      </c>
      <c r="H130" s="1">
        <v>5</v>
      </c>
      <c r="K130" t="s">
        <v>101</v>
      </c>
      <c r="M130" s="7">
        <v>5</v>
      </c>
      <c r="P130" t="s">
        <v>115</v>
      </c>
    </row>
    <row r="131" spans="1:17" x14ac:dyDescent="0.25">
      <c r="A131" s="7" t="s">
        <v>111</v>
      </c>
      <c r="B131" s="1" t="s">
        <v>55</v>
      </c>
      <c r="C131" s="1">
        <v>6</v>
      </c>
      <c r="D131" s="2"/>
      <c r="E131" s="1" t="s">
        <v>4</v>
      </c>
      <c r="F131" s="1">
        <v>25</v>
      </c>
      <c r="G131" s="1" t="s">
        <v>41</v>
      </c>
      <c r="H131" s="1">
        <v>28</v>
      </c>
      <c r="K131" t="s">
        <v>102</v>
      </c>
      <c r="M131" s="7"/>
      <c r="P131" t="s">
        <v>116</v>
      </c>
    </row>
    <row r="132" spans="1:17" x14ac:dyDescent="0.25">
      <c r="A132" t="s">
        <v>112</v>
      </c>
      <c r="B132" s="1" t="s">
        <v>51</v>
      </c>
      <c r="C132" s="1">
        <v>10</v>
      </c>
      <c r="D132" s="2"/>
      <c r="E132" s="1"/>
      <c r="F132" s="1"/>
      <c r="G132" s="1" t="s">
        <v>22</v>
      </c>
      <c r="H132" s="18">
        <v>-3</v>
      </c>
      <c r="K132" t="s">
        <v>103</v>
      </c>
      <c r="M132" s="7">
        <v>10</v>
      </c>
    </row>
    <row r="133" spans="1:17" x14ac:dyDescent="0.25">
      <c r="A133" s="7" t="s">
        <v>113</v>
      </c>
      <c r="B133" s="1" t="s">
        <v>52</v>
      </c>
      <c r="C133" s="1">
        <v>0</v>
      </c>
      <c r="D133" s="2"/>
      <c r="E133" s="1"/>
      <c r="F133" s="1"/>
      <c r="G133" s="1"/>
      <c r="H133" s="1"/>
      <c r="K133" t="s">
        <v>104</v>
      </c>
      <c r="M133" s="7">
        <v>2</v>
      </c>
    </row>
    <row r="134" spans="1:17" x14ac:dyDescent="0.25">
      <c r="B134" s="1" t="s">
        <v>61</v>
      </c>
      <c r="C134" s="1">
        <v>2</v>
      </c>
      <c r="D134" s="2"/>
      <c r="E134" s="1"/>
      <c r="F134" s="1"/>
      <c r="G134" s="1"/>
      <c r="H134" s="1"/>
      <c r="K134" t="s">
        <v>105</v>
      </c>
      <c r="N134" s="7">
        <f>M130-M131-M132-M133</f>
        <v>-7</v>
      </c>
    </row>
    <row r="135" spans="1:17" x14ac:dyDescent="0.25">
      <c r="B135" s="1" t="s">
        <v>110</v>
      </c>
      <c r="C135" s="20">
        <v>12</v>
      </c>
      <c r="K135" t="s">
        <v>106</v>
      </c>
      <c r="N135" s="7">
        <v>59</v>
      </c>
    </row>
    <row r="136" spans="1:17" x14ac:dyDescent="0.25">
      <c r="K136" t="s">
        <v>107</v>
      </c>
      <c r="N136" s="7">
        <f>N135+N134</f>
        <v>52</v>
      </c>
    </row>
    <row r="137" spans="1:17" x14ac:dyDescent="0.25">
      <c r="B137" s="1" t="s">
        <v>6</v>
      </c>
      <c r="C137" s="1">
        <f>SUM(C130:C135)</f>
        <v>82</v>
      </c>
      <c r="D137" s="2"/>
      <c r="E137" s="35" t="s">
        <v>7</v>
      </c>
      <c r="F137" s="35"/>
      <c r="G137" s="35"/>
      <c r="H137" s="1">
        <f>SUM(F130:F135)+SUM(H130:H135)</f>
        <v>82</v>
      </c>
    </row>
    <row r="140" spans="1:17" x14ac:dyDescent="0.25">
      <c r="A140" t="s">
        <v>117</v>
      </c>
      <c r="B140" s="36" t="s">
        <v>0</v>
      </c>
      <c r="C140" s="36"/>
      <c r="D140" s="5"/>
      <c r="E140" s="36" t="s">
        <v>1</v>
      </c>
      <c r="F140" s="36"/>
      <c r="G140" s="36" t="s">
        <v>2</v>
      </c>
      <c r="H140" s="36"/>
      <c r="K140" s="35" t="s">
        <v>100</v>
      </c>
      <c r="L140" s="35"/>
      <c r="M140" s="35"/>
      <c r="N140" s="35"/>
      <c r="Q140" t="s">
        <v>118</v>
      </c>
    </row>
    <row r="141" spans="1:17" x14ac:dyDescent="0.25">
      <c r="A141" t="s">
        <v>121</v>
      </c>
      <c r="B141" s="1" t="s">
        <v>3</v>
      </c>
      <c r="C141" s="1">
        <f>52-20+40-4-27</f>
        <v>41</v>
      </c>
      <c r="D141" s="2"/>
      <c r="E141" s="1" t="s">
        <v>45</v>
      </c>
      <c r="F141" s="1">
        <f>27-4</f>
        <v>23</v>
      </c>
      <c r="G141" s="1" t="s">
        <v>5</v>
      </c>
      <c r="H141" s="1">
        <v>5</v>
      </c>
      <c r="K141" t="s">
        <v>101</v>
      </c>
      <c r="M141" s="7">
        <v>45</v>
      </c>
      <c r="P141" t="s">
        <v>119</v>
      </c>
      <c r="Q141">
        <v>20</v>
      </c>
    </row>
    <row r="142" spans="1:17" x14ac:dyDescent="0.25">
      <c r="A142" t="s">
        <v>122</v>
      </c>
      <c r="B142" s="1" t="s">
        <v>55</v>
      </c>
      <c r="C142" s="1">
        <v>16</v>
      </c>
      <c r="D142" s="2"/>
      <c r="E142" s="1" t="s">
        <v>4</v>
      </c>
      <c r="F142" s="1">
        <v>0</v>
      </c>
      <c r="G142" s="1" t="s">
        <v>41</v>
      </c>
      <c r="H142" s="1">
        <v>28</v>
      </c>
      <c r="K142" t="s">
        <v>102</v>
      </c>
      <c r="M142" s="7">
        <v>20</v>
      </c>
      <c r="P142" t="s">
        <v>56</v>
      </c>
      <c r="Q142">
        <f>100*0.5</f>
        <v>50</v>
      </c>
    </row>
    <row r="143" spans="1:17" x14ac:dyDescent="0.25">
      <c r="A143" t="s">
        <v>123</v>
      </c>
      <c r="B143" s="1" t="s">
        <v>51</v>
      </c>
      <c r="C143" s="1">
        <v>10</v>
      </c>
      <c r="D143" s="2"/>
      <c r="E143" s="1"/>
      <c r="F143" s="1"/>
      <c r="G143" s="1" t="s">
        <v>22</v>
      </c>
      <c r="H143" s="1">
        <f>H132+Q143-2</f>
        <v>25</v>
      </c>
      <c r="K143" t="s">
        <v>103</v>
      </c>
      <c r="M143" s="7">
        <v>10</v>
      </c>
      <c r="P143" t="s">
        <v>120</v>
      </c>
      <c r="Q143">
        <f>Q142-Q141</f>
        <v>30</v>
      </c>
    </row>
    <row r="144" spans="1:17" x14ac:dyDescent="0.25">
      <c r="B144" s="1" t="s">
        <v>52</v>
      </c>
      <c r="C144" s="1">
        <v>0</v>
      </c>
      <c r="D144" s="2"/>
      <c r="E144" s="1"/>
      <c r="F144" s="1"/>
      <c r="G144" s="1"/>
      <c r="H144" s="1"/>
      <c r="K144" t="s">
        <v>124</v>
      </c>
      <c r="M144" s="7">
        <v>29</v>
      </c>
    </row>
    <row r="145" spans="1:21" x14ac:dyDescent="0.25">
      <c r="B145" s="1" t="s">
        <v>61</v>
      </c>
      <c r="C145" s="1">
        <v>2</v>
      </c>
      <c r="D145" s="2"/>
      <c r="E145" s="1"/>
      <c r="F145" s="1"/>
      <c r="G145" s="1"/>
      <c r="H145" s="1"/>
      <c r="K145" t="s">
        <v>104</v>
      </c>
      <c r="M145" s="7">
        <v>4</v>
      </c>
    </row>
    <row r="146" spans="1:21" x14ac:dyDescent="0.25">
      <c r="B146" s="1" t="s">
        <v>110</v>
      </c>
      <c r="C146" s="1">
        <v>12</v>
      </c>
      <c r="D146" s="2"/>
      <c r="E146" s="1"/>
      <c r="F146" s="1"/>
      <c r="G146" s="1"/>
      <c r="H146" s="1"/>
      <c r="K146" t="s">
        <v>105</v>
      </c>
      <c r="N146" s="7">
        <f>M141-M142-M143-M145-M144</f>
        <v>-18</v>
      </c>
    </row>
    <row r="147" spans="1:21" ht="15.75" thickBot="1" x14ac:dyDescent="0.3">
      <c r="K147" t="s">
        <v>106</v>
      </c>
      <c r="N147" s="7">
        <v>59</v>
      </c>
    </row>
    <row r="148" spans="1:21" x14ac:dyDescent="0.25">
      <c r="B148" s="1" t="s">
        <v>6</v>
      </c>
      <c r="C148" s="1">
        <f>SUM(C141:C146)</f>
        <v>81</v>
      </c>
      <c r="D148" s="2"/>
      <c r="E148" s="35" t="s">
        <v>7</v>
      </c>
      <c r="F148" s="35"/>
      <c r="G148" s="35"/>
      <c r="H148" s="1">
        <f>SUM(F141:F146)+SUM(H141:H146)</f>
        <v>81</v>
      </c>
      <c r="K148" t="s">
        <v>107</v>
      </c>
      <c r="N148" s="7">
        <f>N147+N146</f>
        <v>41</v>
      </c>
      <c r="Q148" s="37" t="s">
        <v>29</v>
      </c>
      <c r="R148" s="38"/>
      <c r="S148" s="38"/>
      <c r="T148" s="38"/>
      <c r="U148" s="39"/>
    </row>
    <row r="149" spans="1:21" x14ac:dyDescent="0.25">
      <c r="Q149" s="25" t="s">
        <v>18</v>
      </c>
      <c r="U149" s="26">
        <v>50</v>
      </c>
    </row>
    <row r="150" spans="1:21" x14ac:dyDescent="0.25">
      <c r="Q150" s="25" t="s">
        <v>30</v>
      </c>
      <c r="S150" s="7">
        <v>10</v>
      </c>
      <c r="U150" s="27"/>
    </row>
    <row r="151" spans="1:21" x14ac:dyDescent="0.25">
      <c r="A151" t="s">
        <v>127</v>
      </c>
      <c r="B151" s="36" t="s">
        <v>0</v>
      </c>
      <c r="C151" s="36"/>
      <c r="D151" s="5"/>
      <c r="E151" s="36" t="s">
        <v>1</v>
      </c>
      <c r="F151" s="36"/>
      <c r="G151" s="36" t="s">
        <v>2</v>
      </c>
      <c r="H151" s="36"/>
      <c r="Q151" s="25" t="s">
        <v>31</v>
      </c>
      <c r="U151" s="27"/>
    </row>
    <row r="152" spans="1:21" x14ac:dyDescent="0.25">
      <c r="B152" s="1" t="s">
        <v>3</v>
      </c>
      <c r="C152" s="1">
        <v>41</v>
      </c>
      <c r="D152" s="2"/>
      <c r="E152" s="1" t="s">
        <v>45</v>
      </c>
      <c r="F152" s="1">
        <v>23</v>
      </c>
      <c r="G152" s="1" t="s">
        <v>5</v>
      </c>
      <c r="H152" s="1">
        <v>5</v>
      </c>
      <c r="Q152" s="25"/>
      <c r="R152" t="s">
        <v>131</v>
      </c>
      <c r="S152" s="7">
        <v>20</v>
      </c>
      <c r="U152" s="27"/>
    </row>
    <row r="153" spans="1:21" x14ac:dyDescent="0.25">
      <c r="B153" s="1" t="s">
        <v>55</v>
      </c>
      <c r="C153" s="1">
        <v>16</v>
      </c>
      <c r="D153" s="2"/>
      <c r="E153" s="1" t="s">
        <v>4</v>
      </c>
      <c r="F153" s="1">
        <v>0</v>
      </c>
      <c r="G153" s="1" t="s">
        <v>41</v>
      </c>
      <c r="H153" s="1">
        <v>28</v>
      </c>
      <c r="Q153" s="25"/>
      <c r="S153" s="7"/>
      <c r="U153" s="27"/>
    </row>
    <row r="154" spans="1:21" x14ac:dyDescent="0.25">
      <c r="B154" s="1" t="s">
        <v>51</v>
      </c>
      <c r="C154" s="1">
        <v>10</v>
      </c>
      <c r="D154" s="2"/>
      <c r="E154" s="1"/>
      <c r="F154" s="1"/>
      <c r="G154" s="1" t="s">
        <v>22</v>
      </c>
      <c r="H154" s="18">
        <v>24</v>
      </c>
      <c r="K154" t="s">
        <v>128</v>
      </c>
      <c r="Q154" s="25" t="s">
        <v>33</v>
      </c>
      <c r="T154" s="7">
        <f>S150+S152+S153</f>
        <v>30</v>
      </c>
      <c r="U154" s="27"/>
    </row>
    <row r="155" spans="1:21" x14ac:dyDescent="0.25">
      <c r="B155" s="1" t="s">
        <v>52</v>
      </c>
      <c r="C155" s="1">
        <v>0</v>
      </c>
      <c r="D155" s="2"/>
      <c r="E155" s="1"/>
      <c r="F155" s="1"/>
      <c r="G155" s="1"/>
      <c r="H155" s="1"/>
      <c r="K155" s="41" t="s">
        <v>129</v>
      </c>
      <c r="Q155" s="25" t="s">
        <v>34</v>
      </c>
      <c r="T155" s="7">
        <v>10</v>
      </c>
      <c r="U155" s="27"/>
    </row>
    <row r="156" spans="1:21" x14ac:dyDescent="0.25">
      <c r="B156" s="1" t="s">
        <v>61</v>
      </c>
      <c r="C156" s="1">
        <v>2</v>
      </c>
      <c r="D156" s="2"/>
      <c r="E156" s="1"/>
      <c r="F156" s="1"/>
      <c r="G156" s="1"/>
      <c r="H156" s="1"/>
      <c r="K156" t="s">
        <v>130</v>
      </c>
      <c r="Q156" s="25" t="s">
        <v>35</v>
      </c>
      <c r="U156" s="26">
        <f>T154-T155</f>
        <v>20</v>
      </c>
    </row>
    <row r="157" spans="1:21" x14ac:dyDescent="0.25">
      <c r="B157" s="1" t="s">
        <v>125</v>
      </c>
      <c r="C157" s="1">
        <v>2</v>
      </c>
      <c r="D157" s="2"/>
      <c r="E157" s="1"/>
      <c r="F157" s="1"/>
      <c r="G157" s="1"/>
      <c r="H157" s="1"/>
      <c r="Q157" s="25" t="s">
        <v>36</v>
      </c>
      <c r="U157" s="26">
        <f>U149-U156</f>
        <v>30</v>
      </c>
    </row>
    <row r="158" spans="1:21" x14ac:dyDescent="0.25">
      <c r="B158" s="1" t="s">
        <v>126</v>
      </c>
      <c r="C158" s="1">
        <v>9</v>
      </c>
      <c r="Q158" s="25" t="s">
        <v>37</v>
      </c>
      <c r="R158" s="19" t="s">
        <v>132</v>
      </c>
      <c r="S158" s="7">
        <v>2</v>
      </c>
      <c r="U158" s="27"/>
    </row>
    <row r="159" spans="1:21" x14ac:dyDescent="0.25">
      <c r="Q159" s="25"/>
      <c r="R159" s="7" t="s">
        <v>133</v>
      </c>
      <c r="S159" s="7">
        <v>1</v>
      </c>
      <c r="U159" s="27"/>
    </row>
    <row r="160" spans="1:21" x14ac:dyDescent="0.25">
      <c r="B160" s="1" t="s">
        <v>6</v>
      </c>
      <c r="C160" s="1">
        <f>SUM(C152:C158)</f>
        <v>80</v>
      </c>
      <c r="D160" s="2"/>
      <c r="E160" s="35" t="s">
        <v>7</v>
      </c>
      <c r="F160" s="35"/>
      <c r="G160" s="35"/>
      <c r="H160" s="1">
        <f>SUM(F152:F158)+SUM(H152:H158)</f>
        <v>80</v>
      </c>
      <c r="Q160" s="25"/>
      <c r="R160" t="s">
        <v>134</v>
      </c>
      <c r="S160">
        <v>3</v>
      </c>
      <c r="U160" s="27"/>
    </row>
    <row r="161" spans="1:21" x14ac:dyDescent="0.25">
      <c r="Q161" s="25" t="s">
        <v>38</v>
      </c>
      <c r="U161" s="26">
        <f>SUM(S158:S160)</f>
        <v>6</v>
      </c>
    </row>
    <row r="162" spans="1:21" ht="15.75" thickBot="1" x14ac:dyDescent="0.3">
      <c r="Q162" s="29" t="s">
        <v>39</v>
      </c>
      <c r="R162" s="30"/>
      <c r="S162" s="30"/>
      <c r="T162" s="30"/>
      <c r="U162" s="33">
        <f>U157-U161</f>
        <v>24</v>
      </c>
    </row>
    <row r="164" spans="1:21" s="23" customFormat="1" ht="6.75" customHeight="1" x14ac:dyDescent="0.25"/>
    <row r="166" spans="1:21" x14ac:dyDescent="0.25">
      <c r="A166" t="s">
        <v>40</v>
      </c>
      <c r="B166" s="36" t="s">
        <v>0</v>
      </c>
      <c r="C166" s="36"/>
      <c r="D166" s="5"/>
      <c r="E166" s="36" t="s">
        <v>1</v>
      </c>
      <c r="F166" s="36"/>
      <c r="G166" s="36" t="s">
        <v>2</v>
      </c>
      <c r="H166" s="36"/>
      <c r="J166" t="s">
        <v>139</v>
      </c>
    </row>
    <row r="167" spans="1:21" x14ac:dyDescent="0.25">
      <c r="A167" t="s">
        <v>137</v>
      </c>
      <c r="B167" s="1" t="s">
        <v>3</v>
      </c>
      <c r="C167" s="1">
        <v>46</v>
      </c>
      <c r="D167" s="2"/>
      <c r="E167" s="1" t="s">
        <v>45</v>
      </c>
      <c r="F167" s="1">
        <f>23+9</f>
        <v>32</v>
      </c>
      <c r="G167" s="1" t="s">
        <v>5</v>
      </c>
      <c r="H167" s="1">
        <v>5</v>
      </c>
      <c r="J167" t="s">
        <v>140</v>
      </c>
    </row>
    <row r="168" spans="1:21" x14ac:dyDescent="0.25">
      <c r="A168" t="s">
        <v>138</v>
      </c>
      <c r="B168" s="1" t="s">
        <v>55</v>
      </c>
      <c r="C168" s="1">
        <v>16</v>
      </c>
      <c r="D168" s="2"/>
      <c r="E168" s="1" t="s">
        <v>4</v>
      </c>
      <c r="F168" s="1">
        <v>0</v>
      </c>
      <c r="G168" s="1" t="s">
        <v>41</v>
      </c>
      <c r="H168" s="1">
        <f>28+24</f>
        <v>52</v>
      </c>
    </row>
    <row r="169" spans="1:21" x14ac:dyDescent="0.25">
      <c r="A169" t="s">
        <v>141</v>
      </c>
      <c r="B169" s="1" t="s">
        <v>51</v>
      </c>
      <c r="C169" s="1">
        <v>10</v>
      </c>
      <c r="D169" s="2"/>
      <c r="E169" s="1"/>
      <c r="F169" s="1"/>
      <c r="G169" s="1" t="s">
        <v>22</v>
      </c>
      <c r="H169" s="1">
        <v>16</v>
      </c>
    </row>
    <row r="170" spans="1:21" x14ac:dyDescent="0.25">
      <c r="A170" t="s">
        <v>142</v>
      </c>
      <c r="B170" s="1" t="s">
        <v>52</v>
      </c>
      <c r="C170" s="1">
        <v>0</v>
      </c>
      <c r="D170" s="2"/>
      <c r="E170" s="1"/>
      <c r="F170" s="1"/>
      <c r="G170" s="1"/>
      <c r="H170" s="1"/>
    </row>
    <row r="171" spans="1:21" x14ac:dyDescent="0.25">
      <c r="B171" s="1" t="s">
        <v>61</v>
      </c>
      <c r="C171" s="1">
        <v>2</v>
      </c>
      <c r="D171" s="2"/>
      <c r="E171" s="1"/>
      <c r="F171" s="1"/>
      <c r="G171" s="1"/>
      <c r="H171" s="1"/>
    </row>
    <row r="172" spans="1:21" x14ac:dyDescent="0.25">
      <c r="B172" s="1" t="s">
        <v>125</v>
      </c>
      <c r="C172" s="1">
        <v>2</v>
      </c>
      <c r="D172" s="2"/>
      <c r="E172" s="1"/>
      <c r="F172" s="1"/>
      <c r="G172" s="1"/>
      <c r="H172" s="1"/>
    </row>
    <row r="173" spans="1:21" x14ac:dyDescent="0.25">
      <c r="B173" s="1" t="s">
        <v>136</v>
      </c>
      <c r="C173" s="1">
        <v>9</v>
      </c>
      <c r="D173" s="2"/>
      <c r="E173" s="1"/>
      <c r="F173" s="1"/>
      <c r="G173" s="1"/>
      <c r="H173" s="1"/>
    </row>
    <row r="174" spans="1:21" x14ac:dyDescent="0.25">
      <c r="B174" s="1" t="s">
        <v>135</v>
      </c>
      <c r="C174" s="1">
        <v>20</v>
      </c>
    </row>
    <row r="176" spans="1:21" x14ac:dyDescent="0.25">
      <c r="B176" s="1" t="s">
        <v>6</v>
      </c>
      <c r="C176" s="1">
        <f>SUM(C167:C174)</f>
        <v>105</v>
      </c>
      <c r="D176" s="2"/>
      <c r="E176" s="35" t="s">
        <v>7</v>
      </c>
      <c r="F176" s="35"/>
      <c r="G176" s="35"/>
      <c r="H176" s="1">
        <f>SUM(F167:F174)+SUM(H167:H174)</f>
        <v>105</v>
      </c>
    </row>
    <row r="177" spans="1:20" x14ac:dyDescent="0.25">
      <c r="J177" t="s">
        <v>144</v>
      </c>
      <c r="K177">
        <v>1</v>
      </c>
      <c r="L177">
        <v>2</v>
      </c>
      <c r="M177">
        <v>3</v>
      </c>
      <c r="N177">
        <v>4</v>
      </c>
      <c r="O177">
        <v>5</v>
      </c>
      <c r="P177">
        <v>6</v>
      </c>
      <c r="Q177">
        <v>7</v>
      </c>
      <c r="R177">
        <v>8</v>
      </c>
      <c r="S177">
        <v>9</v>
      </c>
      <c r="T177">
        <v>10</v>
      </c>
    </row>
    <row r="178" spans="1:20" x14ac:dyDescent="0.25">
      <c r="A178" t="s">
        <v>143</v>
      </c>
      <c r="B178" s="36" t="s">
        <v>0</v>
      </c>
      <c r="C178" s="36"/>
      <c r="D178" s="5"/>
      <c r="E178" s="36" t="s">
        <v>1</v>
      </c>
      <c r="F178" s="36"/>
      <c r="G178" s="36" t="s">
        <v>2</v>
      </c>
      <c r="H178" s="36"/>
      <c r="J178" t="s">
        <v>147</v>
      </c>
      <c r="K178">
        <v>20</v>
      </c>
      <c r="L178">
        <f>K180</f>
        <v>16</v>
      </c>
      <c r="M178">
        <f>L180</f>
        <v>12.8</v>
      </c>
      <c r="N178">
        <f>M180</f>
        <v>10.24</v>
      </c>
      <c r="O178">
        <f>N180</f>
        <v>8.1920000000000002</v>
      </c>
      <c r="P178">
        <f t="shared" ref="P178:T178" si="0">O180</f>
        <v>6.5536000000000003</v>
      </c>
      <c r="Q178">
        <f t="shared" si="0"/>
        <v>5.2428800000000004</v>
      </c>
      <c r="R178">
        <f t="shared" si="0"/>
        <v>4.1943040000000007</v>
      </c>
      <c r="S178">
        <f t="shared" si="0"/>
        <v>3.3554432000000007</v>
      </c>
      <c r="T178">
        <f t="shared" si="0"/>
        <v>2.6843545600000005</v>
      </c>
    </row>
    <row r="179" spans="1:20" x14ac:dyDescent="0.25">
      <c r="B179" s="1" t="s">
        <v>3</v>
      </c>
      <c r="C179" s="1">
        <v>46</v>
      </c>
      <c r="D179" s="2"/>
      <c r="E179" s="1" t="s">
        <v>45</v>
      </c>
      <c r="F179" s="1">
        <v>32</v>
      </c>
      <c r="G179" s="1" t="s">
        <v>5</v>
      </c>
      <c r="H179" s="1">
        <v>5</v>
      </c>
      <c r="J179" t="s">
        <v>146</v>
      </c>
      <c r="K179" s="19">
        <f>K178/10*2</f>
        <v>4</v>
      </c>
      <c r="L179">
        <f>L178/10*2</f>
        <v>3.2</v>
      </c>
      <c r="M179">
        <f>M178/10*2</f>
        <v>2.56</v>
      </c>
      <c r="N179">
        <f>N178/10*2</f>
        <v>2.048</v>
      </c>
      <c r="O179">
        <f>O178/10*2</f>
        <v>1.6384000000000001</v>
      </c>
      <c r="P179">
        <f t="shared" ref="P179:T179" si="1">P178/10*2</f>
        <v>1.3107200000000001</v>
      </c>
      <c r="Q179">
        <f t="shared" si="1"/>
        <v>1.0485760000000002</v>
      </c>
      <c r="R179">
        <f t="shared" si="1"/>
        <v>0.83886080000000018</v>
      </c>
      <c r="S179">
        <f t="shared" si="1"/>
        <v>0.67108864000000013</v>
      </c>
      <c r="T179">
        <f t="shared" si="1"/>
        <v>0.53687091200000014</v>
      </c>
    </row>
    <row r="180" spans="1:20" x14ac:dyDescent="0.25">
      <c r="B180" s="1" t="s">
        <v>55</v>
      </c>
      <c r="C180" s="1">
        <v>16</v>
      </c>
      <c r="D180" s="2"/>
      <c r="E180" s="1" t="s">
        <v>4</v>
      </c>
      <c r="F180" s="1">
        <v>0</v>
      </c>
      <c r="G180" s="1" t="s">
        <v>41</v>
      </c>
      <c r="H180" s="1">
        <v>52</v>
      </c>
      <c r="J180" t="s">
        <v>145</v>
      </c>
      <c r="K180">
        <f>K178-K179</f>
        <v>16</v>
      </c>
      <c r="L180">
        <f>L178-L179</f>
        <v>12.8</v>
      </c>
      <c r="M180">
        <f>M178-M179</f>
        <v>10.24</v>
      </c>
      <c r="N180">
        <f>N178-N179</f>
        <v>8.1920000000000002</v>
      </c>
      <c r="O180">
        <f>O178-O179</f>
        <v>6.5536000000000003</v>
      </c>
      <c r="P180">
        <f t="shared" ref="P180:T180" si="2">P178-P179</f>
        <v>5.2428800000000004</v>
      </c>
      <c r="Q180">
        <f t="shared" si="2"/>
        <v>4.1943040000000007</v>
      </c>
      <c r="R180">
        <f t="shared" si="2"/>
        <v>3.3554432000000007</v>
      </c>
      <c r="S180">
        <f t="shared" si="2"/>
        <v>2.6843545600000005</v>
      </c>
      <c r="T180">
        <f t="shared" si="2"/>
        <v>2.1474836480000006</v>
      </c>
    </row>
    <row r="181" spans="1:20" x14ac:dyDescent="0.25">
      <c r="B181" s="1" t="s">
        <v>51</v>
      </c>
      <c r="C181" s="1">
        <v>10</v>
      </c>
      <c r="D181" s="2"/>
      <c r="E181" s="1"/>
      <c r="F181" s="1"/>
      <c r="G181" s="1" t="s">
        <v>22</v>
      </c>
      <c r="H181" s="1">
        <v>12</v>
      </c>
      <c r="K181" t="s">
        <v>148</v>
      </c>
    </row>
    <row r="182" spans="1:20" x14ac:dyDescent="0.25">
      <c r="B182" s="1" t="s">
        <v>52</v>
      </c>
      <c r="C182" s="1">
        <v>0</v>
      </c>
      <c r="D182" s="2"/>
      <c r="E182" s="1"/>
      <c r="F182" s="1"/>
      <c r="G182" s="1"/>
      <c r="H182" s="1"/>
    </row>
    <row r="183" spans="1:20" x14ac:dyDescent="0.25">
      <c r="B183" s="1" t="s">
        <v>61</v>
      </c>
      <c r="C183" s="1">
        <v>2</v>
      </c>
      <c r="D183" s="2"/>
      <c r="E183" s="1"/>
      <c r="F183" s="1"/>
      <c r="G183" s="1"/>
      <c r="H183" s="1"/>
    </row>
    <row r="184" spans="1:20" x14ac:dyDescent="0.25">
      <c r="B184" s="1" t="s">
        <v>125</v>
      </c>
      <c r="C184" s="1">
        <v>2</v>
      </c>
      <c r="D184" s="2"/>
      <c r="E184" s="1"/>
      <c r="F184" s="1"/>
      <c r="G184" s="1"/>
      <c r="H184" s="1"/>
    </row>
    <row r="185" spans="1:20" ht="15.75" thickBot="1" x14ac:dyDescent="0.3">
      <c r="B185" s="1" t="s">
        <v>136</v>
      </c>
      <c r="C185" s="1">
        <v>9</v>
      </c>
      <c r="D185" s="2"/>
      <c r="E185" s="1"/>
      <c r="F185" s="1"/>
      <c r="G185" s="1"/>
      <c r="H185" s="1"/>
    </row>
    <row r="186" spans="1:20" x14ac:dyDescent="0.25">
      <c r="B186" s="1" t="s">
        <v>135</v>
      </c>
      <c r="C186" s="1">
        <v>16</v>
      </c>
      <c r="D186" s="2"/>
      <c r="E186" s="1"/>
      <c r="F186" s="1"/>
      <c r="G186" s="1"/>
      <c r="H186" s="1"/>
      <c r="J186" s="37" t="s">
        <v>29</v>
      </c>
      <c r="K186" s="38"/>
      <c r="L186" s="38"/>
      <c r="M186" s="38"/>
      <c r="N186" s="39"/>
      <c r="P186" s="35" t="s">
        <v>100</v>
      </c>
      <c r="Q186" s="35"/>
      <c r="R186" s="35"/>
      <c r="S186" s="35"/>
    </row>
    <row r="187" spans="1:20" x14ac:dyDescent="0.25">
      <c r="J187" s="25" t="s">
        <v>18</v>
      </c>
      <c r="N187" s="26">
        <v>50</v>
      </c>
      <c r="P187" t="s">
        <v>101</v>
      </c>
      <c r="R187" s="7">
        <v>50</v>
      </c>
    </row>
    <row r="188" spans="1:20" x14ac:dyDescent="0.25">
      <c r="B188" s="1" t="s">
        <v>6</v>
      </c>
      <c r="C188" s="1">
        <f>SUM(C179:C186)</f>
        <v>101</v>
      </c>
      <c r="D188" s="2"/>
      <c r="E188" s="35" t="s">
        <v>7</v>
      </c>
      <c r="F188" s="35"/>
      <c r="G188" s="35"/>
      <c r="H188" s="1">
        <f>SUM(F179:F186)+SUM(H179:H186)</f>
        <v>101</v>
      </c>
      <c r="J188" s="25" t="s">
        <v>30</v>
      </c>
      <c r="L188" s="7">
        <v>10</v>
      </c>
      <c r="N188" s="27"/>
      <c r="P188" t="s">
        <v>102</v>
      </c>
      <c r="R188" s="7">
        <v>21</v>
      </c>
    </row>
    <row r="189" spans="1:20" x14ac:dyDescent="0.25">
      <c r="J189" s="25" t="s">
        <v>31</v>
      </c>
      <c r="N189" s="27"/>
      <c r="P189" t="s">
        <v>103</v>
      </c>
      <c r="R189" s="7">
        <v>20</v>
      </c>
    </row>
    <row r="190" spans="1:20" x14ac:dyDescent="0.25">
      <c r="J190" s="25"/>
      <c r="K190" t="s">
        <v>131</v>
      </c>
      <c r="L190" s="7">
        <v>30</v>
      </c>
      <c r="N190" s="27"/>
      <c r="P190" t="s">
        <v>124</v>
      </c>
      <c r="R190" s="7">
        <v>0</v>
      </c>
    </row>
    <row r="191" spans="1:20" x14ac:dyDescent="0.25">
      <c r="A191" t="s">
        <v>149</v>
      </c>
      <c r="B191" s="36" t="s">
        <v>0</v>
      </c>
      <c r="C191" s="36"/>
      <c r="D191" s="5"/>
      <c r="E191" s="36" t="s">
        <v>1</v>
      </c>
      <c r="F191" s="36"/>
      <c r="G191" s="36" t="s">
        <v>2</v>
      </c>
      <c r="H191" s="36"/>
      <c r="J191" s="25"/>
      <c r="L191" s="7"/>
      <c r="N191" s="27"/>
      <c r="P191" t="s">
        <v>104</v>
      </c>
      <c r="R191" s="7">
        <f>4</f>
        <v>4</v>
      </c>
      <c r="T191" s="41" t="s">
        <v>157</v>
      </c>
    </row>
    <row r="192" spans="1:20" x14ac:dyDescent="0.25">
      <c r="B192" s="1" t="s">
        <v>3</v>
      </c>
      <c r="C192" s="1">
        <v>46</v>
      </c>
      <c r="E192" s="1" t="s">
        <v>45</v>
      </c>
      <c r="F192" s="1">
        <v>32</v>
      </c>
      <c r="G192" s="1" t="s">
        <v>5</v>
      </c>
      <c r="H192" s="1">
        <v>5</v>
      </c>
      <c r="J192" s="25" t="s">
        <v>33</v>
      </c>
      <c r="M192" s="7">
        <f>L188+L190+L191</f>
        <v>40</v>
      </c>
      <c r="N192" s="27"/>
      <c r="P192" t="s">
        <v>105</v>
      </c>
      <c r="S192" s="7">
        <f>R187-R188-R189-R191-R190</f>
        <v>5</v>
      </c>
    </row>
    <row r="193" spans="1:19" x14ac:dyDescent="0.25">
      <c r="B193" s="1" t="s">
        <v>55</v>
      </c>
      <c r="C193" s="1">
        <v>16</v>
      </c>
      <c r="E193" s="1" t="s">
        <v>4</v>
      </c>
      <c r="F193" s="1">
        <v>0</v>
      </c>
      <c r="G193" s="1" t="s">
        <v>41</v>
      </c>
      <c r="H193" s="1">
        <v>52</v>
      </c>
      <c r="J193" s="25" t="s">
        <v>34</v>
      </c>
      <c r="M193" s="7">
        <v>10</v>
      </c>
      <c r="N193" s="27"/>
      <c r="P193" t="s">
        <v>106</v>
      </c>
      <c r="S193" s="7">
        <v>41</v>
      </c>
    </row>
    <row r="194" spans="1:19" x14ac:dyDescent="0.25">
      <c r="B194" s="1" t="s">
        <v>13</v>
      </c>
      <c r="C194" s="1">
        <v>10</v>
      </c>
      <c r="E194" s="1" t="s">
        <v>154</v>
      </c>
      <c r="F194" s="1">
        <v>3</v>
      </c>
      <c r="G194" s="1" t="s">
        <v>22</v>
      </c>
      <c r="H194" s="1">
        <f>12-3</f>
        <v>9</v>
      </c>
      <c r="J194" s="25" t="s">
        <v>35</v>
      </c>
      <c r="N194" s="26">
        <f>M192-M193</f>
        <v>30</v>
      </c>
      <c r="P194" t="s">
        <v>107</v>
      </c>
      <c r="S194" s="7">
        <f>S193+S192</f>
        <v>46</v>
      </c>
    </row>
    <row r="195" spans="1:19" x14ac:dyDescent="0.25">
      <c r="B195" s="1" t="s">
        <v>61</v>
      </c>
      <c r="C195" s="1">
        <v>2</v>
      </c>
      <c r="J195" s="25" t="s">
        <v>36</v>
      </c>
      <c r="N195" s="26">
        <f>N187-N194</f>
        <v>20</v>
      </c>
    </row>
    <row r="196" spans="1:19" x14ac:dyDescent="0.25">
      <c r="B196" s="34" t="s">
        <v>150</v>
      </c>
      <c r="C196" s="4">
        <f>SUM(C192:C195)</f>
        <v>74</v>
      </c>
      <c r="J196" s="25" t="s">
        <v>37</v>
      </c>
      <c r="K196" s="7" t="s">
        <v>133</v>
      </c>
      <c r="L196" s="7">
        <v>4</v>
      </c>
      <c r="N196" s="27"/>
    </row>
    <row r="197" spans="1:19" x14ac:dyDescent="0.25">
      <c r="B197" s="1" t="s">
        <v>151</v>
      </c>
      <c r="C197" s="4">
        <f>11+20</f>
        <v>31</v>
      </c>
      <c r="J197" s="25"/>
      <c r="K197" t="s">
        <v>155</v>
      </c>
      <c r="L197">
        <v>4</v>
      </c>
      <c r="N197" s="27"/>
    </row>
    <row r="198" spans="1:19" x14ac:dyDescent="0.25">
      <c r="B198" s="1" t="s">
        <v>152</v>
      </c>
      <c r="C198" s="4">
        <v>4</v>
      </c>
      <c r="J198" s="25" t="s">
        <v>38</v>
      </c>
      <c r="N198" s="26">
        <f>SUM(L196:L197)</f>
        <v>8</v>
      </c>
    </row>
    <row r="199" spans="1:19" x14ac:dyDescent="0.25">
      <c r="B199" s="34" t="s">
        <v>153</v>
      </c>
      <c r="C199" s="4">
        <f>C197-C198</f>
        <v>27</v>
      </c>
      <c r="J199" s="19" t="s">
        <v>156</v>
      </c>
      <c r="N199" s="7">
        <v>3</v>
      </c>
    </row>
    <row r="200" spans="1:19" ht="15.75" thickBot="1" x14ac:dyDescent="0.3">
      <c r="B200" s="34" t="s">
        <v>6</v>
      </c>
      <c r="C200" s="4">
        <f>C196+C199</f>
        <v>101</v>
      </c>
      <c r="E200" s="35" t="s">
        <v>7</v>
      </c>
      <c r="F200" s="35"/>
      <c r="G200" s="35"/>
      <c r="H200" s="1">
        <f>SUM(F191:F198)+SUM(H191:H198)</f>
        <v>101</v>
      </c>
      <c r="J200" s="29" t="s">
        <v>39</v>
      </c>
      <c r="K200" s="30"/>
      <c r="L200" s="30"/>
      <c r="M200" s="30"/>
      <c r="N200" s="33">
        <f>N195-N198-N199</f>
        <v>9</v>
      </c>
    </row>
    <row r="202" spans="1:19" s="23" customFormat="1" ht="9" customHeight="1" x14ac:dyDescent="0.25"/>
    <row r="205" spans="1:19" x14ac:dyDescent="0.25">
      <c r="A205" t="s">
        <v>159</v>
      </c>
      <c r="B205" s="36" t="s">
        <v>0</v>
      </c>
      <c r="C205" s="36"/>
      <c r="D205" s="5"/>
      <c r="E205" s="36" t="s">
        <v>1</v>
      </c>
      <c r="F205" s="36"/>
      <c r="G205" s="36" t="s">
        <v>2</v>
      </c>
      <c r="H205" s="36"/>
    </row>
    <row r="206" spans="1:19" x14ac:dyDescent="0.25">
      <c r="A206" t="s">
        <v>158</v>
      </c>
      <c r="B206" s="1" t="s">
        <v>3</v>
      </c>
      <c r="C206" s="1">
        <v>46</v>
      </c>
      <c r="E206" s="1" t="s">
        <v>45</v>
      </c>
      <c r="F206" s="1">
        <v>32</v>
      </c>
      <c r="G206" s="1" t="s">
        <v>5</v>
      </c>
      <c r="H206" s="1">
        <v>5</v>
      </c>
      <c r="J206" t="s">
        <v>39</v>
      </c>
      <c r="K206">
        <f>64-10</f>
        <v>54</v>
      </c>
      <c r="N206" t="s">
        <v>162</v>
      </c>
    </row>
    <row r="207" spans="1:19" x14ac:dyDescent="0.25">
      <c r="B207" s="1" t="s">
        <v>55</v>
      </c>
      <c r="C207" s="1">
        <v>16</v>
      </c>
      <c r="E207" s="1" t="s">
        <v>4</v>
      </c>
      <c r="F207" s="1">
        <v>0</v>
      </c>
      <c r="G207" s="1" t="s">
        <v>41</v>
      </c>
      <c r="H207" s="1">
        <f>H193+H194</f>
        <v>61</v>
      </c>
      <c r="J207" t="s">
        <v>160</v>
      </c>
      <c r="K207">
        <f>ROUND(0.25*K206,0)</f>
        <v>14</v>
      </c>
      <c r="N207" t="s">
        <v>163</v>
      </c>
    </row>
    <row r="208" spans="1:19" x14ac:dyDescent="0.25">
      <c r="B208" s="1" t="s">
        <v>13</v>
      </c>
      <c r="C208" s="1">
        <v>0</v>
      </c>
      <c r="E208" s="1" t="s">
        <v>154</v>
      </c>
      <c r="F208" s="1">
        <f>K207</f>
        <v>14</v>
      </c>
      <c r="G208" s="1" t="s">
        <v>22</v>
      </c>
      <c r="H208" s="1">
        <f>0-C194-(K207-F194)</f>
        <v>-21</v>
      </c>
      <c r="J208" t="s">
        <v>161</v>
      </c>
      <c r="K208">
        <f>K206-K207</f>
        <v>40</v>
      </c>
      <c r="N208" t="s">
        <v>164</v>
      </c>
    </row>
    <row r="209" spans="1:14" x14ac:dyDescent="0.25">
      <c r="B209" s="1" t="s">
        <v>61</v>
      </c>
      <c r="C209" s="1">
        <v>2</v>
      </c>
      <c r="N209" t="s">
        <v>165</v>
      </c>
    </row>
    <row r="210" spans="1:14" x14ac:dyDescent="0.25">
      <c r="B210" s="34" t="s">
        <v>150</v>
      </c>
      <c r="C210" s="4">
        <f>SUM(C206:C209)</f>
        <v>64</v>
      </c>
      <c r="N210" t="s">
        <v>166</v>
      </c>
    </row>
    <row r="211" spans="1:14" x14ac:dyDescent="0.25">
      <c r="B211" s="1" t="s">
        <v>151</v>
      </c>
      <c r="C211" s="4">
        <f>11+20</f>
        <v>31</v>
      </c>
    </row>
    <row r="212" spans="1:14" x14ac:dyDescent="0.25">
      <c r="B212" s="1" t="s">
        <v>152</v>
      </c>
      <c r="C212" s="4">
        <v>4</v>
      </c>
    </row>
    <row r="213" spans="1:14" x14ac:dyDescent="0.25">
      <c r="B213" s="34" t="s">
        <v>153</v>
      </c>
      <c r="C213" s="4">
        <f>C211-C212</f>
        <v>27</v>
      </c>
    </row>
    <row r="214" spans="1:14" x14ac:dyDescent="0.25">
      <c r="B214" s="34" t="s">
        <v>6</v>
      </c>
      <c r="C214" s="4">
        <f>C210+C213</f>
        <v>91</v>
      </c>
      <c r="E214" s="35" t="s">
        <v>7</v>
      </c>
      <c r="F214" s="35"/>
      <c r="G214" s="35"/>
      <c r="H214" s="1">
        <f>SUM(F205:F212)+SUM(H205:H212)</f>
        <v>91</v>
      </c>
    </row>
    <row r="217" spans="1:14" x14ac:dyDescent="0.25">
      <c r="B217" s="36" t="s">
        <v>0</v>
      </c>
      <c r="C217" s="36"/>
      <c r="D217" s="5"/>
      <c r="E217" s="36" t="s">
        <v>1</v>
      </c>
      <c r="F217" s="36"/>
      <c r="G217" s="36" t="s">
        <v>2</v>
      </c>
      <c r="H217" s="36"/>
    </row>
    <row r="218" spans="1:14" x14ac:dyDescent="0.25">
      <c r="A218" t="s">
        <v>169</v>
      </c>
      <c r="B218" s="1" t="s">
        <v>3</v>
      </c>
      <c r="C218" s="1">
        <v>18</v>
      </c>
      <c r="E218" s="1" t="s">
        <v>45</v>
      </c>
      <c r="F218" s="1">
        <v>0</v>
      </c>
      <c r="G218" s="1" t="s">
        <v>5</v>
      </c>
      <c r="H218" s="1">
        <v>5</v>
      </c>
      <c r="J218" t="s">
        <v>171</v>
      </c>
    </row>
    <row r="219" spans="1:14" x14ac:dyDescent="0.25">
      <c r="A219" t="s">
        <v>168</v>
      </c>
      <c r="B219" s="1" t="s">
        <v>55</v>
      </c>
      <c r="C219" s="1">
        <v>0</v>
      </c>
      <c r="E219" s="1" t="s">
        <v>4</v>
      </c>
      <c r="F219" s="1">
        <v>0</v>
      </c>
      <c r="G219" s="1" t="s">
        <v>41</v>
      </c>
      <c r="H219" s="1">
        <v>61</v>
      </c>
      <c r="J219" t="s">
        <v>172</v>
      </c>
    </row>
    <row r="220" spans="1:14" x14ac:dyDescent="0.25">
      <c r="A220" t="s">
        <v>167</v>
      </c>
      <c r="B220" s="1" t="s">
        <v>13</v>
      </c>
      <c r="C220" s="1">
        <v>0</v>
      </c>
      <c r="E220" s="1" t="s">
        <v>154</v>
      </c>
      <c r="F220" s="1">
        <v>0</v>
      </c>
      <c r="G220" s="1" t="s">
        <v>22</v>
      </c>
      <c r="H220" s="1">
        <v>-21</v>
      </c>
    </row>
    <row r="221" spans="1:14" x14ac:dyDescent="0.25">
      <c r="A221" t="s">
        <v>170</v>
      </c>
      <c r="B221" s="1" t="s">
        <v>61</v>
      </c>
      <c r="C221" s="1">
        <v>0</v>
      </c>
    </row>
    <row r="222" spans="1:14" x14ac:dyDescent="0.25">
      <c r="B222" s="34" t="s">
        <v>150</v>
      </c>
      <c r="C222" s="4">
        <f>SUM(C218:C221)</f>
        <v>18</v>
      </c>
    </row>
    <row r="223" spans="1:14" x14ac:dyDescent="0.25">
      <c r="B223" s="1" t="s">
        <v>151</v>
      </c>
      <c r="C223" s="4">
        <f>11+20</f>
        <v>31</v>
      </c>
    </row>
    <row r="224" spans="1:14" x14ac:dyDescent="0.25">
      <c r="B224" s="1" t="s">
        <v>152</v>
      </c>
      <c r="C224" s="4">
        <v>4</v>
      </c>
    </row>
    <row r="225" spans="2:8" x14ac:dyDescent="0.25">
      <c r="B225" s="34" t="s">
        <v>153</v>
      </c>
      <c r="C225" s="4">
        <f>C223-C224</f>
        <v>27</v>
      </c>
    </row>
    <row r="226" spans="2:8" x14ac:dyDescent="0.25">
      <c r="B226" s="34" t="s">
        <v>6</v>
      </c>
      <c r="C226" s="4">
        <f>C222+C225</f>
        <v>45</v>
      </c>
      <c r="E226" s="35" t="s">
        <v>7</v>
      </c>
      <c r="F226" s="35"/>
      <c r="G226" s="35"/>
      <c r="H226" s="1">
        <f>SUM(F217:F224)+SUM(H217:H224)</f>
        <v>45</v>
      </c>
    </row>
  </sheetData>
  <mergeCells count="103">
    <mergeCell ref="E214:G214"/>
    <mergeCell ref="B217:C217"/>
    <mergeCell ref="E217:F217"/>
    <mergeCell ref="G217:H217"/>
    <mergeCell ref="E226:G226"/>
    <mergeCell ref="J186:N186"/>
    <mergeCell ref="P186:S186"/>
    <mergeCell ref="B205:C205"/>
    <mergeCell ref="E205:F205"/>
    <mergeCell ref="G205:H205"/>
    <mergeCell ref="E31:G31"/>
    <mergeCell ref="E9:G9"/>
    <mergeCell ref="B13:C13"/>
    <mergeCell ref="E13:F13"/>
    <mergeCell ref="G13:H13"/>
    <mergeCell ref="E16:G16"/>
    <mergeCell ref="B18:C18"/>
    <mergeCell ref="E18:F18"/>
    <mergeCell ref="G18:H18"/>
    <mergeCell ref="E22:G22"/>
    <mergeCell ref="P1:T1"/>
    <mergeCell ref="B26:C26"/>
    <mergeCell ref="E26:F26"/>
    <mergeCell ref="G26:H26"/>
    <mergeCell ref="B1:C1"/>
    <mergeCell ref="E1:F1"/>
    <mergeCell ref="G1:H1"/>
    <mergeCell ref="E4:G4"/>
    <mergeCell ref="B6:C6"/>
    <mergeCell ref="E6:F6"/>
    <mergeCell ref="G6:H6"/>
    <mergeCell ref="B60:C60"/>
    <mergeCell ref="E60:F60"/>
    <mergeCell ref="G60:H60"/>
    <mergeCell ref="B35:C35"/>
    <mergeCell ref="E35:F35"/>
    <mergeCell ref="G35:H35"/>
    <mergeCell ref="E40:G40"/>
    <mergeCell ref="B43:C43"/>
    <mergeCell ref="E43:F43"/>
    <mergeCell ref="G43:H43"/>
    <mergeCell ref="E48:G48"/>
    <mergeCell ref="B51:C51"/>
    <mergeCell ref="E51:F51"/>
    <mergeCell ref="G51:H51"/>
    <mergeCell ref="E57:G57"/>
    <mergeCell ref="E66:G66"/>
    <mergeCell ref="B69:C69"/>
    <mergeCell ref="E69:F69"/>
    <mergeCell ref="G69:H69"/>
    <mergeCell ref="E75:G75"/>
    <mergeCell ref="E86:G86"/>
    <mergeCell ref="L67:P67"/>
    <mergeCell ref="S67:W67"/>
    <mergeCell ref="B90:C90"/>
    <mergeCell ref="E90:F90"/>
    <mergeCell ref="G90:H90"/>
    <mergeCell ref="B79:C79"/>
    <mergeCell ref="E79:F79"/>
    <mergeCell ref="G79:H79"/>
    <mergeCell ref="E97:G97"/>
    <mergeCell ref="B99:C99"/>
    <mergeCell ref="E99:F99"/>
    <mergeCell ref="G99:H99"/>
    <mergeCell ref="E106:G106"/>
    <mergeCell ref="E115:G115"/>
    <mergeCell ref="K101:O101"/>
    <mergeCell ref="Q101:U101"/>
    <mergeCell ref="B120:C120"/>
    <mergeCell ref="E120:F120"/>
    <mergeCell ref="G120:H120"/>
    <mergeCell ref="B108:C108"/>
    <mergeCell ref="E108:F108"/>
    <mergeCell ref="G108:H108"/>
    <mergeCell ref="K140:N140"/>
    <mergeCell ref="E127:G127"/>
    <mergeCell ref="K120:N120"/>
    <mergeCell ref="B129:C129"/>
    <mergeCell ref="E129:F129"/>
    <mergeCell ref="G129:H129"/>
    <mergeCell ref="E137:G137"/>
    <mergeCell ref="K129:N129"/>
    <mergeCell ref="B166:C166"/>
    <mergeCell ref="E166:F166"/>
    <mergeCell ref="G166:H166"/>
    <mergeCell ref="B140:C140"/>
    <mergeCell ref="E140:F140"/>
    <mergeCell ref="G140:H140"/>
    <mergeCell ref="E148:G148"/>
    <mergeCell ref="B151:C151"/>
    <mergeCell ref="E151:F151"/>
    <mergeCell ref="G151:H151"/>
    <mergeCell ref="E160:G160"/>
    <mergeCell ref="Q148:U148"/>
    <mergeCell ref="E200:G200"/>
    <mergeCell ref="E176:G176"/>
    <mergeCell ref="B178:C178"/>
    <mergeCell ref="E178:F178"/>
    <mergeCell ref="G178:H178"/>
    <mergeCell ref="E188:G188"/>
    <mergeCell ref="B191:C191"/>
    <mergeCell ref="E191:F191"/>
    <mergeCell ref="G191:H19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120D-BE72-442A-B01B-B175D7527CAD}">
  <dimension ref="A1:W80"/>
  <sheetViews>
    <sheetView workbookViewId="0">
      <selection activeCell="O11" sqref="O11"/>
    </sheetView>
  </sheetViews>
  <sheetFormatPr defaultRowHeight="15" x14ac:dyDescent="0.25"/>
  <cols>
    <col min="16" max="16" width="17" customWidth="1"/>
  </cols>
  <sheetData>
    <row r="1" spans="1:23" ht="15.75" thickTop="1" x14ac:dyDescent="0.25">
      <c r="A1" s="42" t="s">
        <v>173</v>
      </c>
      <c r="B1" s="43"/>
      <c r="C1" s="43"/>
      <c r="D1" s="43"/>
      <c r="E1" s="44"/>
      <c r="I1" s="58" t="s">
        <v>178</v>
      </c>
      <c r="J1" s="59"/>
      <c r="K1" s="59"/>
      <c r="L1" s="59"/>
      <c r="M1" s="60"/>
      <c r="P1" t="s">
        <v>179</v>
      </c>
    </row>
    <row r="2" spans="1:23" x14ac:dyDescent="0.25">
      <c r="A2" s="45" t="s">
        <v>18</v>
      </c>
      <c r="B2" s="46"/>
      <c r="C2" s="46"/>
      <c r="D2" s="46"/>
      <c r="E2" s="47">
        <v>25</v>
      </c>
      <c r="I2" s="10" t="s">
        <v>18</v>
      </c>
      <c r="J2" s="46"/>
      <c r="K2" s="46"/>
      <c r="L2" s="46"/>
      <c r="M2" s="61">
        <f>E2+E19+E37+E50+E67</f>
        <v>187</v>
      </c>
    </row>
    <row r="3" spans="1:23" x14ac:dyDescent="0.25">
      <c r="A3" s="45" t="s">
        <v>30</v>
      </c>
      <c r="B3" s="46"/>
      <c r="C3" s="48">
        <v>0</v>
      </c>
      <c r="D3" s="46"/>
      <c r="E3" s="49"/>
      <c r="I3" s="10" t="s">
        <v>30</v>
      </c>
      <c r="J3" s="46"/>
      <c r="K3" s="48">
        <v>0</v>
      </c>
      <c r="L3" s="46"/>
      <c r="M3" s="62"/>
    </row>
    <row r="4" spans="1:23" x14ac:dyDescent="0.25">
      <c r="A4" s="45" t="s">
        <v>31</v>
      </c>
      <c r="B4" s="46"/>
      <c r="C4" s="46"/>
      <c r="D4" s="46"/>
      <c r="E4" s="49"/>
      <c r="I4" s="10" t="s">
        <v>31</v>
      </c>
      <c r="J4" s="46"/>
      <c r="K4" s="46"/>
      <c r="L4" s="46"/>
      <c r="M4" s="62"/>
    </row>
    <row r="5" spans="1:23" x14ac:dyDescent="0.25">
      <c r="A5" s="45"/>
      <c r="B5" s="46" t="s">
        <v>32</v>
      </c>
      <c r="C5" s="48">
        <v>2</v>
      </c>
      <c r="D5" s="46"/>
      <c r="E5" s="49"/>
      <c r="I5" s="10"/>
      <c r="J5" s="46" t="s">
        <v>32</v>
      </c>
      <c r="K5" s="48">
        <f>C5+C22+C40</f>
        <v>6</v>
      </c>
      <c r="L5" s="46"/>
      <c r="M5" s="62"/>
    </row>
    <row r="6" spans="1:23" x14ac:dyDescent="0.25">
      <c r="A6" s="45"/>
      <c r="B6" s="46" t="s">
        <v>10</v>
      </c>
      <c r="C6" s="48">
        <v>10</v>
      </c>
      <c r="D6" s="46"/>
      <c r="E6" s="49"/>
      <c r="I6" s="10"/>
      <c r="J6" s="46" t="s">
        <v>10</v>
      </c>
      <c r="K6" s="48">
        <f>C6+C23+C41</f>
        <v>50</v>
      </c>
      <c r="L6" s="46"/>
      <c r="M6" s="62"/>
    </row>
    <row r="7" spans="1:23" x14ac:dyDescent="0.25">
      <c r="A7" s="45" t="s">
        <v>33</v>
      </c>
      <c r="B7" s="46"/>
      <c r="C7" s="46"/>
      <c r="D7" s="48">
        <v>12</v>
      </c>
      <c r="E7" s="49"/>
      <c r="I7" s="10"/>
      <c r="J7" s="46" t="s">
        <v>131</v>
      </c>
      <c r="K7" s="48">
        <f>C53+C70</f>
        <v>50</v>
      </c>
      <c r="L7" s="46"/>
      <c r="M7" s="62"/>
      <c r="P7" t="s">
        <v>18</v>
      </c>
      <c r="Q7">
        <f>E2</f>
        <v>25</v>
      </c>
      <c r="R7">
        <f>E19</f>
        <v>32</v>
      </c>
      <c r="S7">
        <f>E37</f>
        <v>30</v>
      </c>
      <c r="T7">
        <f>E50</f>
        <v>50</v>
      </c>
      <c r="U7">
        <f>E67</f>
        <v>50</v>
      </c>
    </row>
    <row r="8" spans="1:23" x14ac:dyDescent="0.25">
      <c r="A8" s="45" t="s">
        <v>34</v>
      </c>
      <c r="B8" s="46"/>
      <c r="C8" s="46"/>
      <c r="D8" s="48">
        <v>2</v>
      </c>
      <c r="E8" s="49"/>
      <c r="I8" s="10" t="s">
        <v>62</v>
      </c>
      <c r="J8" s="46"/>
      <c r="K8" s="48">
        <v>1</v>
      </c>
      <c r="L8" s="46"/>
      <c r="M8" s="62"/>
      <c r="P8" t="s">
        <v>19</v>
      </c>
      <c r="Q8">
        <f>E9</f>
        <v>10</v>
      </c>
      <c r="R8">
        <f>E27</f>
        <v>15</v>
      </c>
      <c r="S8">
        <f>E44</f>
        <v>22</v>
      </c>
      <c r="T8">
        <f>E57</f>
        <v>20</v>
      </c>
      <c r="U8">
        <f>E74</f>
        <v>30</v>
      </c>
    </row>
    <row r="9" spans="1:23" x14ac:dyDescent="0.25">
      <c r="A9" s="45" t="s">
        <v>35</v>
      </c>
      <c r="B9" s="46"/>
      <c r="C9" s="46"/>
      <c r="D9" s="46"/>
      <c r="E9" s="47">
        <v>10</v>
      </c>
      <c r="I9" s="10" t="s">
        <v>33</v>
      </c>
      <c r="J9" s="46"/>
      <c r="K9" s="46"/>
      <c r="L9" s="48">
        <f>SUM(K5:K8)</f>
        <v>107</v>
      </c>
      <c r="M9" s="62"/>
      <c r="P9" t="s">
        <v>37</v>
      </c>
      <c r="Q9">
        <f>E15</f>
        <v>5</v>
      </c>
      <c r="R9">
        <f>E33</f>
        <v>7</v>
      </c>
      <c r="S9">
        <f>E46</f>
        <v>0</v>
      </c>
      <c r="T9">
        <f>E62</f>
        <v>6</v>
      </c>
      <c r="U9">
        <f>E78</f>
        <v>8</v>
      </c>
    </row>
    <row r="10" spans="1:23" x14ac:dyDescent="0.25">
      <c r="A10" s="45" t="s">
        <v>36</v>
      </c>
      <c r="B10" s="46"/>
      <c r="C10" s="46"/>
      <c r="D10" s="46"/>
      <c r="E10" s="47">
        <v>15</v>
      </c>
      <c r="I10" s="10" t="s">
        <v>34</v>
      </c>
      <c r="J10" s="46"/>
      <c r="K10" s="46"/>
      <c r="L10" s="48">
        <v>0</v>
      </c>
      <c r="M10" s="62"/>
      <c r="P10" t="s">
        <v>39</v>
      </c>
      <c r="Q10">
        <f>Q7-Q8-Q9</f>
        <v>10</v>
      </c>
      <c r="R10">
        <f t="shared" ref="R10:U10" si="0">R7-R8-R9</f>
        <v>10</v>
      </c>
      <c r="S10">
        <f t="shared" si="0"/>
        <v>8</v>
      </c>
      <c r="T10">
        <f t="shared" si="0"/>
        <v>24</v>
      </c>
      <c r="U10">
        <f t="shared" si="0"/>
        <v>12</v>
      </c>
      <c r="W10" t="s">
        <v>180</v>
      </c>
    </row>
    <row r="11" spans="1:23" x14ac:dyDescent="0.25">
      <c r="A11" s="45"/>
      <c r="B11" s="46"/>
      <c r="C11" s="46"/>
      <c r="D11" s="46"/>
      <c r="E11" s="49"/>
      <c r="I11" s="10" t="s">
        <v>35</v>
      </c>
      <c r="J11" s="46"/>
      <c r="K11" s="46"/>
      <c r="L11" s="46"/>
      <c r="M11" s="61">
        <f>L9+K3-L10</f>
        <v>107</v>
      </c>
      <c r="P11" t="s">
        <v>181</v>
      </c>
      <c r="Q11" s="57">
        <f>Q8/Q7</f>
        <v>0.4</v>
      </c>
      <c r="R11" s="57">
        <f t="shared" ref="R11:U11" si="1">R8/R7</f>
        <v>0.46875</v>
      </c>
      <c r="S11" s="57">
        <f t="shared" si="1"/>
        <v>0.73333333333333328</v>
      </c>
      <c r="T11" s="57">
        <f t="shared" si="1"/>
        <v>0.4</v>
      </c>
      <c r="U11" s="57">
        <f t="shared" si="1"/>
        <v>0.6</v>
      </c>
    </row>
    <row r="12" spans="1:23" x14ac:dyDescent="0.25">
      <c r="A12" s="45" t="s">
        <v>37</v>
      </c>
      <c r="B12" s="48" t="s">
        <v>24</v>
      </c>
      <c r="C12" s="48">
        <v>2</v>
      </c>
      <c r="D12" s="46"/>
      <c r="E12" s="49"/>
      <c r="I12" s="10" t="s">
        <v>36</v>
      </c>
      <c r="J12" s="46"/>
      <c r="K12" s="46"/>
      <c r="L12" s="46"/>
      <c r="M12" s="61">
        <f>M2-M11</f>
        <v>80</v>
      </c>
      <c r="P12" t="s">
        <v>182</v>
      </c>
      <c r="Q12" s="57">
        <f>Q9/Q7</f>
        <v>0.2</v>
      </c>
      <c r="R12" s="57">
        <f t="shared" ref="R12:U12" si="2">R9/R7</f>
        <v>0.21875</v>
      </c>
      <c r="S12" s="57">
        <f t="shared" si="2"/>
        <v>0</v>
      </c>
      <c r="T12" s="57">
        <f t="shared" si="2"/>
        <v>0.12</v>
      </c>
      <c r="U12" s="57">
        <f t="shared" si="2"/>
        <v>0.16</v>
      </c>
    </row>
    <row r="13" spans="1:23" x14ac:dyDescent="0.25">
      <c r="A13" s="45"/>
      <c r="B13" s="48" t="s">
        <v>25</v>
      </c>
      <c r="C13" s="48">
        <v>1</v>
      </c>
      <c r="D13" s="46"/>
      <c r="E13" s="49"/>
      <c r="I13" s="10"/>
      <c r="J13" s="46"/>
      <c r="K13" s="46"/>
      <c r="L13" s="46"/>
      <c r="M13" s="62"/>
      <c r="P13" t="s">
        <v>183</v>
      </c>
      <c r="Q13" s="57">
        <f>Q10/Q7</f>
        <v>0.4</v>
      </c>
      <c r="R13" s="57">
        <f t="shared" ref="R13:U13" si="3">R10/R7</f>
        <v>0.3125</v>
      </c>
      <c r="S13" s="57">
        <f t="shared" si="3"/>
        <v>0.26666666666666666</v>
      </c>
      <c r="T13" s="57">
        <f t="shared" si="3"/>
        <v>0.48</v>
      </c>
      <c r="U13" s="57">
        <f t="shared" si="3"/>
        <v>0.24</v>
      </c>
    </row>
    <row r="14" spans="1:23" x14ac:dyDescent="0.25">
      <c r="A14" s="45"/>
      <c r="B14" s="48" t="s">
        <v>26</v>
      </c>
      <c r="C14" s="48">
        <v>2</v>
      </c>
      <c r="D14" s="46"/>
      <c r="E14" s="49"/>
      <c r="I14" s="10" t="s">
        <v>37</v>
      </c>
      <c r="J14" s="48" t="s">
        <v>24</v>
      </c>
      <c r="K14" s="48">
        <v>2</v>
      </c>
      <c r="L14" s="46"/>
      <c r="M14" s="62"/>
    </row>
    <row r="15" spans="1:23" ht="15.75" thickBot="1" x14ac:dyDescent="0.3">
      <c r="A15" s="45" t="s">
        <v>38</v>
      </c>
      <c r="B15" s="46"/>
      <c r="C15" s="46"/>
      <c r="D15" s="46"/>
      <c r="E15" s="50">
        <v>5</v>
      </c>
      <c r="I15" s="10"/>
      <c r="J15" s="48" t="s">
        <v>25</v>
      </c>
      <c r="K15" s="48">
        <v>1</v>
      </c>
      <c r="L15" s="46"/>
      <c r="M15" s="62"/>
    </row>
    <row r="16" spans="1:23" ht="15.75" thickTop="1" x14ac:dyDescent="0.25">
      <c r="A16" s="51" t="s">
        <v>39</v>
      </c>
      <c r="B16" s="52"/>
      <c r="C16" s="52"/>
      <c r="D16" s="52"/>
      <c r="E16" s="53">
        <v>10</v>
      </c>
      <c r="I16" s="10"/>
      <c r="J16" s="48" t="s">
        <v>26</v>
      </c>
      <c r="K16" s="48">
        <v>2</v>
      </c>
      <c r="L16" s="46"/>
      <c r="M16" s="62"/>
    </row>
    <row r="17" spans="1:13" x14ac:dyDescent="0.25">
      <c r="I17" s="10"/>
      <c r="J17" s="55" t="s">
        <v>57</v>
      </c>
      <c r="K17" s="48">
        <v>4</v>
      </c>
      <c r="L17" s="46"/>
      <c r="M17" s="62"/>
    </row>
    <row r="18" spans="1:13" x14ac:dyDescent="0.25">
      <c r="A18" s="42" t="s">
        <v>174</v>
      </c>
      <c r="B18" s="43"/>
      <c r="C18" s="43"/>
      <c r="D18" s="43"/>
      <c r="E18" s="44"/>
      <c r="I18" s="10"/>
      <c r="J18" s="48" t="s">
        <v>59</v>
      </c>
      <c r="K18" s="48">
        <v>2</v>
      </c>
      <c r="L18" s="46"/>
      <c r="M18" s="62"/>
    </row>
    <row r="19" spans="1:13" x14ac:dyDescent="0.25">
      <c r="A19" s="45" t="s">
        <v>18</v>
      </c>
      <c r="B19" s="46"/>
      <c r="C19" s="46"/>
      <c r="D19" s="46"/>
      <c r="E19" s="47">
        <v>32</v>
      </c>
      <c r="I19" s="10"/>
      <c r="J19" s="55" t="s">
        <v>63</v>
      </c>
      <c r="K19" s="48">
        <v>1</v>
      </c>
      <c r="L19" s="46"/>
      <c r="M19" s="62"/>
    </row>
    <row r="20" spans="1:13" x14ac:dyDescent="0.25">
      <c r="A20" s="54" t="s">
        <v>30</v>
      </c>
      <c r="B20" s="46"/>
      <c r="C20" s="48">
        <v>2</v>
      </c>
      <c r="D20" s="46"/>
      <c r="E20" s="49"/>
      <c r="I20" s="10"/>
      <c r="J20" s="55" t="s">
        <v>132</v>
      </c>
      <c r="K20" s="48">
        <v>2</v>
      </c>
      <c r="L20" s="46"/>
      <c r="M20" s="62"/>
    </row>
    <row r="21" spans="1:13" x14ac:dyDescent="0.25">
      <c r="A21" s="45" t="s">
        <v>31</v>
      </c>
      <c r="B21" s="46"/>
      <c r="C21" s="46"/>
      <c r="D21" s="46"/>
      <c r="E21" s="49"/>
      <c r="I21" s="10"/>
      <c r="J21" s="48" t="s">
        <v>133</v>
      </c>
      <c r="K21" s="48">
        <v>1</v>
      </c>
      <c r="L21" s="46"/>
      <c r="M21" s="62"/>
    </row>
    <row r="22" spans="1:13" x14ac:dyDescent="0.25">
      <c r="A22" s="45"/>
      <c r="B22" s="55" t="s">
        <v>32</v>
      </c>
      <c r="C22" s="48">
        <v>4</v>
      </c>
      <c r="D22" s="46"/>
      <c r="E22" s="49"/>
      <c r="I22" s="10"/>
      <c r="J22" s="46" t="s">
        <v>134</v>
      </c>
      <c r="K22" s="46">
        <v>3</v>
      </c>
      <c r="L22" s="46"/>
      <c r="M22" s="62"/>
    </row>
    <row r="23" spans="1:13" x14ac:dyDescent="0.25">
      <c r="A23" s="45"/>
      <c r="B23" s="46" t="s">
        <v>10</v>
      </c>
      <c r="C23" s="48">
        <v>20</v>
      </c>
      <c r="D23" s="46"/>
      <c r="E23" s="49"/>
      <c r="I23" s="10"/>
      <c r="J23" s="48" t="s">
        <v>133</v>
      </c>
      <c r="K23" s="48">
        <v>4</v>
      </c>
      <c r="L23" s="46"/>
      <c r="M23" s="62"/>
    </row>
    <row r="24" spans="1:13" x14ac:dyDescent="0.25">
      <c r="A24" s="45" t="s">
        <v>62</v>
      </c>
      <c r="B24" s="46"/>
      <c r="C24" s="48">
        <v>1</v>
      </c>
      <c r="D24" s="46"/>
      <c r="E24" s="49"/>
      <c r="I24" s="10"/>
      <c r="J24" s="46" t="s">
        <v>155</v>
      </c>
      <c r="K24" s="46">
        <v>4</v>
      </c>
      <c r="L24" s="46"/>
      <c r="M24" s="62"/>
    </row>
    <row r="25" spans="1:13" x14ac:dyDescent="0.25">
      <c r="A25" s="45" t="s">
        <v>33</v>
      </c>
      <c r="B25" s="46"/>
      <c r="C25" s="46"/>
      <c r="D25" s="48">
        <v>27</v>
      </c>
      <c r="E25" s="49"/>
      <c r="I25" s="10" t="s">
        <v>38</v>
      </c>
      <c r="J25" s="46"/>
      <c r="K25" s="46"/>
      <c r="L25" s="46"/>
      <c r="M25" s="61">
        <f>SUM(K14:K24)</f>
        <v>26</v>
      </c>
    </row>
    <row r="26" spans="1:13" x14ac:dyDescent="0.25">
      <c r="A26" s="54" t="s">
        <v>34</v>
      </c>
      <c r="B26" s="46"/>
      <c r="C26" s="46"/>
      <c r="D26" s="48">
        <v>12</v>
      </c>
      <c r="E26" s="49"/>
      <c r="I26" s="10" t="s">
        <v>184</v>
      </c>
      <c r="J26" s="46"/>
      <c r="K26" s="46"/>
      <c r="L26" s="46"/>
      <c r="M26" s="61">
        <f>M12-M25</f>
        <v>54</v>
      </c>
    </row>
    <row r="27" spans="1:13" x14ac:dyDescent="0.25">
      <c r="A27" s="45" t="s">
        <v>35</v>
      </c>
      <c r="B27" s="46"/>
      <c r="C27" s="46"/>
      <c r="D27" s="46"/>
      <c r="E27" s="47">
        <v>15</v>
      </c>
      <c r="I27" s="10" t="s">
        <v>185</v>
      </c>
      <c r="J27" s="46"/>
      <c r="K27" s="46"/>
      <c r="L27" s="46"/>
      <c r="M27" s="62">
        <f>0.25*M26</f>
        <v>13.5</v>
      </c>
    </row>
    <row r="28" spans="1:13" ht="15.75" thickBot="1" x14ac:dyDescent="0.3">
      <c r="A28" s="45" t="s">
        <v>36</v>
      </c>
      <c r="B28" s="46"/>
      <c r="C28" s="46"/>
      <c r="D28" s="46"/>
      <c r="E28" s="47">
        <v>17</v>
      </c>
      <c r="I28" s="63" t="s">
        <v>39</v>
      </c>
      <c r="J28" s="64"/>
      <c r="K28" s="64"/>
      <c r="L28" s="64"/>
      <c r="M28" s="65">
        <f>M26-M27</f>
        <v>40.5</v>
      </c>
    </row>
    <row r="29" spans="1:13" ht="15.75" thickTop="1" x14ac:dyDescent="0.25">
      <c r="A29" s="45"/>
      <c r="B29" s="46"/>
      <c r="C29" s="46"/>
      <c r="D29" s="46"/>
      <c r="E29" s="49"/>
    </row>
    <row r="30" spans="1:13" x14ac:dyDescent="0.25">
      <c r="A30" s="45" t="s">
        <v>37</v>
      </c>
      <c r="B30" s="55" t="s">
        <v>57</v>
      </c>
      <c r="C30" s="48">
        <v>4</v>
      </c>
      <c r="D30" s="46"/>
      <c r="E30" s="49"/>
    </row>
    <row r="31" spans="1:13" x14ac:dyDescent="0.25">
      <c r="A31" s="45"/>
      <c r="B31" s="48" t="s">
        <v>59</v>
      </c>
      <c r="C31" s="48">
        <v>2</v>
      </c>
      <c r="D31" s="46"/>
      <c r="E31" s="49"/>
    </row>
    <row r="32" spans="1:13" x14ac:dyDescent="0.25">
      <c r="A32" s="45"/>
      <c r="B32" s="55" t="s">
        <v>63</v>
      </c>
      <c r="C32" s="48">
        <v>1</v>
      </c>
      <c r="D32" s="46"/>
      <c r="E32" s="49"/>
    </row>
    <row r="33" spans="1:5" ht="15.75" thickBot="1" x14ac:dyDescent="0.3">
      <c r="A33" s="45" t="s">
        <v>38</v>
      </c>
      <c r="B33" s="46"/>
      <c r="C33" s="46"/>
      <c r="D33" s="46"/>
      <c r="E33" s="47">
        <v>7</v>
      </c>
    </row>
    <row r="34" spans="1:5" x14ac:dyDescent="0.25">
      <c r="A34" s="51" t="s">
        <v>39</v>
      </c>
      <c r="B34" s="52"/>
      <c r="C34" s="52"/>
      <c r="D34" s="52"/>
      <c r="E34" s="56">
        <v>10</v>
      </c>
    </row>
    <row r="35" spans="1:5" ht="15.75" thickBot="1" x14ac:dyDescent="0.3"/>
    <row r="36" spans="1:5" x14ac:dyDescent="0.25">
      <c r="A36" s="37" t="s">
        <v>175</v>
      </c>
      <c r="B36" s="38"/>
      <c r="C36" s="38"/>
      <c r="D36" s="38"/>
      <c r="E36" s="39"/>
    </row>
    <row r="37" spans="1:5" x14ac:dyDescent="0.25">
      <c r="A37" s="25" t="s">
        <v>18</v>
      </c>
      <c r="E37" s="26">
        <v>30</v>
      </c>
    </row>
    <row r="38" spans="1:5" x14ac:dyDescent="0.25">
      <c r="A38" s="25" t="s">
        <v>30</v>
      </c>
      <c r="C38" s="7">
        <v>12</v>
      </c>
      <c r="E38" s="27"/>
    </row>
    <row r="39" spans="1:5" x14ac:dyDescent="0.25">
      <c r="A39" s="25" t="s">
        <v>31</v>
      </c>
      <c r="E39" s="27"/>
    </row>
    <row r="40" spans="1:5" x14ac:dyDescent="0.25">
      <c r="A40" s="25"/>
      <c r="B40" t="s">
        <v>32</v>
      </c>
      <c r="C40" s="7">
        <v>0</v>
      </c>
      <c r="E40" s="27"/>
    </row>
    <row r="41" spans="1:5" x14ac:dyDescent="0.25">
      <c r="A41" s="25"/>
      <c r="B41" t="s">
        <v>10</v>
      </c>
      <c r="C41" s="7">
        <v>20</v>
      </c>
      <c r="E41" s="27"/>
    </row>
    <row r="42" spans="1:5" x14ac:dyDescent="0.25">
      <c r="A42" s="25" t="s">
        <v>33</v>
      </c>
      <c r="D42" s="7">
        <f>C38+C40+C41</f>
        <v>32</v>
      </c>
      <c r="E42" s="27"/>
    </row>
    <row r="43" spans="1:5" x14ac:dyDescent="0.25">
      <c r="A43" s="25" t="s">
        <v>34</v>
      </c>
      <c r="D43" s="7">
        <v>10</v>
      </c>
      <c r="E43" s="27"/>
    </row>
    <row r="44" spans="1:5" x14ac:dyDescent="0.25">
      <c r="A44" s="25" t="s">
        <v>35</v>
      </c>
      <c r="E44" s="26">
        <f>D42-D43</f>
        <v>22</v>
      </c>
    </row>
    <row r="45" spans="1:5" x14ac:dyDescent="0.25">
      <c r="A45" s="25" t="s">
        <v>36</v>
      </c>
      <c r="E45" s="26">
        <f>E37-E44</f>
        <v>8</v>
      </c>
    </row>
    <row r="46" spans="1:5" ht="15.75" thickBot="1" x14ac:dyDescent="0.3">
      <c r="A46" s="25" t="s">
        <v>38</v>
      </c>
      <c r="E46" s="28">
        <f>SUM(C48:C49)</f>
        <v>0</v>
      </c>
    </row>
    <row r="47" spans="1:5" ht="16.5" thickTop="1" thickBot="1" x14ac:dyDescent="0.3">
      <c r="A47" s="29" t="s">
        <v>39</v>
      </c>
      <c r="B47" s="30"/>
      <c r="C47" s="30"/>
      <c r="D47" s="30"/>
      <c r="E47" s="31">
        <f>E45-E46</f>
        <v>8</v>
      </c>
    </row>
    <row r="48" spans="1:5" ht="15.75" thickBot="1" x14ac:dyDescent="0.3"/>
    <row r="49" spans="1:5" x14ac:dyDescent="0.25">
      <c r="A49" s="37" t="s">
        <v>176</v>
      </c>
      <c r="B49" s="38"/>
      <c r="C49" s="38"/>
      <c r="D49" s="38"/>
      <c r="E49" s="39"/>
    </row>
    <row r="50" spans="1:5" x14ac:dyDescent="0.25">
      <c r="A50" s="25" t="s">
        <v>18</v>
      </c>
      <c r="E50" s="26">
        <v>50</v>
      </c>
    </row>
    <row r="51" spans="1:5" x14ac:dyDescent="0.25">
      <c r="A51" s="25" t="s">
        <v>30</v>
      </c>
      <c r="C51" s="7">
        <v>10</v>
      </c>
      <c r="E51" s="27"/>
    </row>
    <row r="52" spans="1:5" x14ac:dyDescent="0.25">
      <c r="A52" s="25" t="s">
        <v>31</v>
      </c>
      <c r="E52" s="27"/>
    </row>
    <row r="53" spans="1:5" x14ac:dyDescent="0.25">
      <c r="A53" s="25"/>
      <c r="B53" t="s">
        <v>131</v>
      </c>
      <c r="C53" s="7">
        <v>20</v>
      </c>
      <c r="E53" s="27"/>
    </row>
    <row r="54" spans="1:5" x14ac:dyDescent="0.25">
      <c r="A54" s="25"/>
      <c r="C54" s="7"/>
      <c r="E54" s="27"/>
    </row>
    <row r="55" spans="1:5" x14ac:dyDescent="0.25">
      <c r="A55" s="25" t="s">
        <v>33</v>
      </c>
      <c r="D55" s="7">
        <f>C51+C53+C54</f>
        <v>30</v>
      </c>
      <c r="E55" s="27"/>
    </row>
    <row r="56" spans="1:5" x14ac:dyDescent="0.25">
      <c r="A56" s="25" t="s">
        <v>34</v>
      </c>
      <c r="D56" s="7">
        <v>10</v>
      </c>
      <c r="E56" s="27"/>
    </row>
    <row r="57" spans="1:5" x14ac:dyDescent="0.25">
      <c r="A57" s="25" t="s">
        <v>35</v>
      </c>
      <c r="E57" s="26">
        <f>D55-D56</f>
        <v>20</v>
      </c>
    </row>
    <row r="58" spans="1:5" x14ac:dyDescent="0.25">
      <c r="A58" s="25" t="s">
        <v>36</v>
      </c>
      <c r="E58" s="26">
        <f>E50-E57</f>
        <v>30</v>
      </c>
    </row>
    <row r="59" spans="1:5" x14ac:dyDescent="0.25">
      <c r="A59" s="25" t="s">
        <v>37</v>
      </c>
      <c r="B59" s="19" t="s">
        <v>132</v>
      </c>
      <c r="C59" s="7">
        <v>2</v>
      </c>
      <c r="E59" s="27"/>
    </row>
    <row r="60" spans="1:5" x14ac:dyDescent="0.25">
      <c r="A60" s="25"/>
      <c r="B60" s="7" t="s">
        <v>133</v>
      </c>
      <c r="C60" s="7">
        <v>1</v>
      </c>
      <c r="E60" s="27"/>
    </row>
    <row r="61" spans="1:5" x14ac:dyDescent="0.25">
      <c r="A61" s="25"/>
      <c r="B61" t="s">
        <v>134</v>
      </c>
      <c r="C61">
        <v>3</v>
      </c>
      <c r="E61" s="27"/>
    </row>
    <row r="62" spans="1:5" x14ac:dyDescent="0.25">
      <c r="A62" s="25" t="s">
        <v>38</v>
      </c>
      <c r="E62" s="26">
        <f>SUM(C59:C61)</f>
        <v>6</v>
      </c>
    </row>
    <row r="63" spans="1:5" ht="15.75" thickBot="1" x14ac:dyDescent="0.3">
      <c r="A63" s="29" t="s">
        <v>39</v>
      </c>
      <c r="B63" s="30"/>
      <c r="C63" s="30"/>
      <c r="D63" s="30"/>
      <c r="E63" s="33">
        <f>E58-E62</f>
        <v>24</v>
      </c>
    </row>
    <row r="65" spans="1:5" ht="15.75" thickBot="1" x14ac:dyDescent="0.3"/>
    <row r="66" spans="1:5" x14ac:dyDescent="0.25">
      <c r="A66" s="37" t="s">
        <v>177</v>
      </c>
      <c r="B66" s="38"/>
      <c r="C66" s="38"/>
      <c r="D66" s="38"/>
      <c r="E66" s="39"/>
    </row>
    <row r="67" spans="1:5" x14ac:dyDescent="0.25">
      <c r="A67" s="25" t="s">
        <v>18</v>
      </c>
      <c r="E67" s="26">
        <v>50</v>
      </c>
    </row>
    <row r="68" spans="1:5" x14ac:dyDescent="0.25">
      <c r="A68" s="25" t="s">
        <v>30</v>
      </c>
      <c r="C68" s="7">
        <v>10</v>
      </c>
      <c r="E68" s="27"/>
    </row>
    <row r="69" spans="1:5" x14ac:dyDescent="0.25">
      <c r="A69" s="25" t="s">
        <v>31</v>
      </c>
      <c r="E69" s="27"/>
    </row>
    <row r="70" spans="1:5" x14ac:dyDescent="0.25">
      <c r="A70" s="25"/>
      <c r="B70" t="s">
        <v>131</v>
      </c>
      <c r="C70" s="7">
        <v>30</v>
      </c>
      <c r="E70" s="27"/>
    </row>
    <row r="71" spans="1:5" x14ac:dyDescent="0.25">
      <c r="A71" s="25"/>
      <c r="C71" s="7"/>
      <c r="E71" s="27"/>
    </row>
    <row r="72" spans="1:5" x14ac:dyDescent="0.25">
      <c r="A72" s="25" t="s">
        <v>33</v>
      </c>
      <c r="D72" s="7">
        <f>C68+C70+C71</f>
        <v>40</v>
      </c>
      <c r="E72" s="27"/>
    </row>
    <row r="73" spans="1:5" x14ac:dyDescent="0.25">
      <c r="A73" s="25" t="s">
        <v>34</v>
      </c>
      <c r="D73" s="7">
        <v>10</v>
      </c>
      <c r="E73" s="27"/>
    </row>
    <row r="74" spans="1:5" x14ac:dyDescent="0.25">
      <c r="A74" s="25" t="s">
        <v>35</v>
      </c>
      <c r="E74" s="26">
        <f>D72-D73</f>
        <v>30</v>
      </c>
    </row>
    <row r="75" spans="1:5" x14ac:dyDescent="0.25">
      <c r="A75" s="25" t="s">
        <v>36</v>
      </c>
      <c r="E75" s="26">
        <f>E67-E74</f>
        <v>20</v>
      </c>
    </row>
    <row r="76" spans="1:5" x14ac:dyDescent="0.25">
      <c r="A76" s="25" t="s">
        <v>37</v>
      </c>
      <c r="B76" s="7" t="s">
        <v>133</v>
      </c>
      <c r="C76" s="7">
        <v>4</v>
      </c>
      <c r="E76" s="27"/>
    </row>
    <row r="77" spans="1:5" x14ac:dyDescent="0.25">
      <c r="A77" s="25"/>
      <c r="B77" t="s">
        <v>155</v>
      </c>
      <c r="C77">
        <v>4</v>
      </c>
      <c r="E77" s="27"/>
    </row>
    <row r="78" spans="1:5" x14ac:dyDescent="0.25">
      <c r="A78" s="25" t="s">
        <v>38</v>
      </c>
      <c r="E78" s="26">
        <f>SUM(C76:C77)</f>
        <v>8</v>
      </c>
    </row>
    <row r="79" spans="1:5" x14ac:dyDescent="0.25">
      <c r="A79" s="19" t="s">
        <v>156</v>
      </c>
      <c r="E79" s="7">
        <v>3</v>
      </c>
    </row>
    <row r="80" spans="1:5" ht="15.75" thickBot="1" x14ac:dyDescent="0.3">
      <c r="A80" s="29" t="s">
        <v>39</v>
      </c>
      <c r="B80" s="30"/>
      <c r="C80" s="30"/>
      <c r="D80" s="30"/>
      <c r="E80" s="33">
        <f>E75-E78-E79</f>
        <v>9</v>
      </c>
    </row>
  </sheetData>
  <mergeCells count="6">
    <mergeCell ref="A1:E1"/>
    <mergeCell ref="A18:E18"/>
    <mergeCell ref="A36:E36"/>
    <mergeCell ref="A49:E49"/>
    <mergeCell ref="A66:E66"/>
    <mergeCell ref="I1:M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08F6-AD24-4DCE-AED3-F1A0CE72E182}">
  <dimension ref="A1:F16"/>
  <sheetViews>
    <sheetView workbookViewId="0">
      <selection activeCell="G18" sqref="G18"/>
    </sheetView>
  </sheetViews>
  <sheetFormatPr defaultRowHeight="15" x14ac:dyDescent="0.25"/>
  <cols>
    <col min="1" max="1" width="36.28515625" customWidth="1"/>
    <col min="2" max="2" width="24.7109375" customWidth="1"/>
  </cols>
  <sheetData>
    <row r="1" spans="1:6" ht="18.75" x14ac:dyDescent="0.3">
      <c r="A1" s="40" t="s">
        <v>66</v>
      </c>
      <c r="B1" s="40"/>
      <c r="C1" s="40"/>
      <c r="D1" s="40"/>
      <c r="E1" s="40"/>
    </row>
    <row r="2" spans="1:6" x14ac:dyDescent="0.25">
      <c r="B2" t="s">
        <v>67</v>
      </c>
    </row>
    <row r="3" spans="1:6" x14ac:dyDescent="0.25">
      <c r="B3" t="s">
        <v>56</v>
      </c>
      <c r="E3" s="16">
        <f>8*2*3</f>
        <v>48</v>
      </c>
    </row>
    <row r="4" spans="1:6" x14ac:dyDescent="0.25">
      <c r="A4" t="s">
        <v>74</v>
      </c>
      <c r="B4" t="s">
        <v>68</v>
      </c>
    </row>
    <row r="5" spans="1:6" x14ac:dyDescent="0.25">
      <c r="A5" t="s">
        <v>73</v>
      </c>
      <c r="C5" s="16" t="s">
        <v>76</v>
      </c>
      <c r="D5" s="16">
        <f>2*2*3</f>
        <v>12</v>
      </c>
      <c r="F5" t="s">
        <v>82</v>
      </c>
    </row>
    <row r="6" spans="1:6" x14ac:dyDescent="0.25">
      <c r="A6" t="s">
        <v>78</v>
      </c>
      <c r="C6" s="16" t="s">
        <v>84</v>
      </c>
      <c r="D6" s="16">
        <f>2+1</f>
        <v>3</v>
      </c>
    </row>
    <row r="7" spans="1:6" x14ac:dyDescent="0.25">
      <c r="A7" t="s">
        <v>71</v>
      </c>
      <c r="C7" s="16" t="s">
        <v>72</v>
      </c>
      <c r="D7" s="16">
        <v>6</v>
      </c>
    </row>
    <row r="8" spans="1:6" x14ac:dyDescent="0.25">
      <c r="B8" t="s">
        <v>69</v>
      </c>
      <c r="E8" s="16">
        <f>SUM(D5:D7)</f>
        <v>21</v>
      </c>
    </row>
    <row r="9" spans="1:6" x14ac:dyDescent="0.25">
      <c r="B9" t="s">
        <v>21</v>
      </c>
      <c r="E9" s="16">
        <f>E3-E8</f>
        <v>27</v>
      </c>
    </row>
    <row r="10" spans="1:6" x14ac:dyDescent="0.25">
      <c r="B10" t="s">
        <v>37</v>
      </c>
    </row>
    <row r="11" spans="1:6" x14ac:dyDescent="0.25">
      <c r="A11" t="s">
        <v>79</v>
      </c>
      <c r="C11" s="16" t="s">
        <v>75</v>
      </c>
      <c r="D11" s="16">
        <v>3</v>
      </c>
    </row>
    <row r="12" spans="1:6" x14ac:dyDescent="0.25">
      <c r="C12" s="16" t="s">
        <v>25</v>
      </c>
      <c r="D12" s="16">
        <v>4</v>
      </c>
      <c r="F12" t="s">
        <v>85</v>
      </c>
    </row>
    <row r="13" spans="1:6" x14ac:dyDescent="0.25">
      <c r="A13" t="s">
        <v>80</v>
      </c>
      <c r="C13" s="16" t="s">
        <v>75</v>
      </c>
      <c r="D13" s="16">
        <f>3</f>
        <v>3</v>
      </c>
      <c r="F13" t="s">
        <v>83</v>
      </c>
    </row>
    <row r="14" spans="1:6" x14ac:dyDescent="0.25">
      <c r="A14" t="s">
        <v>81</v>
      </c>
      <c r="C14" s="16" t="s">
        <v>77</v>
      </c>
      <c r="D14" s="16">
        <v>3</v>
      </c>
    </row>
    <row r="15" spans="1:6" x14ac:dyDescent="0.25">
      <c r="B15" t="s">
        <v>70</v>
      </c>
      <c r="E15" s="16">
        <f>SUM(D11:D14)</f>
        <v>13</v>
      </c>
    </row>
    <row r="16" spans="1:6" x14ac:dyDescent="0.25">
      <c r="B16" t="s">
        <v>39</v>
      </c>
      <c r="E16" s="16">
        <f>E9-E15</f>
        <v>14</v>
      </c>
    </row>
  </sheetData>
  <mergeCells count="1">
    <mergeCell ref="A1:E1"/>
  </mergeCells>
  <pageMargins left="0.7" right="0.7" top="0.75" bottom="0.75" header="0.3" footer="0.3"/>
</worksheet>
</file>

<file path=docMetadata/LabelInfo.xml><?xml version="1.0" encoding="utf-8"?>
<clbl:labelList xmlns:clbl="http://schemas.microsoft.com/office/2020/mipLabelMetadata">
  <clbl:label id="{03ccab57-f2b5-4bd4-ab92-cdff6dbd32f2}" enabled="1" method="Standard" siteId="{8ef752bc-46e6-461f-9327-b7be5ad1d28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有存货的企业</vt:lpstr>
      <vt:lpstr>利润表</vt:lpstr>
      <vt:lpstr>服务业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 Ruilin (external)</dc:creator>
  <cp:lastModifiedBy>Cai, Ruilin (external)</cp:lastModifiedBy>
  <dcterms:created xsi:type="dcterms:W3CDTF">2015-06-05T18:17:20Z</dcterms:created>
  <dcterms:modified xsi:type="dcterms:W3CDTF">2025-09-24T13:39:05Z</dcterms:modified>
</cp:coreProperties>
</file>