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andoltsecurities-my.sharepoint.com/personal/ryan_mckiernan_landoltsecurities_com/Documents/Documents/"/>
    </mc:Choice>
  </mc:AlternateContent>
  <xr:revisionPtr revIDLastSave="813" documentId="8_{08DD616B-0D7C-4942-9F00-E4EEA7773525}" xr6:coauthVersionLast="47" xr6:coauthVersionMax="47" xr10:uidLastSave="{AFC88175-3E4F-4F58-88F5-8C3623764288}"/>
  <bookViews>
    <workbookView xWindow="41600" yWindow="5160" windowWidth="22790" windowHeight="15600" xr2:uid="{B342FBD4-945E-4113-9CEA-A3E764CB9481}"/>
  </bookViews>
  <sheets>
    <sheet name="rankings" sheetId="1" r:id="rId1"/>
    <sheet name="pff grades" sheetId="2" r:id="rId2"/>
  </sheets>
  <calcPr calcId="0"/>
</workbook>
</file>

<file path=xl/calcChain.xml><?xml version="1.0" encoding="utf-8"?>
<calcChain xmlns="http://schemas.openxmlformats.org/spreadsheetml/2006/main">
  <c r="O4" i="1" l="1"/>
  <c r="N3" i="1"/>
  <c r="O3" i="1"/>
  <c r="N29" i="1"/>
  <c r="O26" i="1"/>
  <c r="O97" i="1"/>
  <c r="P97" i="1"/>
  <c r="P112" i="1"/>
  <c r="N6" i="1"/>
  <c r="N79" i="1"/>
  <c r="O35" i="1"/>
  <c r="O94" i="1"/>
  <c r="O99" i="1"/>
  <c r="O64" i="1"/>
  <c r="O111" i="1"/>
  <c r="O76" i="1"/>
  <c r="O16" i="1"/>
  <c r="N80" i="1"/>
  <c r="N67" i="1"/>
  <c r="N66" i="1"/>
  <c r="L39" i="1"/>
  <c r="L34" i="1"/>
  <c r="M34" i="1"/>
  <c r="M39" i="1"/>
  <c r="P39" i="1"/>
  <c r="P34" i="1"/>
  <c r="P80" i="1"/>
  <c r="P67" i="1"/>
  <c r="P66" i="1"/>
  <c r="N64" i="1"/>
  <c r="L35" i="1"/>
  <c r="M35" i="1"/>
  <c r="P64" i="1"/>
  <c r="P111" i="1"/>
  <c r="P140" i="1"/>
  <c r="P76" i="1"/>
  <c r="P139" i="1"/>
  <c r="P138" i="1"/>
  <c r="P137" i="1"/>
  <c r="P136" i="1"/>
  <c r="N36" i="1"/>
  <c r="N50" i="1"/>
  <c r="N27" i="1"/>
  <c r="O8" i="1"/>
  <c r="N16" i="1"/>
  <c r="N42" i="1"/>
  <c r="N63" i="1"/>
  <c r="N37" i="1"/>
  <c r="N9" i="1"/>
  <c r="L24" i="1"/>
  <c r="M24" i="1"/>
  <c r="O113" i="1"/>
  <c r="O108" i="1"/>
  <c r="O42" i="1"/>
  <c r="O114" i="1"/>
  <c r="P114" i="1"/>
  <c r="P42" i="1"/>
  <c r="P108" i="1"/>
  <c r="P113" i="1"/>
  <c r="P91" i="1"/>
  <c r="O91" i="1"/>
  <c r="O24" i="1"/>
  <c r="O74" i="1"/>
  <c r="O63" i="1"/>
  <c r="O37" i="1"/>
  <c r="O9" i="1"/>
  <c r="P37" i="1"/>
  <c r="P63" i="1"/>
  <c r="P74" i="1"/>
  <c r="N78" i="1"/>
  <c r="N68" i="1"/>
  <c r="L33" i="1"/>
  <c r="M33" i="1"/>
  <c r="O78" i="1"/>
  <c r="O102" i="1"/>
  <c r="O118" i="1"/>
  <c r="O77" i="1"/>
  <c r="O33" i="1"/>
  <c r="O107" i="1"/>
  <c r="O68" i="1"/>
  <c r="O96" i="1"/>
  <c r="O101" i="1"/>
  <c r="O55" i="1"/>
  <c r="P78" i="1"/>
  <c r="P102" i="1"/>
  <c r="P118" i="1"/>
  <c r="P107" i="1"/>
  <c r="P68" i="1"/>
  <c r="P96" i="1"/>
  <c r="P101" i="1"/>
  <c r="N62" i="1"/>
  <c r="N84" i="1"/>
  <c r="N72" i="1"/>
  <c r="N90" i="1"/>
  <c r="N12" i="1"/>
  <c r="N5" i="1"/>
  <c r="O62" i="1"/>
  <c r="O65" i="1"/>
  <c r="O59" i="1"/>
  <c r="O12" i="1"/>
  <c r="O5" i="1"/>
  <c r="O84" i="1"/>
  <c r="O72" i="1"/>
  <c r="O90" i="1"/>
  <c r="P90" i="1"/>
  <c r="P84" i="1"/>
  <c r="P72" i="1"/>
  <c r="P62" i="1"/>
  <c r="P65" i="1"/>
  <c r="P59" i="1"/>
  <c r="N83" i="1"/>
  <c r="N43" i="1"/>
  <c r="N13" i="1"/>
  <c r="N71" i="1"/>
  <c r="N7" i="1"/>
  <c r="L28" i="1"/>
  <c r="M28" i="1"/>
  <c r="O131" i="1"/>
  <c r="O135" i="1"/>
  <c r="O83" i="1"/>
  <c r="O71" i="1"/>
  <c r="O58" i="1"/>
  <c r="O28" i="1"/>
  <c r="O43" i="1"/>
  <c r="O13" i="1"/>
  <c r="O21" i="1"/>
  <c r="O7" i="1"/>
  <c r="P135" i="1"/>
  <c r="P83" i="1"/>
  <c r="P71" i="1"/>
  <c r="P131" i="1"/>
  <c r="P28" i="1"/>
  <c r="P58" i="1"/>
  <c r="P43" i="1"/>
  <c r="N41" i="1"/>
  <c r="N17" i="1"/>
  <c r="N52" i="1"/>
  <c r="N73" i="1"/>
  <c r="N22" i="1"/>
  <c r="L19" i="1"/>
  <c r="M92" i="1"/>
  <c r="O73" i="1"/>
  <c r="O52" i="1"/>
  <c r="O41" i="1"/>
  <c r="O88" i="1"/>
  <c r="O17" i="1"/>
  <c r="O54" i="1"/>
  <c r="O69" i="1"/>
  <c r="O22" i="1"/>
  <c r="P73" i="1"/>
  <c r="P52" i="1"/>
  <c r="P82" i="1"/>
  <c r="N81" i="1"/>
  <c r="N57" i="1"/>
  <c r="L32" i="1"/>
  <c r="P32" i="1"/>
  <c r="O32" i="1"/>
  <c r="M32" i="1"/>
  <c r="O117" i="1"/>
  <c r="O79" i="1"/>
  <c r="O110" i="1"/>
  <c r="O61" i="1"/>
  <c r="O47" i="1"/>
  <c r="O98" i="1"/>
  <c r="O100" i="1"/>
  <c r="O128" i="1"/>
  <c r="O126" i="1"/>
  <c r="O81" i="1"/>
  <c r="O109" i="1"/>
  <c r="O57" i="1"/>
  <c r="O115" i="1"/>
  <c r="O87" i="1"/>
  <c r="O6" i="1"/>
  <c r="P128" i="1"/>
  <c r="P126" i="1"/>
  <c r="P81" i="1"/>
  <c r="P109" i="1"/>
  <c r="P57" i="1"/>
  <c r="P115" i="1"/>
  <c r="P87" i="1"/>
  <c r="P100" i="1"/>
  <c r="P98" i="1"/>
  <c r="P117" i="1"/>
  <c r="P79" i="1"/>
  <c r="P110" i="1"/>
  <c r="N53" i="1"/>
  <c r="N56" i="1"/>
  <c r="N40" i="1"/>
  <c r="N44" i="1"/>
  <c r="N18" i="1"/>
  <c r="J18" i="1" s="1"/>
  <c r="N11" i="1"/>
  <c r="N25" i="1"/>
  <c r="L25" i="1"/>
  <c r="M25" i="1"/>
  <c r="P25" i="1"/>
  <c r="O25" i="1"/>
  <c r="O53" i="1"/>
  <c r="O86" i="1"/>
  <c r="O56" i="1"/>
  <c r="O44" i="1"/>
  <c r="O95" i="1"/>
  <c r="O93" i="1"/>
  <c r="O40" i="1"/>
  <c r="O18" i="1"/>
  <c r="O75" i="1"/>
  <c r="O11" i="1"/>
  <c r="P53" i="1"/>
  <c r="U53" i="1"/>
  <c r="V53" i="1"/>
  <c r="W53" i="1"/>
  <c r="X53" i="1"/>
  <c r="S53" i="1"/>
  <c r="P56" i="1"/>
  <c r="S56" i="1"/>
  <c r="U56" i="1"/>
  <c r="V56" i="1"/>
  <c r="W56" i="1"/>
  <c r="X56" i="1"/>
  <c r="P86" i="1"/>
  <c r="P40" i="1"/>
  <c r="P93" i="1"/>
  <c r="P95" i="1"/>
  <c r="P44" i="1"/>
  <c r="P75" i="1"/>
  <c r="S18" i="1"/>
  <c r="U18" i="1"/>
  <c r="V18" i="1"/>
  <c r="W18" i="1"/>
  <c r="X18" i="1"/>
  <c r="N54" i="1"/>
  <c r="O19" i="1"/>
  <c r="M19" i="1"/>
  <c r="O49" i="1"/>
  <c r="O48" i="1"/>
  <c r="O82" i="1"/>
  <c r="P54" i="1"/>
  <c r="P41" i="1"/>
  <c r="P88" i="1"/>
  <c r="N65" i="1"/>
  <c r="L5" i="1"/>
  <c r="M5" i="1"/>
  <c r="P24" i="1"/>
  <c r="R53" i="1" l="1"/>
  <c r="I53" i="1" s="1"/>
  <c r="J53" i="1"/>
  <c r="R56" i="1"/>
  <c r="I56" i="1" s="1"/>
  <c r="J56" i="1"/>
  <c r="R18" i="1"/>
  <c r="I18" i="1" s="1"/>
  <c r="H18" i="1" s="1"/>
  <c r="H53" i="1" l="1"/>
  <c r="H56" i="1"/>
  <c r="P33" i="1" l="1"/>
  <c r="P123" i="1"/>
  <c r="P94" i="1"/>
  <c r="P99" i="1"/>
  <c r="N20" i="1"/>
  <c r="N70" i="1"/>
  <c r="L10" i="1"/>
  <c r="M10" i="1"/>
  <c r="O50" i="1"/>
  <c r="O70" i="1"/>
  <c r="O89" i="1"/>
  <c r="J89" i="1" s="1"/>
  <c r="O27" i="1"/>
  <c r="O10" i="1"/>
  <c r="J8" i="1"/>
  <c r="O122" i="1"/>
  <c r="J122" i="1" s="1"/>
  <c r="O20" i="1"/>
  <c r="O36" i="1"/>
  <c r="P122" i="1"/>
  <c r="P36" i="1"/>
  <c r="P10" i="1"/>
  <c r="P89" i="1"/>
  <c r="P50" i="1"/>
  <c r="P70" i="1"/>
  <c r="P27" i="1"/>
  <c r="N30" i="1"/>
  <c r="N46" i="1"/>
  <c r="N38" i="1"/>
  <c r="N23" i="1"/>
  <c r="N31" i="1"/>
  <c r="N15" i="1"/>
  <c r="N45" i="1"/>
  <c r="L14" i="1"/>
  <c r="L45" i="1"/>
  <c r="M14" i="1"/>
  <c r="O85" i="1"/>
  <c r="J85" i="1" s="1"/>
  <c r="O60" i="1"/>
  <c r="J60" i="1" s="1"/>
  <c r="O38" i="1"/>
  <c r="O23" i="1"/>
  <c r="O15" i="1"/>
  <c r="O46" i="1"/>
  <c r="O30" i="1"/>
  <c r="J30" i="1" s="1"/>
  <c r="O14" i="1"/>
  <c r="O132" i="1"/>
  <c r="J132" i="1" s="1"/>
  <c r="O51" i="1"/>
  <c r="J51" i="1" s="1"/>
  <c r="O31" i="1"/>
  <c r="O45" i="1"/>
  <c r="O116" i="1"/>
  <c r="J116" i="1" s="1"/>
  <c r="P132" i="1"/>
  <c r="P45" i="1"/>
  <c r="P116" i="1"/>
  <c r="P31" i="1"/>
  <c r="P14" i="1"/>
  <c r="P46" i="1"/>
  <c r="P85" i="1"/>
  <c r="P38" i="1"/>
  <c r="J25" i="1"/>
  <c r="J11" i="1"/>
  <c r="J44" i="1"/>
  <c r="J95" i="1"/>
  <c r="J75" i="1"/>
  <c r="J93" i="1"/>
  <c r="J40" i="1"/>
  <c r="J86" i="1"/>
  <c r="J118" i="1"/>
  <c r="J78" i="1"/>
  <c r="J77" i="1"/>
  <c r="J102" i="1"/>
  <c r="J105" i="1"/>
  <c r="J103" i="1"/>
  <c r="J39" i="1"/>
  <c r="J112" i="1"/>
  <c r="J104" i="1"/>
  <c r="J106" i="1"/>
  <c r="J2" i="1"/>
  <c r="J64" i="1"/>
  <c r="J76" i="1"/>
  <c r="J35" i="1"/>
  <c r="J140" i="1"/>
  <c r="J111" i="1"/>
  <c r="J99" i="1"/>
  <c r="J82" i="1"/>
  <c r="J92" i="1"/>
  <c r="J48" i="1"/>
  <c r="J73" i="1"/>
  <c r="J49" i="1"/>
  <c r="J52" i="1"/>
  <c r="J4" i="1"/>
  <c r="J9" i="1"/>
  <c r="J63" i="1"/>
  <c r="J24" i="1"/>
  <c r="J37" i="1"/>
  <c r="J74" i="1"/>
  <c r="J17" i="1"/>
  <c r="J54" i="1"/>
  <c r="J19" i="1"/>
  <c r="J22" i="1"/>
  <c r="J69" i="1"/>
  <c r="J88" i="1"/>
  <c r="J41" i="1"/>
  <c r="J119" i="1"/>
  <c r="J129" i="1"/>
  <c r="J130" i="1"/>
  <c r="J120" i="1"/>
  <c r="J133" i="1"/>
  <c r="J121" i="1"/>
  <c r="J134" i="1"/>
  <c r="J124" i="1"/>
  <c r="J100" i="1"/>
  <c r="J98" i="1"/>
  <c r="J79" i="1"/>
  <c r="J117" i="1"/>
  <c r="J110" i="1"/>
  <c r="J47" i="1"/>
  <c r="J61" i="1"/>
  <c r="J5" i="1"/>
  <c r="J12" i="1"/>
  <c r="J59" i="1"/>
  <c r="J65" i="1"/>
  <c r="J62" i="1"/>
  <c r="J13" i="1"/>
  <c r="J7" i="1"/>
  <c r="J43" i="1"/>
  <c r="J28" i="1"/>
  <c r="J21" i="1"/>
  <c r="J58" i="1"/>
  <c r="J16" i="1"/>
  <c r="J94" i="1"/>
  <c r="J136" i="1"/>
  <c r="J137" i="1"/>
  <c r="J138" i="1"/>
  <c r="J139" i="1"/>
  <c r="J123" i="1"/>
  <c r="J131" i="1"/>
  <c r="J71" i="1"/>
  <c r="J135" i="1"/>
  <c r="J83" i="1"/>
  <c r="J3" i="1"/>
  <c r="J33" i="1"/>
  <c r="J101" i="1"/>
  <c r="J96" i="1"/>
  <c r="J68" i="1"/>
  <c r="J55" i="1"/>
  <c r="J107" i="1"/>
  <c r="J42" i="1"/>
  <c r="J91" i="1"/>
  <c r="J113" i="1"/>
  <c r="J108" i="1"/>
  <c r="J114" i="1"/>
  <c r="J29" i="1"/>
  <c r="J80" i="1"/>
  <c r="J66" i="1"/>
  <c r="J67" i="1"/>
  <c r="J34" i="1"/>
  <c r="J26" i="1"/>
  <c r="J97" i="1"/>
  <c r="J127" i="1"/>
  <c r="J141" i="1"/>
  <c r="J125" i="1"/>
  <c r="J142" i="1"/>
  <c r="J6" i="1"/>
  <c r="J115" i="1"/>
  <c r="J57" i="1"/>
  <c r="J32" i="1"/>
  <c r="J109" i="1"/>
  <c r="J87" i="1"/>
  <c r="J81" i="1"/>
  <c r="J126" i="1"/>
  <c r="J128" i="1"/>
  <c r="J90" i="1"/>
  <c r="J84" i="1"/>
  <c r="J72" i="1"/>
  <c r="S116" i="1"/>
  <c r="S45" i="1"/>
  <c r="S51" i="1"/>
  <c r="S132" i="1"/>
  <c r="S25" i="1"/>
  <c r="S11" i="1"/>
  <c r="S44" i="1"/>
  <c r="S95" i="1"/>
  <c r="S75" i="1"/>
  <c r="S93" i="1"/>
  <c r="S40" i="1"/>
  <c r="S86" i="1"/>
  <c r="S118" i="1"/>
  <c r="S78" i="1"/>
  <c r="S77" i="1"/>
  <c r="S102" i="1"/>
  <c r="S105" i="1"/>
  <c r="S103" i="1"/>
  <c r="S39" i="1"/>
  <c r="S112" i="1"/>
  <c r="S104" i="1"/>
  <c r="S106" i="1"/>
  <c r="S2" i="1"/>
  <c r="S64" i="1"/>
  <c r="S76" i="1"/>
  <c r="S35" i="1"/>
  <c r="S140" i="1"/>
  <c r="S111" i="1"/>
  <c r="S99" i="1"/>
  <c r="S8" i="1"/>
  <c r="S10" i="1"/>
  <c r="S27" i="1"/>
  <c r="S89" i="1"/>
  <c r="S70" i="1"/>
  <c r="S50" i="1"/>
  <c r="S82" i="1"/>
  <c r="S92" i="1"/>
  <c r="S48" i="1"/>
  <c r="S73" i="1"/>
  <c r="S49" i="1"/>
  <c r="S52" i="1"/>
  <c r="S4" i="1"/>
  <c r="S9" i="1"/>
  <c r="S63" i="1"/>
  <c r="S24" i="1"/>
  <c r="S37" i="1"/>
  <c r="S74" i="1"/>
  <c r="S17" i="1"/>
  <c r="S54" i="1"/>
  <c r="S19" i="1"/>
  <c r="S22" i="1"/>
  <c r="S69" i="1"/>
  <c r="S88" i="1"/>
  <c r="S41" i="1"/>
  <c r="S119" i="1"/>
  <c r="S129" i="1"/>
  <c r="S130" i="1"/>
  <c r="S120" i="1"/>
  <c r="S133" i="1"/>
  <c r="S121" i="1"/>
  <c r="S134" i="1"/>
  <c r="S124" i="1"/>
  <c r="S100" i="1"/>
  <c r="S98" i="1"/>
  <c r="S79" i="1"/>
  <c r="S117" i="1"/>
  <c r="S110" i="1"/>
  <c r="S47" i="1"/>
  <c r="S61" i="1"/>
  <c r="S5" i="1"/>
  <c r="S12" i="1"/>
  <c r="S59" i="1"/>
  <c r="S65" i="1"/>
  <c r="S62" i="1"/>
  <c r="S13" i="1"/>
  <c r="S7" i="1"/>
  <c r="S43" i="1"/>
  <c r="S28" i="1"/>
  <c r="S21" i="1"/>
  <c r="S58" i="1"/>
  <c r="S16" i="1"/>
  <c r="S94" i="1"/>
  <c r="S136" i="1"/>
  <c r="S137" i="1"/>
  <c r="S138" i="1"/>
  <c r="S139" i="1"/>
  <c r="S123" i="1"/>
  <c r="S131" i="1"/>
  <c r="S71" i="1"/>
  <c r="S135" i="1"/>
  <c r="S83" i="1"/>
  <c r="S3" i="1"/>
  <c r="S33" i="1"/>
  <c r="S101" i="1"/>
  <c r="S96" i="1"/>
  <c r="S68" i="1"/>
  <c r="S55" i="1"/>
  <c r="S107" i="1"/>
  <c r="S42" i="1"/>
  <c r="S91" i="1"/>
  <c r="S113" i="1"/>
  <c r="S108" i="1"/>
  <c r="S114" i="1"/>
  <c r="S29" i="1"/>
  <c r="S80" i="1"/>
  <c r="S66" i="1"/>
  <c r="S67" i="1"/>
  <c r="S34" i="1"/>
  <c r="S14" i="1"/>
  <c r="S30" i="1"/>
  <c r="S46" i="1"/>
  <c r="S15" i="1"/>
  <c r="S38" i="1"/>
  <c r="S23" i="1"/>
  <c r="S60" i="1"/>
  <c r="S85" i="1"/>
  <c r="S26" i="1"/>
  <c r="S97" i="1"/>
  <c r="S127" i="1"/>
  <c r="S141" i="1"/>
  <c r="S125" i="1"/>
  <c r="S142" i="1"/>
  <c r="S6" i="1"/>
  <c r="S115" i="1"/>
  <c r="S57" i="1"/>
  <c r="S32" i="1"/>
  <c r="S109" i="1"/>
  <c r="S87" i="1"/>
  <c r="S81" i="1"/>
  <c r="S126" i="1"/>
  <c r="S128" i="1"/>
  <c r="S36" i="1"/>
  <c r="S20" i="1"/>
  <c r="S122" i="1"/>
  <c r="S90" i="1"/>
  <c r="S84" i="1"/>
  <c r="S72" i="1"/>
  <c r="S31" i="1"/>
  <c r="X116" i="1"/>
  <c r="X45" i="1"/>
  <c r="X51" i="1"/>
  <c r="X132" i="1"/>
  <c r="X25" i="1"/>
  <c r="X11" i="1"/>
  <c r="X44" i="1"/>
  <c r="X95" i="1"/>
  <c r="X75" i="1"/>
  <c r="X93" i="1"/>
  <c r="X40" i="1"/>
  <c r="X86" i="1"/>
  <c r="X118" i="1"/>
  <c r="X78" i="1"/>
  <c r="X77" i="1"/>
  <c r="X102" i="1"/>
  <c r="X105" i="1"/>
  <c r="X103" i="1"/>
  <c r="X39" i="1"/>
  <c r="X112" i="1"/>
  <c r="X104" i="1"/>
  <c r="X106" i="1"/>
  <c r="X2" i="1"/>
  <c r="X64" i="1"/>
  <c r="X76" i="1"/>
  <c r="X35" i="1"/>
  <c r="X140" i="1"/>
  <c r="X111" i="1"/>
  <c r="X99" i="1"/>
  <c r="X8" i="1"/>
  <c r="X10" i="1"/>
  <c r="X27" i="1"/>
  <c r="X89" i="1"/>
  <c r="X70" i="1"/>
  <c r="X50" i="1"/>
  <c r="X82" i="1"/>
  <c r="X92" i="1"/>
  <c r="X48" i="1"/>
  <c r="X73" i="1"/>
  <c r="X49" i="1"/>
  <c r="X52" i="1"/>
  <c r="X4" i="1"/>
  <c r="X9" i="1"/>
  <c r="X63" i="1"/>
  <c r="X24" i="1"/>
  <c r="X37" i="1"/>
  <c r="X74" i="1"/>
  <c r="X17" i="1"/>
  <c r="X54" i="1"/>
  <c r="X19" i="1"/>
  <c r="X22" i="1"/>
  <c r="X69" i="1"/>
  <c r="X88" i="1"/>
  <c r="X41" i="1"/>
  <c r="X119" i="1"/>
  <c r="X129" i="1"/>
  <c r="X130" i="1"/>
  <c r="X120" i="1"/>
  <c r="X133" i="1"/>
  <c r="X121" i="1"/>
  <c r="X134" i="1"/>
  <c r="X124" i="1"/>
  <c r="X100" i="1"/>
  <c r="X98" i="1"/>
  <c r="X79" i="1"/>
  <c r="X117" i="1"/>
  <c r="X110" i="1"/>
  <c r="X47" i="1"/>
  <c r="X61" i="1"/>
  <c r="X5" i="1"/>
  <c r="X12" i="1"/>
  <c r="X59" i="1"/>
  <c r="X65" i="1"/>
  <c r="X62" i="1"/>
  <c r="X13" i="1"/>
  <c r="X7" i="1"/>
  <c r="X43" i="1"/>
  <c r="X28" i="1"/>
  <c r="X21" i="1"/>
  <c r="X58" i="1"/>
  <c r="X16" i="1"/>
  <c r="X94" i="1"/>
  <c r="X136" i="1"/>
  <c r="X137" i="1"/>
  <c r="X138" i="1"/>
  <c r="X139" i="1"/>
  <c r="X123" i="1"/>
  <c r="X131" i="1"/>
  <c r="X71" i="1"/>
  <c r="X135" i="1"/>
  <c r="X83" i="1"/>
  <c r="X3" i="1"/>
  <c r="X33" i="1"/>
  <c r="X101" i="1"/>
  <c r="X96" i="1"/>
  <c r="X68" i="1"/>
  <c r="X55" i="1"/>
  <c r="X107" i="1"/>
  <c r="X42" i="1"/>
  <c r="X91" i="1"/>
  <c r="X113" i="1"/>
  <c r="X108" i="1"/>
  <c r="X114" i="1"/>
  <c r="X29" i="1"/>
  <c r="X80" i="1"/>
  <c r="X66" i="1"/>
  <c r="X67" i="1"/>
  <c r="X34" i="1"/>
  <c r="X14" i="1"/>
  <c r="X30" i="1"/>
  <c r="X46" i="1"/>
  <c r="X15" i="1"/>
  <c r="X38" i="1"/>
  <c r="X23" i="1"/>
  <c r="X60" i="1"/>
  <c r="X85" i="1"/>
  <c r="X26" i="1"/>
  <c r="X97" i="1"/>
  <c r="X127" i="1"/>
  <c r="X141" i="1"/>
  <c r="X125" i="1"/>
  <c r="X142" i="1"/>
  <c r="X6" i="1"/>
  <c r="X115" i="1"/>
  <c r="X57" i="1"/>
  <c r="X32" i="1"/>
  <c r="X109" i="1"/>
  <c r="X87" i="1"/>
  <c r="X81" i="1"/>
  <c r="X126" i="1"/>
  <c r="X128" i="1"/>
  <c r="X36" i="1"/>
  <c r="X20" i="1"/>
  <c r="X122" i="1"/>
  <c r="X90" i="1"/>
  <c r="X84" i="1"/>
  <c r="X72" i="1"/>
  <c r="W116" i="1"/>
  <c r="W45" i="1"/>
  <c r="W51" i="1"/>
  <c r="W132" i="1"/>
  <c r="W25" i="1"/>
  <c r="W11" i="1"/>
  <c r="W44" i="1"/>
  <c r="W95" i="1"/>
  <c r="W75" i="1"/>
  <c r="W93" i="1"/>
  <c r="W40" i="1"/>
  <c r="W86" i="1"/>
  <c r="W118" i="1"/>
  <c r="W78" i="1"/>
  <c r="W77" i="1"/>
  <c r="W102" i="1"/>
  <c r="W105" i="1"/>
  <c r="W103" i="1"/>
  <c r="W39" i="1"/>
  <c r="W112" i="1"/>
  <c r="W104" i="1"/>
  <c r="W106" i="1"/>
  <c r="W2" i="1"/>
  <c r="W64" i="1"/>
  <c r="W76" i="1"/>
  <c r="W35" i="1"/>
  <c r="W140" i="1"/>
  <c r="W111" i="1"/>
  <c r="W99" i="1"/>
  <c r="W8" i="1"/>
  <c r="W10" i="1"/>
  <c r="W27" i="1"/>
  <c r="W89" i="1"/>
  <c r="W70" i="1"/>
  <c r="W50" i="1"/>
  <c r="W82" i="1"/>
  <c r="W92" i="1"/>
  <c r="W48" i="1"/>
  <c r="W73" i="1"/>
  <c r="W49" i="1"/>
  <c r="W52" i="1"/>
  <c r="W4" i="1"/>
  <c r="W9" i="1"/>
  <c r="W63" i="1"/>
  <c r="W24" i="1"/>
  <c r="W37" i="1"/>
  <c r="W74" i="1"/>
  <c r="W17" i="1"/>
  <c r="W54" i="1"/>
  <c r="W19" i="1"/>
  <c r="W22" i="1"/>
  <c r="W69" i="1"/>
  <c r="W88" i="1"/>
  <c r="W41" i="1"/>
  <c r="W119" i="1"/>
  <c r="W129" i="1"/>
  <c r="W130" i="1"/>
  <c r="W120" i="1"/>
  <c r="W133" i="1"/>
  <c r="W121" i="1"/>
  <c r="W134" i="1"/>
  <c r="W124" i="1"/>
  <c r="W100" i="1"/>
  <c r="W98" i="1"/>
  <c r="W79" i="1"/>
  <c r="W117" i="1"/>
  <c r="W110" i="1"/>
  <c r="W47" i="1"/>
  <c r="W61" i="1"/>
  <c r="W5" i="1"/>
  <c r="W12" i="1"/>
  <c r="W59" i="1"/>
  <c r="W65" i="1"/>
  <c r="W62" i="1"/>
  <c r="W13" i="1"/>
  <c r="W7" i="1"/>
  <c r="W43" i="1"/>
  <c r="W28" i="1"/>
  <c r="W21" i="1"/>
  <c r="W58" i="1"/>
  <c r="W16" i="1"/>
  <c r="W94" i="1"/>
  <c r="W136" i="1"/>
  <c r="W137" i="1"/>
  <c r="W138" i="1"/>
  <c r="W139" i="1"/>
  <c r="W123" i="1"/>
  <c r="W131" i="1"/>
  <c r="W71" i="1"/>
  <c r="W135" i="1"/>
  <c r="W83" i="1"/>
  <c r="W3" i="1"/>
  <c r="W33" i="1"/>
  <c r="W101" i="1"/>
  <c r="W96" i="1"/>
  <c r="W68" i="1"/>
  <c r="W55" i="1"/>
  <c r="W107" i="1"/>
  <c r="W42" i="1"/>
  <c r="W91" i="1"/>
  <c r="W113" i="1"/>
  <c r="W108" i="1"/>
  <c r="W114" i="1"/>
  <c r="W29" i="1"/>
  <c r="W80" i="1"/>
  <c r="W66" i="1"/>
  <c r="W67" i="1"/>
  <c r="W34" i="1"/>
  <c r="W14" i="1"/>
  <c r="W30" i="1"/>
  <c r="W46" i="1"/>
  <c r="W15" i="1"/>
  <c r="W38" i="1"/>
  <c r="W23" i="1"/>
  <c r="W60" i="1"/>
  <c r="W85" i="1"/>
  <c r="W26" i="1"/>
  <c r="W97" i="1"/>
  <c r="W127" i="1"/>
  <c r="W141" i="1"/>
  <c r="W125" i="1"/>
  <c r="W142" i="1"/>
  <c r="W6" i="1"/>
  <c r="W115" i="1"/>
  <c r="W57" i="1"/>
  <c r="W32" i="1"/>
  <c r="W109" i="1"/>
  <c r="W87" i="1"/>
  <c r="W81" i="1"/>
  <c r="W126" i="1"/>
  <c r="W128" i="1"/>
  <c r="W36" i="1"/>
  <c r="W20" i="1"/>
  <c r="W122" i="1"/>
  <c r="W90" i="1"/>
  <c r="W84" i="1"/>
  <c r="W72" i="1"/>
  <c r="V116" i="1"/>
  <c r="V45" i="1"/>
  <c r="V51" i="1"/>
  <c r="V132" i="1"/>
  <c r="V25" i="1"/>
  <c r="V11" i="1"/>
  <c r="V44" i="1"/>
  <c r="V95" i="1"/>
  <c r="V75" i="1"/>
  <c r="V93" i="1"/>
  <c r="V40" i="1"/>
  <c r="V86" i="1"/>
  <c r="V118" i="1"/>
  <c r="V78" i="1"/>
  <c r="V77" i="1"/>
  <c r="V102" i="1"/>
  <c r="V105" i="1"/>
  <c r="V103" i="1"/>
  <c r="V39" i="1"/>
  <c r="V112" i="1"/>
  <c r="V104" i="1"/>
  <c r="V106" i="1"/>
  <c r="V2" i="1"/>
  <c r="V64" i="1"/>
  <c r="V76" i="1"/>
  <c r="V35" i="1"/>
  <c r="V140" i="1"/>
  <c r="V111" i="1"/>
  <c r="V99" i="1"/>
  <c r="V8" i="1"/>
  <c r="V10" i="1"/>
  <c r="V27" i="1"/>
  <c r="V89" i="1"/>
  <c r="V70" i="1"/>
  <c r="V50" i="1"/>
  <c r="V82" i="1"/>
  <c r="V92" i="1"/>
  <c r="V48" i="1"/>
  <c r="V73" i="1"/>
  <c r="V49" i="1"/>
  <c r="V52" i="1"/>
  <c r="V4" i="1"/>
  <c r="V9" i="1"/>
  <c r="V63" i="1"/>
  <c r="V24" i="1"/>
  <c r="V37" i="1"/>
  <c r="V74" i="1"/>
  <c r="V17" i="1"/>
  <c r="V54" i="1"/>
  <c r="V19" i="1"/>
  <c r="V22" i="1"/>
  <c r="V69" i="1"/>
  <c r="V88" i="1"/>
  <c r="V41" i="1"/>
  <c r="V119" i="1"/>
  <c r="V129" i="1"/>
  <c r="V130" i="1"/>
  <c r="V120" i="1"/>
  <c r="V133" i="1"/>
  <c r="V121" i="1"/>
  <c r="V134" i="1"/>
  <c r="V124" i="1"/>
  <c r="V100" i="1"/>
  <c r="V98" i="1"/>
  <c r="V79" i="1"/>
  <c r="V117" i="1"/>
  <c r="V110" i="1"/>
  <c r="V47" i="1"/>
  <c r="V61" i="1"/>
  <c r="V5" i="1"/>
  <c r="V12" i="1"/>
  <c r="V59" i="1"/>
  <c r="V65" i="1"/>
  <c r="V62" i="1"/>
  <c r="V13" i="1"/>
  <c r="V7" i="1"/>
  <c r="V43" i="1"/>
  <c r="V28" i="1"/>
  <c r="V21" i="1"/>
  <c r="V58" i="1"/>
  <c r="V16" i="1"/>
  <c r="V94" i="1"/>
  <c r="V136" i="1"/>
  <c r="V137" i="1"/>
  <c r="V138" i="1"/>
  <c r="V139" i="1"/>
  <c r="V123" i="1"/>
  <c r="V131" i="1"/>
  <c r="V71" i="1"/>
  <c r="V135" i="1"/>
  <c r="V83" i="1"/>
  <c r="V3" i="1"/>
  <c r="V33" i="1"/>
  <c r="V101" i="1"/>
  <c r="V96" i="1"/>
  <c r="V68" i="1"/>
  <c r="V55" i="1"/>
  <c r="V107" i="1"/>
  <c r="V42" i="1"/>
  <c r="V91" i="1"/>
  <c r="V113" i="1"/>
  <c r="V108" i="1"/>
  <c r="V114" i="1"/>
  <c r="V29" i="1"/>
  <c r="V80" i="1"/>
  <c r="V66" i="1"/>
  <c r="V67" i="1"/>
  <c r="V34" i="1"/>
  <c r="V14" i="1"/>
  <c r="V30" i="1"/>
  <c r="V46" i="1"/>
  <c r="V15" i="1"/>
  <c r="V38" i="1"/>
  <c r="V23" i="1"/>
  <c r="V60" i="1"/>
  <c r="V85" i="1"/>
  <c r="V26" i="1"/>
  <c r="V97" i="1"/>
  <c r="V127" i="1"/>
  <c r="V141" i="1"/>
  <c r="V125" i="1"/>
  <c r="V142" i="1"/>
  <c r="V6" i="1"/>
  <c r="V115" i="1"/>
  <c r="V57" i="1"/>
  <c r="V32" i="1"/>
  <c r="V109" i="1"/>
  <c r="V87" i="1"/>
  <c r="V81" i="1"/>
  <c r="V126" i="1"/>
  <c r="V128" i="1"/>
  <c r="V36" i="1"/>
  <c r="V20" i="1"/>
  <c r="V122" i="1"/>
  <c r="V90" i="1"/>
  <c r="V84" i="1"/>
  <c r="V72" i="1"/>
  <c r="U116" i="1"/>
  <c r="U45" i="1"/>
  <c r="U51" i="1"/>
  <c r="U132" i="1"/>
  <c r="U25" i="1"/>
  <c r="U11" i="1"/>
  <c r="U44" i="1"/>
  <c r="U95" i="1"/>
  <c r="U75" i="1"/>
  <c r="U93" i="1"/>
  <c r="U40" i="1"/>
  <c r="U86" i="1"/>
  <c r="U118" i="1"/>
  <c r="U78" i="1"/>
  <c r="U77" i="1"/>
  <c r="U102" i="1"/>
  <c r="U105" i="1"/>
  <c r="U103" i="1"/>
  <c r="U39" i="1"/>
  <c r="U112" i="1"/>
  <c r="U104" i="1"/>
  <c r="U106" i="1"/>
  <c r="U2" i="1"/>
  <c r="U64" i="1"/>
  <c r="U76" i="1"/>
  <c r="U35" i="1"/>
  <c r="U140" i="1"/>
  <c r="U111" i="1"/>
  <c r="U99" i="1"/>
  <c r="U8" i="1"/>
  <c r="U10" i="1"/>
  <c r="U27" i="1"/>
  <c r="U89" i="1"/>
  <c r="U70" i="1"/>
  <c r="U50" i="1"/>
  <c r="U82" i="1"/>
  <c r="U92" i="1"/>
  <c r="U48" i="1"/>
  <c r="U73" i="1"/>
  <c r="U49" i="1"/>
  <c r="U52" i="1"/>
  <c r="U4" i="1"/>
  <c r="U9" i="1"/>
  <c r="U63" i="1"/>
  <c r="U24" i="1"/>
  <c r="U37" i="1"/>
  <c r="U74" i="1"/>
  <c r="U17" i="1"/>
  <c r="U54" i="1"/>
  <c r="U19" i="1"/>
  <c r="U22" i="1"/>
  <c r="U69" i="1"/>
  <c r="U88" i="1"/>
  <c r="U41" i="1"/>
  <c r="U119" i="1"/>
  <c r="U129" i="1"/>
  <c r="U130" i="1"/>
  <c r="U120" i="1"/>
  <c r="U133" i="1"/>
  <c r="U121" i="1"/>
  <c r="U134" i="1"/>
  <c r="U124" i="1"/>
  <c r="U100" i="1"/>
  <c r="U98" i="1"/>
  <c r="U79" i="1"/>
  <c r="U117" i="1"/>
  <c r="U110" i="1"/>
  <c r="U47" i="1"/>
  <c r="U61" i="1"/>
  <c r="U5" i="1"/>
  <c r="U12" i="1"/>
  <c r="U59" i="1"/>
  <c r="U65" i="1"/>
  <c r="U62" i="1"/>
  <c r="U13" i="1"/>
  <c r="U7" i="1"/>
  <c r="U43" i="1"/>
  <c r="U28" i="1"/>
  <c r="U21" i="1"/>
  <c r="U58" i="1"/>
  <c r="U16" i="1"/>
  <c r="U94" i="1"/>
  <c r="U136" i="1"/>
  <c r="U137" i="1"/>
  <c r="U138" i="1"/>
  <c r="U139" i="1"/>
  <c r="U123" i="1"/>
  <c r="U131" i="1"/>
  <c r="U71" i="1"/>
  <c r="U135" i="1"/>
  <c r="U83" i="1"/>
  <c r="U3" i="1"/>
  <c r="U33" i="1"/>
  <c r="U101" i="1"/>
  <c r="U96" i="1"/>
  <c r="U68" i="1"/>
  <c r="U55" i="1"/>
  <c r="U107" i="1"/>
  <c r="U42" i="1"/>
  <c r="U91" i="1"/>
  <c r="U113" i="1"/>
  <c r="U108" i="1"/>
  <c r="U114" i="1"/>
  <c r="U29" i="1"/>
  <c r="U80" i="1"/>
  <c r="U66" i="1"/>
  <c r="U67" i="1"/>
  <c r="U34" i="1"/>
  <c r="U14" i="1"/>
  <c r="U30" i="1"/>
  <c r="U46" i="1"/>
  <c r="U15" i="1"/>
  <c r="U38" i="1"/>
  <c r="U23" i="1"/>
  <c r="U60" i="1"/>
  <c r="U85" i="1"/>
  <c r="U26" i="1"/>
  <c r="U97" i="1"/>
  <c r="U127" i="1"/>
  <c r="U141" i="1"/>
  <c r="U125" i="1"/>
  <c r="U142" i="1"/>
  <c r="U6" i="1"/>
  <c r="U115" i="1"/>
  <c r="U57" i="1"/>
  <c r="U32" i="1"/>
  <c r="U109" i="1"/>
  <c r="U87" i="1"/>
  <c r="U81" i="1"/>
  <c r="U126" i="1"/>
  <c r="U128" i="1"/>
  <c r="U36" i="1"/>
  <c r="U20" i="1"/>
  <c r="U122" i="1"/>
  <c r="U90" i="1"/>
  <c r="U84" i="1"/>
  <c r="U72" i="1"/>
  <c r="X31" i="1"/>
  <c r="W31" i="1"/>
  <c r="V31" i="1"/>
  <c r="U31" i="1"/>
  <c r="R126" i="1" l="1"/>
  <c r="R142" i="1"/>
  <c r="R23" i="1"/>
  <c r="R66" i="1"/>
  <c r="R91" i="1"/>
  <c r="I91" i="1" s="1"/>
  <c r="H91" i="1" s="1"/>
  <c r="R3" i="1"/>
  <c r="R137" i="1"/>
  <c r="I137" i="1" s="1"/>
  <c r="H137" i="1" s="1"/>
  <c r="R7" i="1"/>
  <c r="I7" i="1" s="1"/>
  <c r="H7" i="1" s="1"/>
  <c r="R75" i="1"/>
  <c r="R116" i="1"/>
  <c r="R5" i="1"/>
  <c r="R124" i="1"/>
  <c r="R41" i="1"/>
  <c r="I41" i="1" s="1"/>
  <c r="H41" i="1" s="1"/>
  <c r="R37" i="1"/>
  <c r="R48" i="1"/>
  <c r="I48" i="1" s="1"/>
  <c r="H48" i="1" s="1"/>
  <c r="R8" i="1"/>
  <c r="I8" i="1" s="1"/>
  <c r="H8" i="1" s="1"/>
  <c r="R106" i="1"/>
  <c r="R43" i="1"/>
  <c r="R81" i="1"/>
  <c r="R38" i="1"/>
  <c r="I38" i="1" s="1"/>
  <c r="R80" i="1"/>
  <c r="I80" i="1" s="1"/>
  <c r="H80" i="1" s="1"/>
  <c r="R83" i="1"/>
  <c r="I83" i="1" s="1"/>
  <c r="H83" i="1" s="1"/>
  <c r="R136" i="1"/>
  <c r="I136" i="1" s="1"/>
  <c r="H136" i="1" s="1"/>
  <c r="R72" i="1"/>
  <c r="I72" i="1" s="1"/>
  <c r="H72" i="1" s="1"/>
  <c r="R125" i="1"/>
  <c r="R42" i="1"/>
  <c r="I42" i="1" s="1"/>
  <c r="H42" i="1" s="1"/>
  <c r="R12" i="1"/>
  <c r="R100" i="1"/>
  <c r="R119" i="1"/>
  <c r="I119" i="1" s="1"/>
  <c r="H119" i="1" s="1"/>
  <c r="R74" i="1"/>
  <c r="R73" i="1"/>
  <c r="I73" i="1" s="1"/>
  <c r="H73" i="1" s="1"/>
  <c r="R10" i="1"/>
  <c r="I10" i="1" s="1"/>
  <c r="R2" i="1"/>
  <c r="R93" i="1"/>
  <c r="I93" i="1" s="1"/>
  <c r="H93" i="1" s="1"/>
  <c r="R45" i="1"/>
  <c r="I45" i="1" s="1"/>
  <c r="J70" i="1"/>
  <c r="J50" i="1"/>
  <c r="R36" i="1"/>
  <c r="R115" i="1"/>
  <c r="I115" i="1" s="1"/>
  <c r="H115" i="1" s="1"/>
  <c r="R85" i="1"/>
  <c r="I85" i="1" s="1"/>
  <c r="H85" i="1" s="1"/>
  <c r="R34" i="1"/>
  <c r="I34" i="1" s="1"/>
  <c r="H34" i="1" s="1"/>
  <c r="R108" i="1"/>
  <c r="I108" i="1" s="1"/>
  <c r="H108" i="1" s="1"/>
  <c r="R101" i="1"/>
  <c r="I101" i="1" s="1"/>
  <c r="H101" i="1" s="1"/>
  <c r="R139" i="1"/>
  <c r="I139" i="1" s="1"/>
  <c r="H139" i="1" s="1"/>
  <c r="R21" i="1"/>
  <c r="I21" i="1" s="1"/>
  <c r="H21" i="1" s="1"/>
  <c r="R65" i="1"/>
  <c r="R79" i="1"/>
  <c r="I79" i="1" s="1"/>
  <c r="H79" i="1" s="1"/>
  <c r="R130" i="1"/>
  <c r="I130" i="1" s="1"/>
  <c r="H130" i="1" s="1"/>
  <c r="R54" i="1"/>
  <c r="I54" i="1" s="1"/>
  <c r="H54" i="1" s="1"/>
  <c r="R52" i="1"/>
  <c r="R89" i="1"/>
  <c r="R76" i="1"/>
  <c r="R105" i="1"/>
  <c r="I105" i="1" s="1"/>
  <c r="H105" i="1" s="1"/>
  <c r="R86" i="1"/>
  <c r="R132" i="1"/>
  <c r="I132" i="1" s="1"/>
  <c r="H132" i="1" s="1"/>
  <c r="R128" i="1"/>
  <c r="I128" i="1" s="1"/>
  <c r="H128" i="1" s="1"/>
  <c r="R6" i="1"/>
  <c r="I6" i="1" s="1"/>
  <c r="H6" i="1" s="1"/>
  <c r="R60" i="1"/>
  <c r="I60" i="1" s="1"/>
  <c r="H60" i="1" s="1"/>
  <c r="R67" i="1"/>
  <c r="I67" i="1" s="1"/>
  <c r="H67" i="1" s="1"/>
  <c r="R113" i="1"/>
  <c r="I113" i="1" s="1"/>
  <c r="H113" i="1" s="1"/>
  <c r="R33" i="1"/>
  <c r="I33" i="1" s="1"/>
  <c r="H33" i="1" s="1"/>
  <c r="R138" i="1"/>
  <c r="R28" i="1"/>
  <c r="I28" i="1" s="1"/>
  <c r="H28" i="1" s="1"/>
  <c r="R59" i="1"/>
  <c r="I59" i="1" s="1"/>
  <c r="H59" i="1" s="1"/>
  <c r="R98" i="1"/>
  <c r="I98" i="1" s="1"/>
  <c r="H98" i="1" s="1"/>
  <c r="R129" i="1"/>
  <c r="I129" i="1" s="1"/>
  <c r="H129" i="1" s="1"/>
  <c r="R17" i="1"/>
  <c r="I17" i="1" s="1"/>
  <c r="H17" i="1" s="1"/>
  <c r="R49" i="1"/>
  <c r="I49" i="1" s="1"/>
  <c r="H49" i="1" s="1"/>
  <c r="R27" i="1"/>
  <c r="I27" i="1" s="1"/>
  <c r="R64" i="1"/>
  <c r="I64" i="1" s="1"/>
  <c r="H64" i="1" s="1"/>
  <c r="R40" i="1"/>
  <c r="I40" i="1" s="1"/>
  <c r="H40" i="1" s="1"/>
  <c r="R51" i="1"/>
  <c r="I51" i="1" s="1"/>
  <c r="H51" i="1" s="1"/>
  <c r="R84" i="1"/>
  <c r="R15" i="1"/>
  <c r="I15" i="1" s="1"/>
  <c r="R135" i="1"/>
  <c r="I135" i="1" s="1"/>
  <c r="H135" i="1" s="1"/>
  <c r="R61" i="1"/>
  <c r="I61" i="1" s="1"/>
  <c r="H61" i="1" s="1"/>
  <c r="R92" i="1"/>
  <c r="I92" i="1" s="1"/>
  <c r="H92" i="1" s="1"/>
  <c r="R95" i="1"/>
  <c r="I95" i="1" s="1"/>
  <c r="H95" i="1" s="1"/>
  <c r="R87" i="1"/>
  <c r="I87" i="1" s="1"/>
  <c r="H87" i="1" s="1"/>
  <c r="R29" i="1"/>
  <c r="I29" i="1" s="1"/>
  <c r="H29" i="1" s="1"/>
  <c r="R13" i="1"/>
  <c r="I13" i="1" s="1"/>
  <c r="H13" i="1" s="1"/>
  <c r="R88" i="1"/>
  <c r="R99" i="1"/>
  <c r="R104" i="1"/>
  <c r="I104" i="1" s="1"/>
  <c r="H104" i="1" s="1"/>
  <c r="R141" i="1"/>
  <c r="I141" i="1" s="1"/>
  <c r="H141" i="1" s="1"/>
  <c r="R107" i="1"/>
  <c r="I107" i="1" s="1"/>
  <c r="H107" i="1" s="1"/>
  <c r="R94" i="1"/>
  <c r="I94" i="1" s="1"/>
  <c r="H94" i="1" s="1"/>
  <c r="R134" i="1"/>
  <c r="I134" i="1" s="1"/>
  <c r="H134" i="1" s="1"/>
  <c r="R24" i="1"/>
  <c r="I24" i="1" s="1"/>
  <c r="H24" i="1" s="1"/>
  <c r="R102" i="1"/>
  <c r="I102" i="1" s="1"/>
  <c r="H102" i="1" s="1"/>
  <c r="R31" i="1"/>
  <c r="I31" i="1" s="1"/>
  <c r="R20" i="1"/>
  <c r="I20" i="1" s="1"/>
  <c r="R57" i="1"/>
  <c r="I57" i="1" s="1"/>
  <c r="H57" i="1" s="1"/>
  <c r="R26" i="1"/>
  <c r="I26" i="1" s="1"/>
  <c r="H26" i="1" s="1"/>
  <c r="R14" i="1"/>
  <c r="I14" i="1" s="1"/>
  <c r="R96" i="1"/>
  <c r="I96" i="1" s="1"/>
  <c r="H96" i="1" s="1"/>
  <c r="R123" i="1"/>
  <c r="I123" i="1" s="1"/>
  <c r="H123" i="1" s="1"/>
  <c r="R62" i="1"/>
  <c r="I62" i="1" s="1"/>
  <c r="H62" i="1" s="1"/>
  <c r="R117" i="1"/>
  <c r="I117" i="1" s="1"/>
  <c r="H117" i="1" s="1"/>
  <c r="R120" i="1"/>
  <c r="I120" i="1" s="1"/>
  <c r="H120" i="1" s="1"/>
  <c r="R19" i="1"/>
  <c r="I19" i="1" s="1"/>
  <c r="H19" i="1" s="1"/>
  <c r="R4" i="1"/>
  <c r="I4" i="1" s="1"/>
  <c r="H4" i="1" s="1"/>
  <c r="R70" i="1"/>
  <c r="I70" i="1" s="1"/>
  <c r="R35" i="1"/>
  <c r="I35" i="1" s="1"/>
  <c r="H35" i="1" s="1"/>
  <c r="R103" i="1"/>
  <c r="R118" i="1"/>
  <c r="I118" i="1" s="1"/>
  <c r="H118" i="1" s="1"/>
  <c r="R25" i="1"/>
  <c r="I25" i="1" s="1"/>
  <c r="H25" i="1" s="1"/>
  <c r="R90" i="1"/>
  <c r="I90" i="1" s="1"/>
  <c r="H90" i="1" s="1"/>
  <c r="R109" i="1"/>
  <c r="I109" i="1" s="1"/>
  <c r="H109" i="1" s="1"/>
  <c r="R127" i="1"/>
  <c r="I127" i="1" s="1"/>
  <c r="H127" i="1" s="1"/>
  <c r="R46" i="1"/>
  <c r="I46" i="1" s="1"/>
  <c r="R114" i="1"/>
  <c r="I114" i="1" s="1"/>
  <c r="H114" i="1" s="1"/>
  <c r="R55" i="1"/>
  <c r="I55" i="1" s="1"/>
  <c r="H55" i="1" s="1"/>
  <c r="R71" i="1"/>
  <c r="I71" i="1" s="1"/>
  <c r="H71" i="1" s="1"/>
  <c r="R16" i="1"/>
  <c r="I16" i="1" s="1"/>
  <c r="H16" i="1" s="1"/>
  <c r="R47" i="1"/>
  <c r="I47" i="1" s="1"/>
  <c r="H47" i="1" s="1"/>
  <c r="R121" i="1"/>
  <c r="I121" i="1" s="1"/>
  <c r="H121" i="1" s="1"/>
  <c r="R69" i="1"/>
  <c r="I69" i="1" s="1"/>
  <c r="H69" i="1" s="1"/>
  <c r="R63" i="1"/>
  <c r="I63" i="1" s="1"/>
  <c r="H63" i="1" s="1"/>
  <c r="R82" i="1"/>
  <c r="I82" i="1" s="1"/>
  <c r="H82" i="1" s="1"/>
  <c r="R111" i="1"/>
  <c r="I111" i="1" s="1"/>
  <c r="H111" i="1" s="1"/>
  <c r="R112" i="1"/>
  <c r="I112" i="1" s="1"/>
  <c r="H112" i="1" s="1"/>
  <c r="R77" i="1"/>
  <c r="I77" i="1" s="1"/>
  <c r="H77" i="1" s="1"/>
  <c r="R44" i="1"/>
  <c r="I44" i="1" s="1"/>
  <c r="H44" i="1" s="1"/>
  <c r="J10" i="1"/>
  <c r="R122" i="1"/>
  <c r="I122" i="1" s="1"/>
  <c r="H122" i="1" s="1"/>
  <c r="R32" i="1"/>
  <c r="I32" i="1" s="1"/>
  <c r="H32" i="1" s="1"/>
  <c r="R97" i="1"/>
  <c r="I97" i="1" s="1"/>
  <c r="H97" i="1" s="1"/>
  <c r="R30" i="1"/>
  <c r="I30" i="1" s="1"/>
  <c r="H30" i="1" s="1"/>
  <c r="R68" i="1"/>
  <c r="I68" i="1" s="1"/>
  <c r="H68" i="1" s="1"/>
  <c r="R131" i="1"/>
  <c r="I131" i="1" s="1"/>
  <c r="H131" i="1" s="1"/>
  <c r="R58" i="1"/>
  <c r="I58" i="1" s="1"/>
  <c r="H58" i="1" s="1"/>
  <c r="R110" i="1"/>
  <c r="I110" i="1" s="1"/>
  <c r="H110" i="1" s="1"/>
  <c r="R133" i="1"/>
  <c r="R22" i="1"/>
  <c r="I22" i="1" s="1"/>
  <c r="H22" i="1" s="1"/>
  <c r="R9" i="1"/>
  <c r="I9" i="1" s="1"/>
  <c r="H9" i="1" s="1"/>
  <c r="R50" i="1"/>
  <c r="I50" i="1" s="1"/>
  <c r="R140" i="1"/>
  <c r="I140" i="1" s="1"/>
  <c r="H140" i="1" s="1"/>
  <c r="R39" i="1"/>
  <c r="I39" i="1" s="1"/>
  <c r="H39" i="1" s="1"/>
  <c r="R78" i="1"/>
  <c r="I78" i="1" s="1"/>
  <c r="H78" i="1" s="1"/>
  <c r="R11" i="1"/>
  <c r="I11" i="1" s="1"/>
  <c r="H11" i="1" s="1"/>
  <c r="I84" i="1"/>
  <c r="H84" i="1" s="1"/>
  <c r="I88" i="1"/>
  <c r="H88" i="1" s="1"/>
  <c r="I99" i="1"/>
  <c r="H99" i="1" s="1"/>
  <c r="I75" i="1"/>
  <c r="H75" i="1" s="1"/>
  <c r="I116" i="1"/>
  <c r="H116" i="1" s="1"/>
  <c r="I133" i="1"/>
  <c r="H133" i="1" s="1"/>
  <c r="I103" i="1"/>
  <c r="H103" i="1" s="1"/>
  <c r="I36" i="1"/>
  <c r="I65" i="1"/>
  <c r="H65" i="1" s="1"/>
  <c r="I52" i="1"/>
  <c r="H52" i="1" s="1"/>
  <c r="I89" i="1"/>
  <c r="H89" i="1" s="1"/>
  <c r="I76" i="1"/>
  <c r="H76" i="1" s="1"/>
  <c r="I138" i="1"/>
  <c r="H138" i="1" s="1"/>
  <c r="I86" i="1"/>
  <c r="H86" i="1" s="1"/>
  <c r="J31" i="1"/>
  <c r="I126" i="1"/>
  <c r="H126" i="1" s="1"/>
  <c r="I142" i="1"/>
  <c r="H142" i="1" s="1"/>
  <c r="I23" i="1"/>
  <c r="I66" i="1"/>
  <c r="H66" i="1" s="1"/>
  <c r="I3" i="1"/>
  <c r="H3" i="1" s="1"/>
  <c r="I43" i="1"/>
  <c r="H43" i="1" s="1"/>
  <c r="I100" i="1"/>
  <c r="H100" i="1" s="1"/>
  <c r="I74" i="1"/>
  <c r="H74" i="1" s="1"/>
  <c r="I125" i="1"/>
  <c r="H125" i="1" s="1"/>
  <c r="I5" i="1"/>
  <c r="H5" i="1" s="1"/>
  <c r="I124" i="1"/>
  <c r="H124" i="1" s="1"/>
  <c r="I37" i="1"/>
  <c r="H37" i="1" s="1"/>
  <c r="I106" i="1"/>
  <c r="H106" i="1" s="1"/>
  <c r="I81" i="1"/>
  <c r="H81" i="1" s="1"/>
  <c r="I12" i="1"/>
  <c r="H12" i="1" s="1"/>
  <c r="I2" i="1"/>
  <c r="H2" i="1" s="1"/>
  <c r="J36" i="1"/>
  <c r="J27" i="1"/>
  <c r="J14" i="1"/>
  <c r="J46" i="1"/>
  <c r="J15" i="1"/>
  <c r="J20" i="1"/>
  <c r="J38" i="1"/>
  <c r="J45" i="1"/>
  <c r="J23" i="1"/>
  <c r="H50" i="1" l="1"/>
  <c r="H70" i="1"/>
  <c r="H14" i="1"/>
  <c r="H15" i="1"/>
  <c r="H38" i="1"/>
  <c r="H23" i="1"/>
  <c r="H31" i="1"/>
  <c r="H46" i="1"/>
  <c r="H10" i="1"/>
  <c r="H36" i="1"/>
  <c r="H45" i="1"/>
  <c r="H27" i="1"/>
  <c r="H20" i="1"/>
</calcChain>
</file>

<file path=xl/sharedStrings.xml><?xml version="1.0" encoding="utf-8"?>
<sst xmlns="http://schemas.openxmlformats.org/spreadsheetml/2006/main" count="896" uniqueCount="424">
  <si>
    <t>Brashard</t>
  </si>
  <si>
    <t>Smith</t>
  </si>
  <si>
    <t>RB</t>
  </si>
  <si>
    <t>Isaac</t>
  </si>
  <si>
    <t>Brown</t>
  </si>
  <si>
    <t>Travis</t>
  </si>
  <si>
    <t>Hunter</t>
  </si>
  <si>
    <t>WR</t>
  </si>
  <si>
    <t>Quinn</t>
  </si>
  <si>
    <t>Ewers</t>
  </si>
  <si>
    <t>QB</t>
  </si>
  <si>
    <t>Makhi</t>
  </si>
  <si>
    <t>Hughes</t>
  </si>
  <si>
    <t>Ja'Corey</t>
  </si>
  <si>
    <t>Brooks</t>
  </si>
  <si>
    <t>Desmond</t>
  </si>
  <si>
    <t>Reid</t>
  </si>
  <si>
    <t>Riley</t>
  </si>
  <si>
    <t>Leonard</t>
  </si>
  <si>
    <t>Tyler</t>
  </si>
  <si>
    <t>Warren</t>
  </si>
  <si>
    <t>TE</t>
  </si>
  <si>
    <t>Sawyer</t>
  </si>
  <si>
    <t>Robertson</t>
  </si>
  <si>
    <t>LeQuint</t>
  </si>
  <si>
    <t>Allen</t>
  </si>
  <si>
    <t>Jaydn</t>
  </si>
  <si>
    <t>Ott</t>
  </si>
  <si>
    <t>Kyren</t>
  </si>
  <si>
    <t>Lacy</t>
  </si>
  <si>
    <t>Oronde</t>
  </si>
  <si>
    <t>Gadsden II</t>
  </si>
  <si>
    <t>Isaiah</t>
  </si>
  <si>
    <t>Bond</t>
  </si>
  <si>
    <t>Shedeur</t>
  </si>
  <si>
    <t>Sanders</t>
  </si>
  <si>
    <t>Elic</t>
  </si>
  <si>
    <t>Ayomanor</t>
  </si>
  <si>
    <t>Phil</t>
  </si>
  <si>
    <t>Mafah</t>
  </si>
  <si>
    <t>Woody</t>
  </si>
  <si>
    <t>Marks</t>
  </si>
  <si>
    <t>LaJohntay</t>
  </si>
  <si>
    <t>Wester</t>
  </si>
  <si>
    <t>Jackson</t>
  </si>
  <si>
    <t>Meeks</t>
  </si>
  <si>
    <t>Andrew</t>
  </si>
  <si>
    <t>Armstrong</t>
  </si>
  <si>
    <t>Ja'Kobi</t>
  </si>
  <si>
    <t>Mason</t>
  </si>
  <si>
    <t>Taylor</t>
  </si>
  <si>
    <t>Bryson</t>
  </si>
  <si>
    <t>Washington</t>
  </si>
  <si>
    <t>Jimmy</t>
  </si>
  <si>
    <t>Horn Jr.</t>
  </si>
  <si>
    <t>Kaytron</t>
  </si>
  <si>
    <t>Jake</t>
  </si>
  <si>
    <t>Briningstool</t>
  </si>
  <si>
    <t>Eli</t>
  </si>
  <si>
    <t>Heidenreich</t>
  </si>
  <si>
    <t>Garrett</t>
  </si>
  <si>
    <t>Greene</t>
  </si>
  <si>
    <t>Gunnar</t>
  </si>
  <si>
    <t>Helm</t>
  </si>
  <si>
    <t>Trebor</t>
  </si>
  <si>
    <t>Pena</t>
  </si>
  <si>
    <t>Jack</t>
  </si>
  <si>
    <t>Endries</t>
  </si>
  <si>
    <t>Kevin</t>
  </si>
  <si>
    <t>Jennings</t>
  </si>
  <si>
    <t>Mario</t>
  </si>
  <si>
    <t>Williams</t>
  </si>
  <si>
    <t>Antonio</t>
  </si>
  <si>
    <t>Zachariah</t>
  </si>
  <si>
    <t>Branch</t>
  </si>
  <si>
    <t>Quintrevion</t>
  </si>
  <si>
    <t>Wisner</t>
  </si>
  <si>
    <t>Blake</t>
  </si>
  <si>
    <t>Horvath</t>
  </si>
  <si>
    <t>Dorian</t>
  </si>
  <si>
    <t>Singer</t>
  </si>
  <si>
    <t>Matthew</t>
  </si>
  <si>
    <t>Hibner</t>
  </si>
  <si>
    <t>Fernando</t>
  </si>
  <si>
    <t>Mendoza</t>
  </si>
  <si>
    <t>Jeremiyah</t>
  </si>
  <si>
    <t>Love</t>
  </si>
  <si>
    <t>Harrison</t>
  </si>
  <si>
    <t>Wallace III</t>
  </si>
  <si>
    <t>Golden</t>
  </si>
  <si>
    <t>Micah</t>
  </si>
  <si>
    <t>Bernard</t>
  </si>
  <si>
    <t>Mark</t>
  </si>
  <si>
    <t>Redman</t>
  </si>
  <si>
    <t>Makai</t>
  </si>
  <si>
    <t>Lemon</t>
  </si>
  <si>
    <t>Luke</t>
  </si>
  <si>
    <t>Hasz</t>
  </si>
  <si>
    <t>Cade</t>
  </si>
  <si>
    <t>Klubnik</t>
  </si>
  <si>
    <t>Shough</t>
  </si>
  <si>
    <t>Ashtyn</t>
  </si>
  <si>
    <t>Hawkins</t>
  </si>
  <si>
    <t>Nussmeier</t>
  </si>
  <si>
    <t>Taylen</t>
  </si>
  <si>
    <t>Green</t>
  </si>
  <si>
    <t>Kyle</t>
  </si>
  <si>
    <t>McCord</t>
  </si>
  <si>
    <t>Holstein</t>
  </si>
  <si>
    <t>Drew</t>
  </si>
  <si>
    <t>Allar</t>
  </si>
  <si>
    <t>Nicholas</t>
  </si>
  <si>
    <t>Singleton</t>
  </si>
  <si>
    <t>Jahiem</t>
  </si>
  <si>
    <t>White</t>
  </si>
  <si>
    <t>Anthony</t>
  </si>
  <si>
    <t>Colandrea</t>
  </si>
  <si>
    <t>DJ</t>
  </si>
  <si>
    <t>Lagway</t>
  </si>
  <si>
    <t>Darian</t>
  </si>
  <si>
    <t>Mensah</t>
  </si>
  <si>
    <t>Ashton</t>
  </si>
  <si>
    <t>Daniels</t>
  </si>
  <si>
    <t>Montrell</t>
  </si>
  <si>
    <t>Johnson Jr.</t>
  </si>
  <si>
    <t>Hudson</t>
  </si>
  <si>
    <t>Card</t>
  </si>
  <si>
    <t>Ja'Quinden</t>
  </si>
  <si>
    <t>Wilson</t>
  </si>
  <si>
    <t>Jaydon</t>
  </si>
  <si>
    <t>Blue</t>
  </si>
  <si>
    <t>Dylan</t>
  </si>
  <si>
    <t>Raiola</t>
  </si>
  <si>
    <t>Grayson</t>
  </si>
  <si>
    <t>James</t>
  </si>
  <si>
    <t>Clement</t>
  </si>
  <si>
    <t>Malachi</t>
  </si>
  <si>
    <t>Fields</t>
  </si>
  <si>
    <t>Jadarian</t>
  </si>
  <si>
    <t>Price</t>
  </si>
  <si>
    <t>Nyziah</t>
  </si>
  <si>
    <t>CJ</t>
  </si>
  <si>
    <t>Donaldson Jr.</t>
  </si>
  <si>
    <t>Traylon</t>
  </si>
  <si>
    <t>Ray</t>
  </si>
  <si>
    <t>Dallan</t>
  </si>
  <si>
    <t>Hayden</t>
  </si>
  <si>
    <t>Jaden</t>
  </si>
  <si>
    <t>Greathouse</t>
  </si>
  <si>
    <t>Lane</t>
  </si>
  <si>
    <t>Caden</t>
  </si>
  <si>
    <t>Durham</t>
  </si>
  <si>
    <t>Quinten</t>
  </si>
  <si>
    <t>Joyner</t>
  </si>
  <si>
    <t>Devin</t>
  </si>
  <si>
    <t>Mockobee</t>
  </si>
  <si>
    <t>Chris</t>
  </si>
  <si>
    <t>Bell</t>
  </si>
  <si>
    <t>Lewis</t>
  </si>
  <si>
    <t>Sedrick</t>
  </si>
  <si>
    <t>Irvin</t>
  </si>
  <si>
    <t>Beaux</t>
  </si>
  <si>
    <t>Collins</t>
  </si>
  <si>
    <t>Raphael</t>
  </si>
  <si>
    <t>Jordan</t>
  </si>
  <si>
    <t>Elijhah</t>
  </si>
  <si>
    <t>Badger</t>
  </si>
  <si>
    <t>Rahmir</t>
  </si>
  <si>
    <t>Johnson</t>
  </si>
  <si>
    <t>IN</t>
  </si>
  <si>
    <t>Josh</t>
  </si>
  <si>
    <t>Neyor</t>
  </si>
  <si>
    <t>Kobe</t>
  </si>
  <si>
    <t>Pace</t>
  </si>
  <si>
    <t>Key'Shawn</t>
  </si>
  <si>
    <t>Kyron</t>
  </si>
  <si>
    <t>Konata</t>
  </si>
  <si>
    <t>Mumpfield</t>
  </si>
  <si>
    <t>T.J.</t>
  </si>
  <si>
    <t>Moore</t>
  </si>
  <si>
    <t>LJ</t>
  </si>
  <si>
    <t>Kenny</t>
  </si>
  <si>
    <t>Jahmal</t>
  </si>
  <si>
    <t>Banks</t>
  </si>
  <si>
    <t>Moochie</t>
  </si>
  <si>
    <t>Dixon</t>
  </si>
  <si>
    <t>Monaray</t>
  </si>
  <si>
    <t>Baldwin</t>
  </si>
  <si>
    <t>Dawson</t>
  </si>
  <si>
    <t>Pendergrass</t>
  </si>
  <si>
    <t>Kye</t>
  </si>
  <si>
    <t>Robichaux</t>
  </si>
  <si>
    <t>Censere</t>
  </si>
  <si>
    <t>Lee</t>
  </si>
  <si>
    <t>Fleming</t>
  </si>
  <si>
    <t>Tyrone</t>
  </si>
  <si>
    <t>Broden</t>
  </si>
  <si>
    <t>Thomas</t>
  </si>
  <si>
    <t>Fidone II</t>
  </si>
  <si>
    <t>Ketron</t>
  </si>
  <si>
    <t>Jackson Jr.</t>
  </si>
  <si>
    <t>Sam</t>
  </si>
  <si>
    <t>Roush</t>
  </si>
  <si>
    <t>Cameron</t>
  </si>
  <si>
    <t>Beau</t>
  </si>
  <si>
    <t>Pribula</t>
  </si>
  <si>
    <t>Aaron</t>
  </si>
  <si>
    <t>Anderson</t>
  </si>
  <si>
    <t>Jadan</t>
  </si>
  <si>
    <t>Baugh</t>
  </si>
  <si>
    <t>Kole</t>
  </si>
  <si>
    <t>Edrine</t>
  </si>
  <si>
    <t>Dontae</t>
  </si>
  <si>
    <t>Treshaun</t>
  </si>
  <si>
    <t>Ward</t>
  </si>
  <si>
    <t>Max</t>
  </si>
  <si>
    <t>Klare</t>
  </si>
  <si>
    <t>Ford</t>
  </si>
  <si>
    <t>Michael</t>
  </si>
  <si>
    <t>Trigg</t>
  </si>
  <si>
    <t>Dante</t>
  </si>
  <si>
    <t>Dowdell</t>
  </si>
  <si>
    <t>Shaadie</t>
  </si>
  <si>
    <t>Clayton-Johnson</t>
  </si>
  <si>
    <t>Corey</t>
  </si>
  <si>
    <t>Dyches</t>
  </si>
  <si>
    <t>Ismael</t>
  </si>
  <si>
    <t>Cisse</t>
  </si>
  <si>
    <t>Duce</t>
  </si>
  <si>
    <t>Robinson</t>
  </si>
  <si>
    <t>Emmett</t>
  </si>
  <si>
    <t>Will</t>
  </si>
  <si>
    <t>Sheppard</t>
  </si>
  <si>
    <t>Jerrick</t>
  </si>
  <si>
    <t>Gibson</t>
  </si>
  <si>
    <t>Jaivian</t>
  </si>
  <si>
    <t>Ryan</t>
  </si>
  <si>
    <t>Wingo</t>
  </si>
  <si>
    <t>Troy</t>
  </si>
  <si>
    <t>Stellato</t>
  </si>
  <si>
    <t>Chimere</t>
  </si>
  <si>
    <t>Dike</t>
  </si>
  <si>
    <t>Keyjuan</t>
  </si>
  <si>
    <t>Gavin</t>
  </si>
  <si>
    <t>Bartholomew</t>
  </si>
  <si>
    <t>Jay</t>
  </si>
  <si>
    <t>Haynes</t>
  </si>
  <si>
    <t>Yulkeith</t>
  </si>
  <si>
    <t>Maryland</t>
  </si>
  <si>
    <t>Maiava</t>
  </si>
  <si>
    <t>First</t>
  </si>
  <si>
    <t>Last</t>
  </si>
  <si>
    <t>UD ADP</t>
  </si>
  <si>
    <t>Position</t>
  </si>
  <si>
    <t>Team</t>
  </si>
  <si>
    <t>Tags</t>
  </si>
  <si>
    <t>ud_proj</t>
  </si>
  <si>
    <t>ovr_adj</t>
  </si>
  <si>
    <t>pff_adj</t>
  </si>
  <si>
    <t>other_adj</t>
  </si>
  <si>
    <t>opp rund</t>
  </si>
  <si>
    <t>opp cov</t>
  </si>
  <si>
    <t>opp tack</t>
  </si>
  <si>
    <t>opp prush</t>
  </si>
  <si>
    <t>Team Total</t>
  </si>
  <si>
    <t>ATTD%</t>
  </si>
  <si>
    <t>prev game</t>
  </si>
  <si>
    <t>look ahead</t>
  </si>
  <si>
    <t>travel</t>
  </si>
  <si>
    <t>other</t>
  </si>
  <si>
    <t>OFF</t>
  </si>
  <si>
    <t>PASS</t>
  </si>
  <si>
    <t>PBLK</t>
  </si>
  <si>
    <t>RECV</t>
  </si>
  <si>
    <t>RUN</t>
  </si>
  <si>
    <t>RBLK</t>
  </si>
  <si>
    <t>DEF</t>
  </si>
  <si>
    <t>RDEF</t>
  </si>
  <si>
    <t>TACK</t>
  </si>
  <si>
    <t>PRSH</t>
  </si>
  <si>
    <t>COV</t>
  </si>
  <si>
    <t>SPEC</t>
  </si>
  <si>
    <t>Air Force</t>
  </si>
  <si>
    <t>Akron</t>
  </si>
  <si>
    <t>Alabama</t>
  </si>
  <si>
    <t>Appalachian State</t>
  </si>
  <si>
    <t>Arizona</t>
  </si>
  <si>
    <t>Arizona State</t>
  </si>
  <si>
    <t>Arkansas</t>
  </si>
  <si>
    <t>Arkansas State</t>
  </si>
  <si>
    <t>Army</t>
  </si>
  <si>
    <t>Auburn</t>
  </si>
  <si>
    <t>Ball State</t>
  </si>
  <si>
    <t>Baylor</t>
  </si>
  <si>
    <t>Boise State</t>
  </si>
  <si>
    <t>Boston College</t>
  </si>
  <si>
    <t>Bowling Green</t>
  </si>
  <si>
    <t>Buffalo</t>
  </si>
  <si>
    <t>BYU</t>
  </si>
  <si>
    <t>California</t>
  </si>
  <si>
    <t>Central Michigan</t>
  </si>
  <si>
    <t>Charlotte</t>
  </si>
  <si>
    <t>Cincinnati</t>
  </si>
  <si>
    <t>Clemson</t>
  </si>
  <si>
    <t>Coastal Carolina</t>
  </si>
  <si>
    <t>Colorado</t>
  </si>
  <si>
    <t>Colorado State</t>
  </si>
  <si>
    <t>Connecticut</t>
  </si>
  <si>
    <t>Duke</t>
  </si>
  <si>
    <t>East Carolina</t>
  </si>
  <si>
    <t>Eastern Michigan</t>
  </si>
  <si>
    <t>Florida</t>
  </si>
  <si>
    <t>Florida Atlantic</t>
  </si>
  <si>
    <t>Florida International</t>
  </si>
  <si>
    <t>Florida State</t>
  </si>
  <si>
    <t>Fresno State</t>
  </si>
  <si>
    <t>Georgia</t>
  </si>
  <si>
    <t>Georgia Southern</t>
  </si>
  <si>
    <t>Georgia State</t>
  </si>
  <si>
    <t>Georgia Tech</t>
  </si>
  <si>
    <t>Hawaii</t>
  </si>
  <si>
    <t>Houston</t>
  </si>
  <si>
    <t>Illinois</t>
  </si>
  <si>
    <t>Indiana</t>
  </si>
  <si>
    <t>Iowa</t>
  </si>
  <si>
    <t>Iowa State</t>
  </si>
  <si>
    <t>Jacksonville State</t>
  </si>
  <si>
    <t>James Madison</t>
  </si>
  <si>
    <t>Kansas</t>
  </si>
  <si>
    <t>Kansas State</t>
  </si>
  <si>
    <t>Kennesaw State</t>
  </si>
  <si>
    <t>Kent State</t>
  </si>
  <si>
    <t>Kentucky</t>
  </si>
  <si>
    <t>Liberty</t>
  </si>
  <si>
    <t>Louisiana</t>
  </si>
  <si>
    <t>Louisiana Tech</t>
  </si>
  <si>
    <t>Louisiana-Monroe</t>
  </si>
  <si>
    <t>Louisville</t>
  </si>
  <si>
    <t>LSU</t>
  </si>
  <si>
    <t>Marshall</t>
  </si>
  <si>
    <t>Massachusetts</t>
  </si>
  <si>
    <t>Memphis</t>
  </si>
  <si>
    <t>Miami (FL)</t>
  </si>
  <si>
    <t>Miami (OH)</t>
  </si>
  <si>
    <t>Michigan</t>
  </si>
  <si>
    <t>Michigan State</t>
  </si>
  <si>
    <t>Middle Tennessee</t>
  </si>
  <si>
    <t>Minnesota</t>
  </si>
  <si>
    <t>Mississippi</t>
  </si>
  <si>
    <t>Mississippi State</t>
  </si>
  <si>
    <t>Missouri</t>
  </si>
  <si>
    <t>Navy</t>
  </si>
  <si>
    <t>Nebraska</t>
  </si>
  <si>
    <t>Nevada</t>
  </si>
  <si>
    <t>New Mexico</t>
  </si>
  <si>
    <t>New Mexico State</t>
  </si>
  <si>
    <t>North Carolina</t>
  </si>
  <si>
    <t>North Carolina State</t>
  </si>
  <si>
    <t>North Texas</t>
  </si>
  <si>
    <t>Northern Illinois</t>
  </si>
  <si>
    <t>Northwestern</t>
  </si>
  <si>
    <t>Notre Dame</t>
  </si>
  <si>
    <t>Ohio</t>
  </si>
  <si>
    <t>Ohio State</t>
  </si>
  <si>
    <t>Oklahoma</t>
  </si>
  <si>
    <t>Oklahoma State</t>
  </si>
  <si>
    <t>Old Dominion</t>
  </si>
  <si>
    <t>Oregon</t>
  </si>
  <si>
    <t>Oregon State</t>
  </si>
  <si>
    <t>Penn State</t>
  </si>
  <si>
    <t>Pittsburgh</t>
  </si>
  <si>
    <t>Purdue</t>
  </si>
  <si>
    <t>Rice</t>
  </si>
  <si>
    <t>Rutgers</t>
  </si>
  <si>
    <t>Sam Houston State</t>
  </si>
  <si>
    <t>San Diego State</t>
  </si>
  <si>
    <t>San Jose State</t>
  </si>
  <si>
    <t>SMU</t>
  </si>
  <si>
    <t>South Alabama</t>
  </si>
  <si>
    <t>South Carolina</t>
  </si>
  <si>
    <t>Southern Miss</t>
  </si>
  <si>
    <t>Stanford</t>
  </si>
  <si>
    <t>Syracuse</t>
  </si>
  <si>
    <t>TCU</t>
  </si>
  <si>
    <t>Temple</t>
  </si>
  <si>
    <t>Tennessee</t>
  </si>
  <si>
    <t>Texas</t>
  </si>
  <si>
    <t>Texas A&amp;M</t>
  </si>
  <si>
    <t>Texas State</t>
  </si>
  <si>
    <t>Texas Tech</t>
  </si>
  <si>
    <t>Toledo</t>
  </si>
  <si>
    <t>Tulane</t>
  </si>
  <si>
    <t>Tulsa</t>
  </si>
  <si>
    <t>UAB</t>
  </si>
  <si>
    <t>UCF</t>
  </si>
  <si>
    <t>UCLA</t>
  </si>
  <si>
    <t>UNLV</t>
  </si>
  <si>
    <t>USC</t>
  </si>
  <si>
    <t>USF</t>
  </si>
  <si>
    <t>Utah</t>
  </si>
  <si>
    <t>Utah State</t>
  </si>
  <si>
    <t>UTEP</t>
  </si>
  <si>
    <t>UTSA</t>
  </si>
  <si>
    <t>Vanderbilt</t>
  </si>
  <si>
    <t>Virginia</t>
  </si>
  <si>
    <t>Virginia Tech</t>
  </si>
  <si>
    <t>Wake Forest</t>
  </si>
  <si>
    <t>Washington State</t>
  </si>
  <si>
    <t>West Virginia</t>
  </si>
  <si>
    <t>Western Kentucky</t>
  </si>
  <si>
    <t>Western Michigan</t>
  </si>
  <si>
    <t>Wisconsin</t>
  </si>
  <si>
    <t>Wyoming</t>
  </si>
  <si>
    <t>Q</t>
  </si>
  <si>
    <t>P</t>
  </si>
  <si>
    <t>CPF</t>
  </si>
  <si>
    <t>ceilScore</t>
  </si>
  <si>
    <t>x</t>
  </si>
  <si>
    <t>350pass</t>
  </si>
  <si>
    <t>4passTD</t>
  </si>
  <si>
    <t>100rryd</t>
  </si>
  <si>
    <t>2rrTD</t>
  </si>
  <si>
    <t>opponent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</si>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</sst>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" fontId="16" fillId="0" borderId="0" xfId="0" applyNumberFormat="1" applyFont="1"/>
    <xf numFmtId="2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3A0A5-8BE0-4EB2-A764-2C3DE1BD291C}">
  <dimension ref="A1:AF142"/>
  <sheetViews>
    <sheetView tabSelected="1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M4" sqref="M4"/>
    </sheetView>
  </sheetViews>
  <sheetFormatPr defaultRowHeight="15" x14ac:dyDescent="0.25"/>
  <cols>
    <col min="1" max="1" width="11.28515625" bestFit="1" customWidth="1"/>
    <col min="2" max="2" width="15.85546875" bestFit="1" customWidth="1"/>
    <col min="3" max="3" width="7.5703125" bestFit="1" customWidth="1"/>
    <col min="4" max="4" width="8.28515625" bestFit="1" customWidth="1"/>
    <col min="5" max="5" width="14.140625" bestFit="1" customWidth="1"/>
    <col min="6" max="6" width="7.7109375" bestFit="1" customWidth="1"/>
    <col min="7" max="7" width="5.140625" bestFit="1" customWidth="1"/>
    <col min="8" max="10" width="9.140625" style="2"/>
    <col min="11" max="11" width="1.85546875" style="3" bestFit="1" customWidth="1"/>
    <col min="12" max="15" width="9.140625" style="2"/>
    <col min="16" max="16" width="7" style="2" bestFit="1" customWidth="1"/>
    <col min="17" max="17" width="1.85546875" style="3" bestFit="1" customWidth="1"/>
    <col min="20" max="20" width="1.85546875" style="3" bestFit="1" customWidth="1"/>
    <col min="25" max="25" width="1.85546875" style="3" bestFit="1" customWidth="1"/>
    <col min="26" max="26" width="10.7109375" bestFit="1" customWidth="1"/>
    <col min="28" max="28" width="10.85546875" bestFit="1" customWidth="1"/>
    <col min="31" max="31" width="14.140625" bestFit="1" customWidth="1"/>
    <col min="32" max="32" width="1.7109375" style="3" customWidth="1"/>
  </cols>
  <sheetData>
    <row r="1" spans="1:31" x14ac:dyDescent="0.25">
      <c r="A1" t="s">
        <v>250</v>
      </c>
      <c r="B1" t="s">
        <v>251</v>
      </c>
      <c r="C1" t="s">
        <v>252</v>
      </c>
      <c r="D1" t="s">
        <v>253</v>
      </c>
      <c r="E1" t="s">
        <v>254</v>
      </c>
      <c r="F1" t="s">
        <v>256</v>
      </c>
      <c r="G1" t="s">
        <v>255</v>
      </c>
      <c r="H1" s="1" t="s">
        <v>415</v>
      </c>
      <c r="I1" s="2" t="s">
        <v>257</v>
      </c>
      <c r="J1" s="2" t="s">
        <v>416</v>
      </c>
      <c r="K1" s="3" t="s">
        <v>417</v>
      </c>
      <c r="L1" s="2" t="s">
        <v>418</v>
      </c>
      <c r="M1" s="2" t="s">
        <v>419</v>
      </c>
      <c r="N1" s="2" t="s">
        <v>420</v>
      </c>
      <c r="O1" s="2" t="s">
        <v>421</v>
      </c>
      <c r="P1" s="2" t="s">
        <v>265</v>
      </c>
      <c r="Q1" s="3" t="s">
        <v>417</v>
      </c>
      <c r="R1" t="s">
        <v>258</v>
      </c>
      <c r="S1" t="s">
        <v>259</v>
      </c>
      <c r="T1" s="3" t="s">
        <v>417</v>
      </c>
      <c r="U1" t="s">
        <v>260</v>
      </c>
      <c r="V1" t="s">
        <v>261</v>
      </c>
      <c r="W1" t="s">
        <v>262</v>
      </c>
      <c r="X1" t="s">
        <v>263</v>
      </c>
      <c r="Y1" s="3" t="s">
        <v>417</v>
      </c>
      <c r="Z1" t="s">
        <v>264</v>
      </c>
      <c r="AA1" t="s">
        <v>266</v>
      </c>
      <c r="AB1" t="s">
        <v>267</v>
      </c>
      <c r="AC1" t="s">
        <v>268</v>
      </c>
      <c r="AD1" t="s">
        <v>269</v>
      </c>
      <c r="AE1" t="s">
        <v>422</v>
      </c>
    </row>
    <row r="2" spans="1:31" x14ac:dyDescent="0.25">
      <c r="A2" s="5" t="s">
        <v>38</v>
      </c>
      <c r="B2" s="5" t="s">
        <v>39</v>
      </c>
      <c r="C2" s="5">
        <v>17.2</v>
      </c>
      <c r="D2" s="5" t="s">
        <v>2</v>
      </c>
      <c r="E2" s="5" t="s">
        <v>303</v>
      </c>
      <c r="F2" s="5">
        <v>17</v>
      </c>
      <c r="G2" s="5"/>
      <c r="H2" s="2">
        <f>I2+J2</f>
        <v>113.99</v>
      </c>
      <c r="I2" s="2">
        <f>R2+S2</f>
        <v>-1.6100000000000041</v>
      </c>
      <c r="J2" s="2">
        <f>L2+M2+N2+O2</f>
        <v>115.6</v>
      </c>
      <c r="L2" s="2">
        <v>0</v>
      </c>
      <c r="M2" s="2">
        <v>0</v>
      </c>
      <c r="N2" s="2">
        <v>60</v>
      </c>
      <c r="O2" s="2">
        <v>55.6</v>
      </c>
      <c r="P2" s="2">
        <v>79.599999999999994</v>
      </c>
      <c r="R2" s="2">
        <f>(76-((U2*0.4)+(V2*0.1)+(W2*0.25)+(X2*0.25)))/3</f>
        <v>-1.8600000000000041</v>
      </c>
      <c r="S2">
        <f>AA2+AB2+AC2+AD2</f>
        <v>0.25</v>
      </c>
      <c r="U2">
        <f>VLOOKUP(AE2,'pff grades'!$A$2:$J$135,9,FALSE)</f>
        <v>85.5</v>
      </c>
      <c r="V2">
        <f>VLOOKUP(AE2,'pff grades'!$A$2:$M$135,12,FALSE)</f>
        <v>83.8</v>
      </c>
      <c r="W2">
        <f>VLOOKUP(AE2,'pff grades'!$A$2:$M$135,10,FALSE)</f>
        <v>81.900000000000006</v>
      </c>
      <c r="X2">
        <f>VLOOKUP(AE2,'pff grades'!$A$2:$M$135,11,FALSE)</f>
        <v>74.099999999999994</v>
      </c>
      <c r="Z2">
        <v>31.5</v>
      </c>
      <c r="AA2">
        <v>0</v>
      </c>
      <c r="AB2">
        <v>0</v>
      </c>
      <c r="AC2">
        <v>0</v>
      </c>
      <c r="AD2">
        <v>0.25</v>
      </c>
      <c r="AE2" t="s">
        <v>370</v>
      </c>
    </row>
    <row r="3" spans="1:31" x14ac:dyDescent="0.25">
      <c r="A3" s="5" t="s">
        <v>0</v>
      </c>
      <c r="B3" s="5" t="s">
        <v>1</v>
      </c>
      <c r="C3" s="5">
        <v>1.8</v>
      </c>
      <c r="D3" s="5" t="s">
        <v>2</v>
      </c>
      <c r="E3" s="5" t="s">
        <v>377</v>
      </c>
      <c r="F3" s="5">
        <v>21.4</v>
      </c>
      <c r="G3" s="5"/>
      <c r="H3" s="2">
        <f>I3+J3</f>
        <v>89.780641821946176</v>
      </c>
      <c r="I3" s="2">
        <f>R3+S3</f>
        <v>-1.3166666666666678</v>
      </c>
      <c r="J3" s="2">
        <f>L3+M3+N3+O3</f>
        <v>91.097308488612839</v>
      </c>
      <c r="L3" s="2">
        <v>0</v>
      </c>
      <c r="M3" s="2">
        <v>0</v>
      </c>
      <c r="N3" s="2">
        <f>100/2.3</f>
        <v>43.478260869565219</v>
      </c>
      <c r="O3" s="2">
        <f>100/2.1</f>
        <v>47.61904761904762</v>
      </c>
      <c r="P3" s="2">
        <v>80.400000000000006</v>
      </c>
      <c r="R3" s="2">
        <f>(76-((U3*0.4)+(V3*0.1)+(W3*0.25)+(X3*0.25)))/3</f>
        <v>-2.0666666666666678</v>
      </c>
      <c r="S3">
        <f>AA3+AB3+AC3+AD3</f>
        <v>0.75</v>
      </c>
      <c r="U3">
        <f>VLOOKUP(AE3,'pff grades'!$A$2:$J$135,9,FALSE)</f>
        <v>90.7</v>
      </c>
      <c r="V3">
        <f>VLOOKUP(AE3,'pff grades'!$A$2:$M$135,12,FALSE)</f>
        <v>84.7</v>
      </c>
      <c r="W3">
        <f>VLOOKUP(AE3,'pff grades'!$A$2:$M$135,10,FALSE)</f>
        <v>81.3</v>
      </c>
      <c r="X3">
        <f>VLOOKUP(AE3,'pff grades'!$A$2:$M$135,11,FALSE)</f>
        <v>68.5</v>
      </c>
      <c r="Z3">
        <v>36.5</v>
      </c>
      <c r="AA3">
        <v>0.5</v>
      </c>
      <c r="AB3">
        <v>0</v>
      </c>
      <c r="AC3">
        <v>0</v>
      </c>
      <c r="AD3">
        <v>0.25</v>
      </c>
      <c r="AE3" t="s">
        <v>295</v>
      </c>
    </row>
    <row r="4" spans="1:31" x14ac:dyDescent="0.25">
      <c r="A4" s="5" t="s">
        <v>3</v>
      </c>
      <c r="B4" s="5" t="s">
        <v>4</v>
      </c>
      <c r="C4" s="5">
        <v>2.6</v>
      </c>
      <c r="D4" s="5" t="s">
        <v>2</v>
      </c>
      <c r="E4" s="5" t="s">
        <v>337</v>
      </c>
      <c r="F4" s="5">
        <v>23</v>
      </c>
      <c r="G4" s="5"/>
      <c r="H4" s="2">
        <f>I4+J4</f>
        <v>96.601111111111109</v>
      </c>
      <c r="I4" s="2">
        <f>R4+S4</f>
        <v>2.1566666666666663</v>
      </c>
      <c r="J4" s="2">
        <f>L4+M4+N4+O4</f>
        <v>94.444444444444443</v>
      </c>
      <c r="L4" s="2">
        <v>0</v>
      </c>
      <c r="M4" s="2">
        <v>0</v>
      </c>
      <c r="N4" s="2">
        <v>50</v>
      </c>
      <c r="O4" s="2">
        <f>100/2.25</f>
        <v>44.444444444444443</v>
      </c>
      <c r="P4" s="2">
        <v>82.6</v>
      </c>
      <c r="R4" s="2">
        <f>(76-((U4*0.4)+(V4*0.1)+(W4*0.25)+(X4*0.25)))/3</f>
        <v>2.4066666666666663</v>
      </c>
      <c r="S4">
        <f>AA4+AB4+AC4+AD4</f>
        <v>-0.25</v>
      </c>
      <c r="U4">
        <f>VLOOKUP(AE4,'pff grades'!$A$2:$J$135,9,FALSE)</f>
        <v>70.5</v>
      </c>
      <c r="V4">
        <f>VLOOKUP(AE4,'pff grades'!$A$2:$M$135,12,FALSE)</f>
        <v>64.3</v>
      </c>
      <c r="W4">
        <f>VLOOKUP(AE4,'pff grades'!$A$2:$M$135,10,FALSE)</f>
        <v>64.2</v>
      </c>
      <c r="X4">
        <f>VLOOKUP(AE4,'pff grades'!$A$2:$M$135,11,FALSE)</f>
        <v>72.400000000000006</v>
      </c>
      <c r="Z4">
        <v>38.5</v>
      </c>
      <c r="AA4">
        <v>0.5</v>
      </c>
      <c r="AB4">
        <v>0</v>
      </c>
      <c r="AC4">
        <v>-1</v>
      </c>
      <c r="AD4">
        <v>0.25</v>
      </c>
      <c r="AE4" t="s">
        <v>381</v>
      </c>
    </row>
    <row r="5" spans="1:31" x14ac:dyDescent="0.25">
      <c r="A5" s="4" t="s">
        <v>17</v>
      </c>
      <c r="B5" s="4" t="s">
        <v>18</v>
      </c>
      <c r="C5" s="4">
        <v>9.1</v>
      </c>
      <c r="D5" s="4" t="s">
        <v>10</v>
      </c>
      <c r="E5" s="4" t="s">
        <v>361</v>
      </c>
      <c r="F5" s="4">
        <v>30.1</v>
      </c>
      <c r="G5" s="4"/>
      <c r="H5" s="2">
        <f>I5+J5</f>
        <v>86.629181398311829</v>
      </c>
      <c r="I5" s="2">
        <f>R5+S5</f>
        <v>1.9700000000000035</v>
      </c>
      <c r="J5" s="2">
        <f>L5+M5+N5+O5</f>
        <v>84.65918139831183</v>
      </c>
      <c r="L5" s="2">
        <f>100/23</f>
        <v>4.3478260869565215</v>
      </c>
      <c r="M5" s="2">
        <f>100/13</f>
        <v>7.6923076923076925</v>
      </c>
      <c r="N5" s="2">
        <f>100/4</f>
        <v>25</v>
      </c>
      <c r="O5" s="2">
        <f>100/2.1</f>
        <v>47.61904761904762</v>
      </c>
      <c r="P5" s="2">
        <v>80.2</v>
      </c>
      <c r="R5" s="2">
        <f>(76-((U5*0.1)+(V5*0.5)+(W5*0.1)+(X5*0.3)))/3</f>
        <v>1.7200000000000035</v>
      </c>
      <c r="S5">
        <f>AA5+AB5+AC5+AD5</f>
        <v>0.25</v>
      </c>
      <c r="U5">
        <f>VLOOKUP(AE5,'pff grades'!$A$2:$J$135,9,FALSE)</f>
        <v>71.900000000000006</v>
      </c>
      <c r="V5">
        <f>VLOOKUP(AE5,'pff grades'!$A$2:$M$135,12,FALSE)</f>
        <v>75</v>
      </c>
      <c r="W5">
        <f>VLOOKUP(AE5,'pff grades'!$A$2:$M$135,10,FALSE)</f>
        <v>64.099999999999994</v>
      </c>
      <c r="X5">
        <f>VLOOKUP(AE5,'pff grades'!$A$2:$M$135,11,FALSE)</f>
        <v>65.8</v>
      </c>
      <c r="Z5">
        <v>36.5</v>
      </c>
      <c r="AA5">
        <v>0.25</v>
      </c>
      <c r="AB5">
        <v>-0.25</v>
      </c>
      <c r="AC5">
        <v>0</v>
      </c>
      <c r="AD5">
        <v>0.25</v>
      </c>
      <c r="AE5" t="s">
        <v>404</v>
      </c>
    </row>
    <row r="6" spans="1:31" x14ac:dyDescent="0.25">
      <c r="A6" s="5" t="s">
        <v>40</v>
      </c>
      <c r="B6" s="5" t="s">
        <v>41</v>
      </c>
      <c r="C6" s="5">
        <v>18.3</v>
      </c>
      <c r="D6" s="5" t="s">
        <v>2</v>
      </c>
      <c r="E6" s="5" t="s">
        <v>397</v>
      </c>
      <c r="F6" s="5">
        <v>17.8</v>
      </c>
      <c r="G6" s="5"/>
      <c r="H6" s="2">
        <f>I6+J6</f>
        <v>84.084545454545449</v>
      </c>
      <c r="I6" s="2">
        <f>R6+S6</f>
        <v>-1.3699999999999999</v>
      </c>
      <c r="J6" s="2">
        <f>L6+M6+N6+O6</f>
        <v>85.454545454545453</v>
      </c>
      <c r="L6" s="2">
        <v>0</v>
      </c>
      <c r="M6" s="2">
        <v>0</v>
      </c>
      <c r="N6" s="2">
        <f>100/2.2</f>
        <v>45.454545454545453</v>
      </c>
      <c r="O6" s="2">
        <f>100/2.5</f>
        <v>40</v>
      </c>
      <c r="P6" s="2">
        <v>77.8</v>
      </c>
      <c r="R6" s="2">
        <f>(76-((U6*0.4)+(V6*0.1)+(W6*0.25)+(X6*0.25)))/3</f>
        <v>-1.1199999999999999</v>
      </c>
      <c r="S6">
        <f>AA6+AB6+AC6+AD6</f>
        <v>-0.25</v>
      </c>
      <c r="U6">
        <f>VLOOKUP(AE6,'pff grades'!$A$2:$J$135,9,FALSE)</f>
        <v>79.599999999999994</v>
      </c>
      <c r="V6">
        <f>VLOOKUP(AE6,'pff grades'!$A$2:$M$135,12,FALSE)</f>
        <v>80.2</v>
      </c>
      <c r="W6">
        <f>VLOOKUP(AE6,'pff grades'!$A$2:$M$135,10,FALSE)</f>
        <v>78.900000000000006</v>
      </c>
      <c r="X6">
        <f>VLOOKUP(AE6,'pff grades'!$A$2:$M$135,11,FALSE)</f>
        <v>79.099999999999994</v>
      </c>
      <c r="Z6">
        <v>29.5</v>
      </c>
      <c r="AA6">
        <v>0</v>
      </c>
      <c r="AB6">
        <v>-0.25</v>
      </c>
      <c r="AC6">
        <v>0</v>
      </c>
      <c r="AE6" t="s">
        <v>352</v>
      </c>
    </row>
    <row r="7" spans="1:31" x14ac:dyDescent="0.25">
      <c r="A7" s="5" t="s">
        <v>55</v>
      </c>
      <c r="B7" s="5" t="s">
        <v>25</v>
      </c>
      <c r="C7" s="5">
        <v>29.2</v>
      </c>
      <c r="D7" s="5" t="s">
        <v>2</v>
      </c>
      <c r="E7" s="5" t="s">
        <v>369</v>
      </c>
      <c r="F7" s="5">
        <v>13.5</v>
      </c>
      <c r="G7" s="5"/>
      <c r="H7" s="2">
        <f>I7+J7</f>
        <v>77.077358276643992</v>
      </c>
      <c r="I7" s="2">
        <f>R7+S7</f>
        <v>4.5150000000000006</v>
      </c>
      <c r="J7" s="2">
        <f>L7+M7+N7+O7</f>
        <v>72.562358276643991</v>
      </c>
      <c r="L7" s="2">
        <v>0</v>
      </c>
      <c r="M7" s="2">
        <v>0</v>
      </c>
      <c r="N7" s="2">
        <f>100/3.15</f>
        <v>31.746031746031747</v>
      </c>
      <c r="O7" s="2">
        <f>100/2.45</f>
        <v>40.816326530612244</v>
      </c>
      <c r="P7" s="2">
        <v>80.900000000000006</v>
      </c>
      <c r="R7" s="2">
        <f>(76-((U7*0.4)+(V7*0.1)+(W7*0.25)+(X7*0.25)))/3</f>
        <v>4.2650000000000006</v>
      </c>
      <c r="S7">
        <f>AA7+AB7+AC7+AD7</f>
        <v>0.25</v>
      </c>
      <c r="U7">
        <f>VLOOKUP(AE7,'pff grades'!$A$2:$J$135,9,FALSE)</f>
        <v>70.2</v>
      </c>
      <c r="V7">
        <f>VLOOKUP(AE7,'pff grades'!$A$2:$M$135,12,FALSE)</f>
        <v>51</v>
      </c>
      <c r="W7">
        <f>VLOOKUP(AE7,'pff grades'!$A$2:$M$135,10,FALSE)</f>
        <v>56</v>
      </c>
      <c r="X7">
        <f>VLOOKUP(AE7,'pff grades'!$A$2:$M$135,11,FALSE)</f>
        <v>64.099999999999994</v>
      </c>
      <c r="Z7">
        <v>39.5</v>
      </c>
      <c r="AA7">
        <v>0.25</v>
      </c>
      <c r="AB7">
        <v>-0.25</v>
      </c>
      <c r="AC7">
        <v>0</v>
      </c>
      <c r="AD7">
        <v>0.25</v>
      </c>
      <c r="AE7" t="s">
        <v>371</v>
      </c>
    </row>
    <row r="8" spans="1:31" x14ac:dyDescent="0.25">
      <c r="A8" s="7" t="s">
        <v>5</v>
      </c>
      <c r="B8" s="7" t="s">
        <v>6</v>
      </c>
      <c r="C8" s="7">
        <v>2.8</v>
      </c>
      <c r="D8" s="7" t="s">
        <v>7</v>
      </c>
      <c r="E8" s="7" t="s">
        <v>305</v>
      </c>
      <c r="F8" s="7">
        <v>18.399999999999999</v>
      </c>
      <c r="G8" s="7"/>
      <c r="H8" s="2">
        <f>I8+J8</f>
        <v>76.627272727272725</v>
      </c>
      <c r="I8" s="2">
        <f>R8+S8</f>
        <v>0.40000000000000097</v>
      </c>
      <c r="J8" s="2">
        <f>L8+M8+N8+O8</f>
        <v>76.22727272727272</v>
      </c>
      <c r="L8" s="2">
        <v>0</v>
      </c>
      <c r="M8" s="2">
        <v>0</v>
      </c>
      <c r="N8" s="2">
        <v>53.5</v>
      </c>
      <c r="O8" s="2">
        <f>100/4.4</f>
        <v>22.727272727272727</v>
      </c>
      <c r="P8" s="2">
        <v>65.2</v>
      </c>
      <c r="R8" s="2">
        <f>(76-((U8*0.1)+(V8*0.5)+(W8*0.35)+(X8*0.15)))/3</f>
        <v>-9.9999999999999048E-2</v>
      </c>
      <c r="S8">
        <f>AA8+AB8+AC8+AD8</f>
        <v>0.5</v>
      </c>
      <c r="U8">
        <f>VLOOKUP(AE8,'pff grades'!$A$2:$J$135,9,FALSE)</f>
        <v>76</v>
      </c>
      <c r="V8">
        <f>VLOOKUP(AE8,'pff grades'!$A$2:$M$135,12,FALSE)</f>
        <v>82.1</v>
      </c>
      <c r="W8">
        <f>VLOOKUP(AE8,'pff grades'!$A$2:$M$135,10,FALSE)</f>
        <v>49.3</v>
      </c>
      <c r="X8">
        <f>VLOOKUP(AE8,'pff grades'!$A$2:$M$135,11,FALSE)</f>
        <v>69.3</v>
      </c>
      <c r="Z8">
        <v>29.5</v>
      </c>
      <c r="AA8">
        <v>0.25</v>
      </c>
      <c r="AB8">
        <v>0</v>
      </c>
      <c r="AC8">
        <v>0</v>
      </c>
      <c r="AD8">
        <v>0.25</v>
      </c>
      <c r="AE8" t="s">
        <v>399</v>
      </c>
    </row>
    <row r="9" spans="1:31" x14ac:dyDescent="0.25">
      <c r="A9" s="7" t="s">
        <v>13</v>
      </c>
      <c r="B9" s="7" t="s">
        <v>14</v>
      </c>
      <c r="C9" s="7">
        <v>7.9</v>
      </c>
      <c r="D9" s="7" t="s">
        <v>7</v>
      </c>
      <c r="E9" s="7" t="s">
        <v>337</v>
      </c>
      <c r="F9" s="7">
        <v>17</v>
      </c>
      <c r="G9" s="7"/>
      <c r="H9" s="2">
        <f>I9+J9</f>
        <v>66.187130883301094</v>
      </c>
      <c r="I9" s="2">
        <f>R9+S9</f>
        <v>0.90666666666666629</v>
      </c>
      <c r="J9" s="2">
        <f>L9+M9+N9+O9</f>
        <v>65.280464216634428</v>
      </c>
      <c r="L9" s="2">
        <v>0</v>
      </c>
      <c r="M9" s="2">
        <v>0</v>
      </c>
      <c r="N9" s="2">
        <f>100/2.35</f>
        <v>42.553191489361701</v>
      </c>
      <c r="O9" s="2">
        <f>100/4.4</f>
        <v>22.727272727272727</v>
      </c>
      <c r="P9" s="2">
        <v>63</v>
      </c>
      <c r="R9" s="2">
        <f>(76-((U9*0.1)+(V9*0.5)+(W9*0.35)+(X9*0.15)))/3</f>
        <v>1.1566666666666663</v>
      </c>
      <c r="S9">
        <f>AA9+AB9+AC9+AD9</f>
        <v>-0.25</v>
      </c>
      <c r="U9">
        <f>VLOOKUP(AE9,'pff grades'!$A$2:$J$135,9,FALSE)</f>
        <v>70.5</v>
      </c>
      <c r="V9">
        <f>VLOOKUP(AE9,'pff grades'!$A$2:$M$135,12,FALSE)</f>
        <v>64.3</v>
      </c>
      <c r="W9">
        <f>VLOOKUP(AE9,'pff grades'!$A$2:$M$135,10,FALSE)</f>
        <v>64.2</v>
      </c>
      <c r="X9">
        <f>VLOOKUP(AE9,'pff grades'!$A$2:$M$135,11,FALSE)</f>
        <v>72.400000000000006</v>
      </c>
      <c r="Z9">
        <v>38.5</v>
      </c>
      <c r="AA9">
        <v>0.5</v>
      </c>
      <c r="AB9">
        <v>0</v>
      </c>
      <c r="AC9">
        <v>-1</v>
      </c>
      <c r="AD9">
        <v>0.25</v>
      </c>
      <c r="AE9" t="s">
        <v>381</v>
      </c>
    </row>
    <row r="10" spans="1:31" x14ac:dyDescent="0.25">
      <c r="A10" s="4" t="s">
        <v>34</v>
      </c>
      <c r="B10" s="4" t="s">
        <v>35</v>
      </c>
      <c r="C10" s="4">
        <v>15.9</v>
      </c>
      <c r="D10" s="4" t="s">
        <v>10</v>
      </c>
      <c r="E10" s="4" t="s">
        <v>305</v>
      </c>
      <c r="F10" s="4">
        <v>23.7</v>
      </c>
      <c r="G10" s="4"/>
      <c r="H10" s="2">
        <f>I10+J10</f>
        <v>61.627075831969449</v>
      </c>
      <c r="I10" s="2">
        <f>R10+S10</f>
        <v>1.0433333333333317</v>
      </c>
      <c r="J10" s="2">
        <f>L10+M10+N10+O10</f>
        <v>60.58374249863612</v>
      </c>
      <c r="L10" s="2">
        <f>100/2.82</f>
        <v>35.460992907801419</v>
      </c>
      <c r="M10" s="2">
        <f>100/4.7</f>
        <v>21.276595744680851</v>
      </c>
      <c r="N10" s="2">
        <v>0</v>
      </c>
      <c r="O10" s="2">
        <f>100/26</f>
        <v>3.8461538461538463</v>
      </c>
      <c r="P10" s="2">
        <f>100/2.86</f>
        <v>34.965034965034967</v>
      </c>
      <c r="R10" s="2">
        <f>(76-((U10*0.1)+(V10*0.5)+(W10*0.1)+(X10*0.3)))/3</f>
        <v>0.54333333333333178</v>
      </c>
      <c r="S10">
        <f>AA10+AB10+AC10+AD10</f>
        <v>0.5</v>
      </c>
      <c r="U10">
        <f>VLOOKUP(AE10,'pff grades'!$A$2:$J$135,9,FALSE)</f>
        <v>76</v>
      </c>
      <c r="V10">
        <f>VLOOKUP(AE10,'pff grades'!$A$2:$M$135,12,FALSE)</f>
        <v>82.1</v>
      </c>
      <c r="W10">
        <f>VLOOKUP(AE10,'pff grades'!$A$2:$M$135,10,FALSE)</f>
        <v>49.3</v>
      </c>
      <c r="X10">
        <f>VLOOKUP(AE10,'pff grades'!$A$2:$M$135,11,FALSE)</f>
        <v>69.3</v>
      </c>
      <c r="Z10">
        <v>29.5</v>
      </c>
      <c r="AA10">
        <v>0.25</v>
      </c>
      <c r="AB10">
        <v>0</v>
      </c>
      <c r="AC10">
        <v>0</v>
      </c>
      <c r="AD10">
        <v>0.25</v>
      </c>
      <c r="AE10" t="s">
        <v>399</v>
      </c>
    </row>
    <row r="11" spans="1:31" x14ac:dyDescent="0.25">
      <c r="A11" s="5" t="s">
        <v>51</v>
      </c>
      <c r="B11" s="5" t="s">
        <v>52</v>
      </c>
      <c r="C11" s="5">
        <v>26.1</v>
      </c>
      <c r="D11" s="5" t="s">
        <v>2</v>
      </c>
      <c r="E11" s="5" t="s">
        <v>293</v>
      </c>
      <c r="F11" s="5">
        <v>9.1999999999999993</v>
      </c>
      <c r="G11" s="5"/>
      <c r="H11" s="2">
        <f>I11+J11</f>
        <v>58.865199918400656</v>
      </c>
      <c r="I11" s="2">
        <f>R11+S11</f>
        <v>0.52166666666666595</v>
      </c>
      <c r="J11" s="2">
        <f>L11+M11+N11+O11</f>
        <v>58.343533251733987</v>
      </c>
      <c r="L11" s="2">
        <v>0</v>
      </c>
      <c r="M11" s="2">
        <v>0</v>
      </c>
      <c r="N11" s="2">
        <f>100/2.85</f>
        <v>35.087719298245609</v>
      </c>
      <c r="O11" s="2">
        <f>100/4.3</f>
        <v>23.255813953488374</v>
      </c>
      <c r="P11" s="2">
        <v>63.9</v>
      </c>
      <c r="R11" s="2">
        <f>(76-((U11*0.4)+(V11*0.1)+(W11*0.25)+(X11*0.25)))/3</f>
        <v>2.1666666666665908E-2</v>
      </c>
      <c r="S11">
        <f>AA11+AB11+AC11+AD11</f>
        <v>0.5</v>
      </c>
      <c r="U11">
        <f>VLOOKUP(AE11,'pff grades'!$A$2:$J$135,9,FALSE)</f>
        <v>88.2</v>
      </c>
      <c r="V11">
        <f>VLOOKUP(AE11,'pff grades'!$A$2:$M$135,12,FALSE)</f>
        <v>46.8</v>
      </c>
      <c r="W11">
        <f>VLOOKUP(AE11,'pff grades'!$A$2:$M$135,10,FALSE)</f>
        <v>79.7</v>
      </c>
      <c r="X11">
        <f>VLOOKUP(AE11,'pff grades'!$A$2:$M$135,11,FALSE)</f>
        <v>64.2</v>
      </c>
      <c r="Z11">
        <v>30.5</v>
      </c>
      <c r="AA11">
        <v>0.25</v>
      </c>
      <c r="AB11">
        <v>0</v>
      </c>
      <c r="AC11">
        <v>0</v>
      </c>
      <c r="AD11">
        <v>0.25</v>
      </c>
      <c r="AE11" t="s">
        <v>408</v>
      </c>
    </row>
    <row r="12" spans="1:31" x14ac:dyDescent="0.25">
      <c r="A12" s="5" t="s">
        <v>85</v>
      </c>
      <c r="B12" s="5" t="s">
        <v>86</v>
      </c>
      <c r="C12" s="5">
        <v>35</v>
      </c>
      <c r="D12" s="5" t="s">
        <v>2</v>
      </c>
      <c r="E12" s="5" t="s">
        <v>361</v>
      </c>
      <c r="F12" s="5">
        <v>15.6</v>
      </c>
      <c r="G12" s="5"/>
      <c r="H12" s="2">
        <f>I12+J12</f>
        <v>58.385952380952382</v>
      </c>
      <c r="I12" s="2">
        <f>R12+S12</f>
        <v>2.6716666666666669</v>
      </c>
      <c r="J12" s="2">
        <f>L12+M12+N12+O12</f>
        <v>55.714285714285715</v>
      </c>
      <c r="L12" s="2">
        <v>0</v>
      </c>
      <c r="M12" s="2">
        <v>0</v>
      </c>
      <c r="N12" s="2">
        <f>100/5</f>
        <v>20</v>
      </c>
      <c r="O12" s="2">
        <f>100/2.8</f>
        <v>35.714285714285715</v>
      </c>
      <c r="P12" s="2">
        <v>73.2</v>
      </c>
      <c r="R12" s="2">
        <f>(76-((U12*0.4)+(V12*0.1)+(W12*0.25)+(X12*0.25)))/3</f>
        <v>2.4216666666666669</v>
      </c>
      <c r="S12">
        <f>AA12+AB12+AC12+AD12</f>
        <v>0.25</v>
      </c>
      <c r="U12">
        <f>VLOOKUP(AE12,'pff grades'!$A$2:$J$135,9,FALSE)</f>
        <v>71.900000000000006</v>
      </c>
      <c r="V12">
        <f>VLOOKUP(AE12,'pff grades'!$A$2:$M$135,12,FALSE)</f>
        <v>75</v>
      </c>
      <c r="W12">
        <f>VLOOKUP(AE12,'pff grades'!$A$2:$M$135,10,FALSE)</f>
        <v>64.099999999999994</v>
      </c>
      <c r="X12">
        <f>VLOOKUP(AE12,'pff grades'!$A$2:$M$135,11,FALSE)</f>
        <v>65.8</v>
      </c>
      <c r="Z12">
        <v>36.5</v>
      </c>
      <c r="AA12">
        <v>0.25</v>
      </c>
      <c r="AB12">
        <v>-0.25</v>
      </c>
      <c r="AC12">
        <v>0</v>
      </c>
      <c r="AD12">
        <v>0.25</v>
      </c>
      <c r="AE12" t="s">
        <v>404</v>
      </c>
    </row>
    <row r="13" spans="1:31" x14ac:dyDescent="0.25">
      <c r="A13" s="6" t="s">
        <v>19</v>
      </c>
      <c r="B13" s="6" t="s">
        <v>20</v>
      </c>
      <c r="C13" s="6">
        <v>10.6</v>
      </c>
      <c r="D13" s="6" t="s">
        <v>21</v>
      </c>
      <c r="E13" s="6" t="s">
        <v>369</v>
      </c>
      <c r="F13" s="6">
        <v>10.7</v>
      </c>
      <c r="G13" s="6"/>
      <c r="H13" s="2">
        <f>I13+J13</f>
        <v>57.878333333333337</v>
      </c>
      <c r="I13" s="2">
        <f>R13+S13</f>
        <v>5.794999999999999</v>
      </c>
      <c r="J13" s="2">
        <f>L13+M13+N13+O13</f>
        <v>52.083333333333336</v>
      </c>
      <c r="L13" s="2">
        <v>0</v>
      </c>
      <c r="M13" s="2">
        <v>0</v>
      </c>
      <c r="N13" s="2">
        <f>100/4.8</f>
        <v>20.833333333333336</v>
      </c>
      <c r="O13" s="2">
        <f>100/3.2</f>
        <v>31.25</v>
      </c>
      <c r="P13" s="2">
        <v>71.400000000000006</v>
      </c>
      <c r="R13" s="2">
        <f>(76-((U13*0.2)+(V13*0.3)+(W13*0.25)+(X13*0.25)))/3</f>
        <v>5.544999999999999</v>
      </c>
      <c r="S13">
        <f>AA13+AB13+AC13+AD13</f>
        <v>0.25</v>
      </c>
      <c r="U13">
        <f>VLOOKUP(AE13,'pff grades'!$A$2:$J$135,9,FALSE)</f>
        <v>70.2</v>
      </c>
      <c r="V13">
        <f>VLOOKUP(AE13,'pff grades'!$A$2:$M$135,12,FALSE)</f>
        <v>51</v>
      </c>
      <c r="W13">
        <f>VLOOKUP(AE13,'pff grades'!$A$2:$M$135,10,FALSE)</f>
        <v>56</v>
      </c>
      <c r="X13">
        <f>VLOOKUP(AE13,'pff grades'!$A$2:$M$135,11,FALSE)</f>
        <v>64.099999999999994</v>
      </c>
      <c r="Z13">
        <v>39.5</v>
      </c>
      <c r="AA13">
        <v>0.25</v>
      </c>
      <c r="AB13">
        <v>-0.25</v>
      </c>
      <c r="AC13">
        <v>0</v>
      </c>
      <c r="AD13">
        <v>0.25</v>
      </c>
      <c r="AE13" t="s">
        <v>371</v>
      </c>
    </row>
    <row r="14" spans="1:31" x14ac:dyDescent="0.25">
      <c r="A14" s="4" t="s">
        <v>8</v>
      </c>
      <c r="B14" s="4" t="s">
        <v>9</v>
      </c>
      <c r="C14" s="4">
        <v>4.2</v>
      </c>
      <c r="D14" s="4" t="s">
        <v>10</v>
      </c>
      <c r="E14" s="4" t="s">
        <v>386</v>
      </c>
      <c r="F14" s="4">
        <v>22.9</v>
      </c>
      <c r="G14" s="4"/>
      <c r="H14" s="2">
        <f>I14+J14</f>
        <v>55.597166907166908</v>
      </c>
      <c r="I14" s="2">
        <f>R14+S14</f>
        <v>5.3566666666666665</v>
      </c>
      <c r="J14" s="2">
        <f>L14+M14+N14+O14</f>
        <v>50.240500240500239</v>
      </c>
      <c r="L14" s="2">
        <f>100/4.2</f>
        <v>23.80952380952381</v>
      </c>
      <c r="M14" s="2">
        <f>100/4.4</f>
        <v>22.727272727272727</v>
      </c>
      <c r="N14" s="2">
        <v>0</v>
      </c>
      <c r="O14" s="2">
        <f>100/27</f>
        <v>3.7037037037037037</v>
      </c>
      <c r="P14" s="2">
        <f>100/3.87</f>
        <v>25.839793281653748</v>
      </c>
      <c r="R14" s="2">
        <f>(76-((U14*0.1)+(V14*0.5)+(W14*0.1)+(X14*0.3)))/3</f>
        <v>4.8566666666666665</v>
      </c>
      <c r="S14">
        <f>AA14+AB14+AC14+AD14</f>
        <v>0.5</v>
      </c>
      <c r="U14">
        <f>VLOOKUP(AE14,'pff grades'!$A$2:$J$135,9,FALSE)</f>
        <v>91.7</v>
      </c>
      <c r="V14">
        <f>VLOOKUP(AE14,'pff grades'!$A$2:$M$135,12,FALSE)</f>
        <v>47.3</v>
      </c>
      <c r="W14">
        <f>VLOOKUP(AE14,'pff grades'!$A$2:$M$135,10,FALSE)</f>
        <v>71.3</v>
      </c>
      <c r="X14">
        <f>VLOOKUP(AE14,'pff grades'!$A$2:$M$135,11,FALSE)</f>
        <v>71.599999999999994</v>
      </c>
      <c r="Z14">
        <v>35.5</v>
      </c>
      <c r="AA14">
        <v>0.25</v>
      </c>
      <c r="AB14">
        <v>0</v>
      </c>
      <c r="AC14">
        <v>0</v>
      </c>
      <c r="AD14">
        <v>0.25</v>
      </c>
      <c r="AE14" t="s">
        <v>288</v>
      </c>
    </row>
    <row r="15" spans="1:31" x14ac:dyDescent="0.25">
      <c r="A15" s="5" t="s">
        <v>75</v>
      </c>
      <c r="B15" s="5" t="s">
        <v>76</v>
      </c>
      <c r="C15" s="5">
        <v>34.200000000000003</v>
      </c>
      <c r="D15" s="5" t="s">
        <v>2</v>
      </c>
      <c r="E15" s="5" t="s">
        <v>386</v>
      </c>
      <c r="F15" s="5">
        <v>17.2</v>
      </c>
      <c r="G15" s="5"/>
      <c r="H15" s="2">
        <f>I15+J15</f>
        <v>55.424696969696974</v>
      </c>
      <c r="I15" s="2">
        <f>R15+S15</f>
        <v>0.1216666666666697</v>
      </c>
      <c r="J15" s="2">
        <f>L15+M15+N15+O15</f>
        <v>55.303030303030305</v>
      </c>
      <c r="L15" s="2">
        <v>0</v>
      </c>
      <c r="M15" s="2">
        <v>0</v>
      </c>
      <c r="N15" s="2">
        <f>100/4</f>
        <v>25</v>
      </c>
      <c r="O15" s="2">
        <f>100/3.3</f>
        <v>30.303030303030305</v>
      </c>
      <c r="P15" s="2">
        <v>67.7</v>
      </c>
      <c r="R15" s="2">
        <f>(76-((U15*0.4)+(V15*0.1)+(W15*0.25)+(X15*0.25)))/3</f>
        <v>-0.3783333333333303</v>
      </c>
      <c r="S15">
        <f>AA15+AB15+AC15+AD15</f>
        <v>0.5</v>
      </c>
      <c r="U15">
        <f>VLOOKUP(AE15,'pff grades'!$A$2:$J$135,9,FALSE)</f>
        <v>91.7</v>
      </c>
      <c r="V15">
        <f>VLOOKUP(AE15,'pff grades'!$A$2:$M$135,12,FALSE)</f>
        <v>47.3</v>
      </c>
      <c r="W15">
        <f>VLOOKUP(AE15,'pff grades'!$A$2:$M$135,10,FALSE)</f>
        <v>71.3</v>
      </c>
      <c r="X15">
        <f>VLOOKUP(AE15,'pff grades'!$A$2:$M$135,11,FALSE)</f>
        <v>71.599999999999994</v>
      </c>
      <c r="Z15">
        <v>35.5</v>
      </c>
      <c r="AA15">
        <v>0.25</v>
      </c>
      <c r="AB15">
        <v>0</v>
      </c>
      <c r="AC15">
        <v>0</v>
      </c>
      <c r="AD15">
        <v>0.25</v>
      </c>
      <c r="AE15" t="s">
        <v>288</v>
      </c>
    </row>
    <row r="16" spans="1:31" x14ac:dyDescent="0.25">
      <c r="A16" s="5" t="s">
        <v>15</v>
      </c>
      <c r="B16" s="5" t="s">
        <v>16</v>
      </c>
      <c r="C16" s="5">
        <v>8.8000000000000007</v>
      </c>
      <c r="D16" s="5" t="s">
        <v>2</v>
      </c>
      <c r="E16" s="5" t="s">
        <v>370</v>
      </c>
      <c r="F16" s="5">
        <v>22</v>
      </c>
      <c r="G16" s="5"/>
      <c r="H16" s="2">
        <f>I16+J16</f>
        <v>54.415746268656719</v>
      </c>
      <c r="I16" s="2">
        <f>R16+S16</f>
        <v>-0.43500000000000227</v>
      </c>
      <c r="J16" s="2">
        <f>L16+M16+N16+O16</f>
        <v>54.850746268656721</v>
      </c>
      <c r="L16" s="2">
        <v>0</v>
      </c>
      <c r="M16" s="2">
        <v>0</v>
      </c>
      <c r="N16" s="2">
        <f>100/3.35</f>
        <v>29.850746268656717</v>
      </c>
      <c r="O16" s="2">
        <f>100/4</f>
        <v>25</v>
      </c>
      <c r="P16" s="2">
        <v>60.8</v>
      </c>
      <c r="R16" s="2">
        <f>(76-((U16*0.4)+(V16*0.1)+(W16*0.25)+(X16*0.25)))/3</f>
        <v>6.4999999999997726E-2</v>
      </c>
      <c r="S16">
        <f>AA16+AB16+AC16+AD16</f>
        <v>-0.5</v>
      </c>
      <c r="U16">
        <f>VLOOKUP(AE16,'pff grades'!$A$2:$J$135,9,FALSE)</f>
        <v>80.599999999999994</v>
      </c>
      <c r="V16">
        <f>VLOOKUP(AE16,'pff grades'!$A$2:$M$135,12,FALSE)</f>
        <v>89.4</v>
      </c>
      <c r="W16">
        <f>VLOOKUP(AE16,'pff grades'!$A$2:$M$135,10,FALSE)</f>
        <v>71.7</v>
      </c>
      <c r="X16">
        <f>VLOOKUP(AE16,'pff grades'!$A$2:$M$135,11,FALSE)</f>
        <v>66.8</v>
      </c>
      <c r="Z16">
        <v>20.5</v>
      </c>
      <c r="AA16">
        <v>-0.25</v>
      </c>
      <c r="AB16">
        <v>-0.25</v>
      </c>
      <c r="AC16">
        <v>0</v>
      </c>
      <c r="AD16">
        <v>0</v>
      </c>
      <c r="AE16" t="s">
        <v>303</v>
      </c>
    </row>
    <row r="17" spans="1:31" x14ac:dyDescent="0.25">
      <c r="A17" s="7" t="s">
        <v>28</v>
      </c>
      <c r="B17" s="7" t="s">
        <v>29</v>
      </c>
      <c r="C17" s="7">
        <v>13.9</v>
      </c>
      <c r="D17" s="7" t="s">
        <v>7</v>
      </c>
      <c r="E17" s="7" t="s">
        <v>338</v>
      </c>
      <c r="F17" s="7">
        <v>16.600000000000001</v>
      </c>
      <c r="G17" s="7"/>
      <c r="H17" s="2">
        <f>I17+J17</f>
        <v>52.72178993323061</v>
      </c>
      <c r="I17" s="2">
        <f>R17+S17</f>
        <v>0.64166666666666572</v>
      </c>
      <c r="J17" s="2">
        <f>L17+M17+N17+O17</f>
        <v>52.080123266563945</v>
      </c>
      <c r="L17" s="2">
        <v>0</v>
      </c>
      <c r="M17" s="2">
        <v>0</v>
      </c>
      <c r="N17" s="2">
        <f>100/2.95</f>
        <v>33.898305084745758</v>
      </c>
      <c r="O17" s="2">
        <f>100/5.5</f>
        <v>18.181818181818183</v>
      </c>
      <c r="P17" s="2">
        <v>57.4</v>
      </c>
      <c r="R17" s="2">
        <f>(76-((U17*0.1)+(V17*0.5)+(W17*0.35)+(X17*0.15)))/3</f>
        <v>1.1416666666666657</v>
      </c>
      <c r="S17">
        <f>AA17+AB17+AC17+AD17</f>
        <v>-0.5</v>
      </c>
      <c r="U17">
        <f>VLOOKUP(AE17,'pff grades'!$A$2:$J$135,9,FALSE)</f>
        <v>87.1</v>
      </c>
      <c r="V17">
        <f>VLOOKUP(AE17,'pff grades'!$A$2:$M$135,12,FALSE)</f>
        <v>65.3</v>
      </c>
      <c r="W17">
        <f>VLOOKUP(AE17,'pff grades'!$A$2:$M$135,10,FALSE)</f>
        <v>60.9</v>
      </c>
      <c r="X17">
        <f>VLOOKUP(AE17,'pff grades'!$A$2:$M$135,11,FALSE)</f>
        <v>66</v>
      </c>
      <c r="Z17">
        <v>30.5</v>
      </c>
      <c r="AA17">
        <v>-0.5</v>
      </c>
      <c r="AB17">
        <v>0</v>
      </c>
      <c r="AC17">
        <v>0</v>
      </c>
      <c r="AD17">
        <v>0</v>
      </c>
      <c r="AE17" t="s">
        <v>311</v>
      </c>
    </row>
    <row r="18" spans="1:31" x14ac:dyDescent="0.25">
      <c r="A18" s="5" t="s">
        <v>423</v>
      </c>
      <c r="B18" s="5" t="s">
        <v>114</v>
      </c>
      <c r="C18" s="5"/>
      <c r="D18" s="5" t="s">
        <v>2</v>
      </c>
      <c r="E18" s="5" t="s">
        <v>408</v>
      </c>
      <c r="F18" s="5"/>
      <c r="G18" s="5"/>
      <c r="H18" s="2">
        <f>I18+J18</f>
        <v>50.233253241800156</v>
      </c>
      <c r="I18" s="2">
        <f>R18+S18</f>
        <v>2.1783333333333319</v>
      </c>
      <c r="J18" s="2">
        <f>L18+M18+N18+O18</f>
        <v>48.054919908466822</v>
      </c>
      <c r="L18" s="2">
        <v>0</v>
      </c>
      <c r="M18" s="2">
        <v>0</v>
      </c>
      <c r="N18" s="2">
        <f>100/3.8</f>
        <v>26.315789473684212</v>
      </c>
      <c r="O18" s="2">
        <f>100/4.6</f>
        <v>21.739130434782609</v>
      </c>
      <c r="P18" s="2">
        <v>60.8</v>
      </c>
      <c r="R18" s="2">
        <f>(76-((U18*0.4)+(V18*0.1)+(W18*0.25)+(X18*0.25)))/3</f>
        <v>1.9283333333333321</v>
      </c>
      <c r="S18">
        <f>AA18+AB18+AC18+AD18</f>
        <v>0.25</v>
      </c>
      <c r="U18">
        <f>VLOOKUP(AE18,'pff grades'!$A$2:$J$135,9,FALSE)</f>
        <v>78.900000000000006</v>
      </c>
      <c r="V18">
        <f>VLOOKUP(AE18,'pff grades'!$A$2:$M$135,12,FALSE)</f>
        <v>57.3</v>
      </c>
      <c r="W18">
        <f>VLOOKUP(AE18,'pff grades'!$A$2:$M$135,10,FALSE)</f>
        <v>67.2</v>
      </c>
      <c r="X18">
        <f>VLOOKUP(AE18,'pff grades'!$A$2:$M$135,11,FALSE)</f>
        <v>64.5</v>
      </c>
      <c r="Z18">
        <v>29.5</v>
      </c>
      <c r="AA18">
        <v>0.25</v>
      </c>
      <c r="AB18">
        <v>0</v>
      </c>
      <c r="AC18">
        <v>0</v>
      </c>
      <c r="AD18">
        <v>0</v>
      </c>
      <c r="AE18" t="s">
        <v>293</v>
      </c>
    </row>
    <row r="19" spans="1:31" x14ac:dyDescent="0.25">
      <c r="A19" s="4" t="s">
        <v>60</v>
      </c>
      <c r="B19" s="4" t="s">
        <v>103</v>
      </c>
      <c r="C19" s="4"/>
      <c r="D19" s="4" t="s">
        <v>10</v>
      </c>
      <c r="E19" s="4" t="s">
        <v>338</v>
      </c>
      <c r="F19" s="4">
        <v>21.8</v>
      </c>
      <c r="G19" s="4"/>
      <c r="H19" s="2">
        <f>I19+J19</f>
        <v>49.598517074323524</v>
      </c>
      <c r="I19" s="2">
        <f>R19+S19</f>
        <v>2.4166666666666665</v>
      </c>
      <c r="J19" s="2">
        <f>L19+M19+N19+O19</f>
        <v>47.18185040765686</v>
      </c>
      <c r="L19" s="2">
        <f>100/3.5</f>
        <v>28.571428571428573</v>
      </c>
      <c r="M19" s="2">
        <f>100/6.5</f>
        <v>15.384615384615385</v>
      </c>
      <c r="N19" s="2">
        <v>0</v>
      </c>
      <c r="O19" s="2">
        <f>100/31</f>
        <v>3.225806451612903</v>
      </c>
      <c r="P19" s="2">
        <v>10</v>
      </c>
      <c r="R19" s="2">
        <f>(76-((U19*0.1)+(V19*0.5)+(W19*0.1)+(X19*0.3)))/3</f>
        <v>2.9166666666666665</v>
      </c>
      <c r="S19">
        <f>AA19+AB19+AC19+AD19</f>
        <v>-0.5</v>
      </c>
      <c r="U19">
        <f>VLOOKUP(AE19,'pff grades'!$A$2:$J$135,9,FALSE)</f>
        <v>87.1</v>
      </c>
      <c r="V19">
        <f>VLOOKUP(AE19,'pff grades'!$A$2:$M$135,12,FALSE)</f>
        <v>65.3</v>
      </c>
      <c r="W19">
        <f>VLOOKUP(AE19,'pff grades'!$A$2:$M$135,10,FALSE)</f>
        <v>60.9</v>
      </c>
      <c r="X19">
        <f>VLOOKUP(AE19,'pff grades'!$A$2:$M$135,11,FALSE)</f>
        <v>66</v>
      </c>
      <c r="Z19">
        <v>30.5</v>
      </c>
      <c r="AA19">
        <v>-0.5</v>
      </c>
      <c r="AB19">
        <v>0</v>
      </c>
      <c r="AC19">
        <v>0</v>
      </c>
      <c r="AD19">
        <v>0</v>
      </c>
      <c r="AE19" t="s">
        <v>311</v>
      </c>
    </row>
    <row r="20" spans="1:31" x14ac:dyDescent="0.25">
      <c r="A20" s="5" t="s">
        <v>90</v>
      </c>
      <c r="B20" s="5" t="s">
        <v>91</v>
      </c>
      <c r="C20" s="5">
        <v>35.299999999999997</v>
      </c>
      <c r="D20" s="5" t="s">
        <v>2</v>
      </c>
      <c r="E20" s="5" t="s">
        <v>399</v>
      </c>
      <c r="F20" s="5">
        <v>15.4</v>
      </c>
      <c r="G20" s="5"/>
      <c r="H20" s="2">
        <f>I20+J20</f>
        <v>47.131056247316437</v>
      </c>
      <c r="I20" s="2">
        <f>R20+S20</f>
        <v>-1.1300000000000003</v>
      </c>
      <c r="J20" s="2">
        <f>L20+M20+N20+O20</f>
        <v>48.261056247316439</v>
      </c>
      <c r="L20" s="2">
        <v>0</v>
      </c>
      <c r="M20" s="2">
        <v>0</v>
      </c>
      <c r="N20" s="2">
        <f>100/2.74</f>
        <v>36.496350364963497</v>
      </c>
      <c r="O20" s="2">
        <f>100/8.5</f>
        <v>11.764705882352942</v>
      </c>
      <c r="P20" s="2">
        <v>50</v>
      </c>
      <c r="R20" s="2">
        <f>(76-((U20*0.4)+(V20*0.1)+(W20*0.25)+(X20*0.25)))/3</f>
        <v>-0.88000000000000023</v>
      </c>
      <c r="S20">
        <f>AA20+AB20+AC20+AD20</f>
        <v>-0.25</v>
      </c>
      <c r="U20">
        <f>VLOOKUP(AE20,'pff grades'!$A$2:$J$135,9,FALSE)</f>
        <v>85.1</v>
      </c>
      <c r="V20">
        <f>VLOOKUP(AE20,'pff grades'!$A$2:$M$135,12,FALSE)</f>
        <v>90</v>
      </c>
      <c r="W20">
        <f>VLOOKUP(AE20,'pff grades'!$A$2:$M$135,10,FALSE)</f>
        <v>69.7</v>
      </c>
      <c r="X20">
        <f>VLOOKUP(AE20,'pff grades'!$A$2:$M$135,11,FALSE)</f>
        <v>72.7</v>
      </c>
      <c r="Z20">
        <v>16.5</v>
      </c>
      <c r="AA20">
        <v>0</v>
      </c>
      <c r="AB20">
        <v>0</v>
      </c>
      <c r="AC20">
        <v>0</v>
      </c>
      <c r="AD20">
        <v>-0.25</v>
      </c>
      <c r="AE20" t="s">
        <v>305</v>
      </c>
    </row>
    <row r="21" spans="1:31" x14ac:dyDescent="0.25">
      <c r="A21" s="5" t="s">
        <v>111</v>
      </c>
      <c r="B21" s="5" t="s">
        <v>112</v>
      </c>
      <c r="C21" s="5"/>
      <c r="D21" s="5" t="s">
        <v>2</v>
      </c>
      <c r="E21" s="5" t="s">
        <v>369</v>
      </c>
      <c r="F21" s="5">
        <v>17.100000000000001</v>
      </c>
      <c r="G21" s="5" t="s">
        <v>413</v>
      </c>
      <c r="H21" s="2">
        <f>I21+J21</f>
        <v>44.515000000000001</v>
      </c>
      <c r="I21" s="2">
        <f>R21+S21</f>
        <v>4.5150000000000006</v>
      </c>
      <c r="J21" s="2">
        <f>L21+M21+N21+O21</f>
        <v>40</v>
      </c>
      <c r="L21" s="2">
        <v>0</v>
      </c>
      <c r="M21" s="2">
        <v>0</v>
      </c>
      <c r="N21" s="2">
        <v>0</v>
      </c>
      <c r="O21" s="2">
        <f>100/2.5</f>
        <v>40</v>
      </c>
      <c r="P21" s="2">
        <v>81.8</v>
      </c>
      <c r="R21" s="2">
        <f>(76-((U21*0.4)+(V21*0.1)+(W21*0.25)+(X21*0.25)))/3</f>
        <v>4.2650000000000006</v>
      </c>
      <c r="S21">
        <f>AA21+AB21+AC21+AD21</f>
        <v>0.25</v>
      </c>
      <c r="U21">
        <f>VLOOKUP(AE21,'pff grades'!$A$2:$J$135,9,FALSE)</f>
        <v>70.2</v>
      </c>
      <c r="V21">
        <f>VLOOKUP(AE21,'pff grades'!$A$2:$M$135,12,FALSE)</f>
        <v>51</v>
      </c>
      <c r="W21">
        <f>VLOOKUP(AE21,'pff grades'!$A$2:$M$135,10,FALSE)</f>
        <v>56</v>
      </c>
      <c r="X21">
        <f>VLOOKUP(AE21,'pff grades'!$A$2:$M$135,11,FALSE)</f>
        <v>64.099999999999994</v>
      </c>
      <c r="Z21">
        <v>39.5</v>
      </c>
      <c r="AA21">
        <v>0.25</v>
      </c>
      <c r="AB21">
        <v>-0.25</v>
      </c>
      <c r="AC21">
        <v>0</v>
      </c>
      <c r="AD21">
        <v>0.25</v>
      </c>
      <c r="AE21" t="s">
        <v>371</v>
      </c>
    </row>
    <row r="22" spans="1:31" x14ac:dyDescent="0.25">
      <c r="A22" s="5" t="s">
        <v>150</v>
      </c>
      <c r="B22" s="5" t="s">
        <v>151</v>
      </c>
      <c r="C22" s="5"/>
      <c r="D22" s="5" t="s">
        <v>2</v>
      </c>
      <c r="E22" s="5" t="s">
        <v>338</v>
      </c>
      <c r="F22" s="5">
        <v>8.9</v>
      </c>
      <c r="G22" s="5"/>
      <c r="H22" s="2">
        <f>I22+J22</f>
        <v>44.162027027027023</v>
      </c>
      <c r="I22" s="2">
        <f>R22+S22</f>
        <v>0.46833333333333371</v>
      </c>
      <c r="J22" s="2">
        <f>L22+M22+N22+O22</f>
        <v>43.693693693693689</v>
      </c>
      <c r="L22" s="2">
        <v>0</v>
      </c>
      <c r="M22" s="2">
        <v>0</v>
      </c>
      <c r="N22" s="2">
        <f>100/6</f>
        <v>16.666666666666668</v>
      </c>
      <c r="O22" s="2">
        <f>100/3.7</f>
        <v>27.027027027027025</v>
      </c>
      <c r="P22" s="2">
        <v>63</v>
      </c>
      <c r="R22" s="2">
        <f>(76-((U22*0.4)+(V22*0.1)+(W22*0.25)+(X22*0.25)))/3</f>
        <v>0.96833333333333371</v>
      </c>
      <c r="S22">
        <f>AA22+AB22+AC22+AD22</f>
        <v>-0.5</v>
      </c>
      <c r="U22">
        <f>VLOOKUP(AE22,'pff grades'!$A$2:$J$135,9,FALSE)</f>
        <v>87.1</v>
      </c>
      <c r="V22">
        <f>VLOOKUP(AE22,'pff grades'!$A$2:$M$135,12,FALSE)</f>
        <v>65.3</v>
      </c>
      <c r="W22">
        <f>VLOOKUP(AE22,'pff grades'!$A$2:$M$135,10,FALSE)</f>
        <v>60.9</v>
      </c>
      <c r="X22">
        <f>VLOOKUP(AE22,'pff grades'!$A$2:$M$135,11,FALSE)</f>
        <v>66</v>
      </c>
      <c r="Z22">
        <v>30.5</v>
      </c>
      <c r="AA22">
        <v>-0.5</v>
      </c>
      <c r="AB22">
        <v>0</v>
      </c>
      <c r="AC22">
        <v>0</v>
      </c>
      <c r="AD22">
        <v>0</v>
      </c>
      <c r="AE22" t="s">
        <v>311</v>
      </c>
    </row>
    <row r="23" spans="1:31" x14ac:dyDescent="0.25">
      <c r="A23" s="5" t="s">
        <v>129</v>
      </c>
      <c r="B23" s="5" t="s">
        <v>130</v>
      </c>
      <c r="C23" s="5"/>
      <c r="D23" s="5" t="s">
        <v>2</v>
      </c>
      <c r="E23" s="5" t="s">
        <v>386</v>
      </c>
      <c r="F23" s="5">
        <v>12</v>
      </c>
      <c r="G23" s="5"/>
      <c r="H23" s="2">
        <f>I23+J23</f>
        <v>43.104122807017546</v>
      </c>
      <c r="I23" s="2">
        <f>R23+S23</f>
        <v>0.1216666666666697</v>
      </c>
      <c r="J23" s="2">
        <f>L23+M23+N23+O23</f>
        <v>42.982456140350877</v>
      </c>
      <c r="L23" s="2">
        <v>0</v>
      </c>
      <c r="M23" s="2">
        <v>0</v>
      </c>
      <c r="N23" s="2">
        <f>(100/9)+(100/18)</f>
        <v>16.666666666666664</v>
      </c>
      <c r="O23" s="2">
        <f>100/3.8</f>
        <v>26.315789473684212</v>
      </c>
      <c r="P23" s="2">
        <v>66.2</v>
      </c>
      <c r="R23" s="2">
        <f>(76-((U23*0.4)+(V23*0.1)+(W23*0.25)+(X23*0.25)))/3</f>
        <v>-0.3783333333333303</v>
      </c>
      <c r="S23">
        <f>AA23+AB23+AC23+AD23</f>
        <v>0.5</v>
      </c>
      <c r="U23">
        <f>VLOOKUP(AE23,'pff grades'!$A$2:$J$135,9,FALSE)</f>
        <v>91.7</v>
      </c>
      <c r="V23">
        <f>VLOOKUP(AE23,'pff grades'!$A$2:$M$135,12,FALSE)</f>
        <v>47.3</v>
      </c>
      <c r="W23">
        <f>VLOOKUP(AE23,'pff grades'!$A$2:$M$135,10,FALSE)</f>
        <v>71.3</v>
      </c>
      <c r="X23">
        <f>VLOOKUP(AE23,'pff grades'!$A$2:$M$135,11,FALSE)</f>
        <v>71.599999999999994</v>
      </c>
      <c r="Z23">
        <v>35.5</v>
      </c>
      <c r="AA23">
        <v>0.25</v>
      </c>
      <c r="AB23">
        <v>0</v>
      </c>
      <c r="AC23">
        <v>0</v>
      </c>
      <c r="AD23">
        <v>0.25</v>
      </c>
      <c r="AE23" t="s">
        <v>288</v>
      </c>
    </row>
    <row r="24" spans="1:31" x14ac:dyDescent="0.25">
      <c r="A24" s="4" t="s">
        <v>19</v>
      </c>
      <c r="B24" s="4" t="s">
        <v>100</v>
      </c>
      <c r="C24" s="4">
        <v>35.9</v>
      </c>
      <c r="D24" s="4" t="s">
        <v>10</v>
      </c>
      <c r="E24" s="4" t="s">
        <v>337</v>
      </c>
      <c r="F24" s="4">
        <v>21.9</v>
      </c>
      <c r="G24" s="4"/>
      <c r="H24" s="2">
        <f>I24+J24</f>
        <v>42.929706959706955</v>
      </c>
      <c r="I24" s="2">
        <f>R24+S24</f>
        <v>2.6366666666666654</v>
      </c>
      <c r="J24" s="2">
        <f>L24+M24+N24+O24</f>
        <v>40.293040293040292</v>
      </c>
      <c r="L24" s="2">
        <f>100/6.5</f>
        <v>15.384615384615385</v>
      </c>
      <c r="M24" s="2">
        <f>100/6.5</f>
        <v>15.384615384615385</v>
      </c>
      <c r="N24" s="2">
        <v>0</v>
      </c>
      <c r="O24" s="2">
        <f>100/10.5</f>
        <v>9.5238095238095237</v>
      </c>
      <c r="P24" s="2">
        <f>100/2.45</f>
        <v>40.816326530612244</v>
      </c>
      <c r="R24" s="2">
        <f>(76-((U24*0.1)+(V24*0.5)+(W24*0.1)+(X24*0.3)))/3</f>
        <v>2.8866666666666654</v>
      </c>
      <c r="S24">
        <f>AA24+AB24+AC24+AD24</f>
        <v>-0.25</v>
      </c>
      <c r="U24">
        <f>VLOOKUP(AE24,'pff grades'!$A$2:$J$135,9,FALSE)</f>
        <v>70.5</v>
      </c>
      <c r="V24">
        <f>VLOOKUP(AE24,'pff grades'!$A$2:$M$135,12,FALSE)</f>
        <v>64.3</v>
      </c>
      <c r="W24">
        <f>VLOOKUP(AE24,'pff grades'!$A$2:$M$135,10,FALSE)</f>
        <v>64.2</v>
      </c>
      <c r="X24">
        <f>VLOOKUP(AE24,'pff grades'!$A$2:$M$135,11,FALSE)</f>
        <v>72.400000000000006</v>
      </c>
      <c r="Z24">
        <v>38.5</v>
      </c>
      <c r="AA24">
        <v>0.5</v>
      </c>
      <c r="AB24">
        <v>0</v>
      </c>
      <c r="AC24">
        <v>-1</v>
      </c>
      <c r="AD24">
        <v>0.25</v>
      </c>
      <c r="AE24" t="s">
        <v>381</v>
      </c>
    </row>
    <row r="25" spans="1:31" x14ac:dyDescent="0.25">
      <c r="A25" s="4" t="s">
        <v>22</v>
      </c>
      <c r="B25" s="4" t="s">
        <v>23</v>
      </c>
      <c r="C25" s="4">
        <v>11.2</v>
      </c>
      <c r="D25" s="4" t="s">
        <v>10</v>
      </c>
      <c r="E25" s="4" t="s">
        <v>293</v>
      </c>
      <c r="F25" s="4">
        <v>31.3</v>
      </c>
      <c r="G25" s="4"/>
      <c r="H25" s="2">
        <f>I25+J25</f>
        <v>40.698039215686279</v>
      </c>
      <c r="I25" s="2">
        <f>R25+S25</f>
        <v>6.0166666666666657</v>
      </c>
      <c r="J25" s="2">
        <f>L25+M25+N25+O25</f>
        <v>34.681372549019613</v>
      </c>
      <c r="L25" s="2">
        <f>100/12</f>
        <v>8.3333333333333339</v>
      </c>
      <c r="M25" s="2">
        <f>100/8.5</f>
        <v>11.764705882352942</v>
      </c>
      <c r="N25" s="2">
        <f>100/16</f>
        <v>6.25</v>
      </c>
      <c r="O25" s="2">
        <f>100/12</f>
        <v>8.3333333333333339</v>
      </c>
      <c r="P25" s="2">
        <f>100/2.45</f>
        <v>40.816326530612244</v>
      </c>
      <c r="R25" s="2">
        <f>(76-((U25*0.1)+(V25*0.5)+(W25*0.1)+(X25*0.3)))/3</f>
        <v>5.5166666666666657</v>
      </c>
      <c r="S25">
        <f>AA25+AB25+AC25+AD25</f>
        <v>0.5</v>
      </c>
      <c r="U25">
        <f>VLOOKUP(AE25,'pff grades'!$A$2:$J$135,9,FALSE)</f>
        <v>88.2</v>
      </c>
      <c r="V25">
        <f>VLOOKUP(AE25,'pff grades'!$A$2:$M$135,12,FALSE)</f>
        <v>46.8</v>
      </c>
      <c r="W25">
        <f>VLOOKUP(AE25,'pff grades'!$A$2:$M$135,10,FALSE)</f>
        <v>79.7</v>
      </c>
      <c r="X25">
        <f>VLOOKUP(AE25,'pff grades'!$A$2:$M$135,11,FALSE)</f>
        <v>64.2</v>
      </c>
      <c r="Z25">
        <v>30.5</v>
      </c>
      <c r="AA25">
        <v>0.25</v>
      </c>
      <c r="AB25">
        <v>0</v>
      </c>
      <c r="AC25">
        <v>0</v>
      </c>
      <c r="AD25">
        <v>0.25</v>
      </c>
      <c r="AE25" t="s">
        <v>408</v>
      </c>
    </row>
    <row r="26" spans="1:31" x14ac:dyDescent="0.25">
      <c r="A26" s="5" t="s">
        <v>11</v>
      </c>
      <c r="B26" s="5" t="s">
        <v>12</v>
      </c>
      <c r="C26" s="5">
        <v>5.9</v>
      </c>
      <c r="D26" s="5" t="s">
        <v>2</v>
      </c>
      <c r="E26" s="5" t="s">
        <v>391</v>
      </c>
      <c r="F26" s="5">
        <v>18.3</v>
      </c>
      <c r="G26" s="5"/>
      <c r="H26" s="2">
        <f>I26+J26</f>
        <v>39.581326530612245</v>
      </c>
      <c r="I26" s="2">
        <f>R26+S26</f>
        <v>-1.2349999999999994</v>
      </c>
      <c r="J26" s="2">
        <f>L26+M26+N26+O26</f>
        <v>40.816326530612244</v>
      </c>
      <c r="L26" s="2">
        <v>0</v>
      </c>
      <c r="M26" s="2">
        <v>0</v>
      </c>
      <c r="N26" s="2">
        <v>0</v>
      </c>
      <c r="O26" s="2">
        <f>100/2.45</f>
        <v>40.816326530612244</v>
      </c>
      <c r="P26" s="2">
        <v>74.400000000000006</v>
      </c>
      <c r="R26" s="2">
        <f>(76-((U26*0.4)+(V26*0.1)+(W26*0.25)+(X26*0.25)))/3</f>
        <v>-1.4849999999999994</v>
      </c>
      <c r="S26">
        <f>AA26+AB26+AC26+AD26</f>
        <v>0.25</v>
      </c>
      <c r="U26">
        <f>VLOOKUP(AE26,'pff grades'!$A$2:$J$135,9,FALSE)</f>
        <v>87.2</v>
      </c>
      <c r="V26">
        <f>VLOOKUP(AE26,'pff grades'!$A$2:$M$135,12,FALSE)</f>
        <v>90</v>
      </c>
      <c r="W26">
        <f>VLOOKUP(AE26,'pff grades'!$A$2:$M$135,10,FALSE)</f>
        <v>79.099999999999994</v>
      </c>
      <c r="X26">
        <f>VLOOKUP(AE26,'pff grades'!$A$2:$M$135,11,FALSE)</f>
        <v>67.2</v>
      </c>
      <c r="Z26">
        <v>29.5</v>
      </c>
      <c r="AA26">
        <v>0.25</v>
      </c>
      <c r="AB26">
        <v>0</v>
      </c>
      <c r="AC26">
        <v>-0.25</v>
      </c>
      <c r="AD26">
        <v>0.25</v>
      </c>
      <c r="AE26" t="s">
        <v>351</v>
      </c>
    </row>
    <row r="27" spans="1:31" x14ac:dyDescent="0.25">
      <c r="A27" s="7" t="s">
        <v>42</v>
      </c>
      <c r="B27" s="7" t="s">
        <v>43</v>
      </c>
      <c r="C27" s="7">
        <v>18.7</v>
      </c>
      <c r="D27" s="7" t="s">
        <v>7</v>
      </c>
      <c r="E27" s="7" t="s">
        <v>305</v>
      </c>
      <c r="F27" s="7">
        <v>14.1</v>
      </c>
      <c r="G27" s="7"/>
      <c r="H27" s="2">
        <f>I27+J27</f>
        <v>38.625748287053732</v>
      </c>
      <c r="I27" s="2">
        <f>R27+S27</f>
        <v>0.40000000000000097</v>
      </c>
      <c r="J27" s="2">
        <f>L27+M27+N27+O27</f>
        <v>38.225748287053733</v>
      </c>
      <c r="L27" s="2">
        <v>0</v>
      </c>
      <c r="M27" s="2">
        <v>0</v>
      </c>
      <c r="N27" s="2">
        <f>100/4.7</f>
        <v>21.276595744680851</v>
      </c>
      <c r="O27" s="2">
        <f>100/5.9</f>
        <v>16.949152542372879</v>
      </c>
      <c r="P27" s="2">
        <f>100/2.25</f>
        <v>44.444444444444443</v>
      </c>
      <c r="R27" s="2">
        <f>(76-((U27*0.1)+(V27*0.5)+(W27*0.35)+(X27*0.15)))/3</f>
        <v>-9.9999999999999048E-2</v>
      </c>
      <c r="S27">
        <f>AA27+AB27+AC27+AD27</f>
        <v>0.5</v>
      </c>
      <c r="U27">
        <f>VLOOKUP(AE27,'pff grades'!$A$2:$J$135,9,FALSE)</f>
        <v>76</v>
      </c>
      <c r="V27">
        <f>VLOOKUP(AE27,'pff grades'!$A$2:$M$135,12,FALSE)</f>
        <v>82.1</v>
      </c>
      <c r="W27">
        <f>VLOOKUP(AE27,'pff grades'!$A$2:$M$135,10,FALSE)</f>
        <v>49.3</v>
      </c>
      <c r="X27">
        <f>VLOOKUP(AE27,'pff grades'!$A$2:$M$135,11,FALSE)</f>
        <v>69.3</v>
      </c>
      <c r="Z27">
        <v>29.5</v>
      </c>
      <c r="AA27">
        <v>0.25</v>
      </c>
      <c r="AB27">
        <v>0</v>
      </c>
      <c r="AC27">
        <v>0</v>
      </c>
      <c r="AD27">
        <v>0.25</v>
      </c>
      <c r="AE27" t="s">
        <v>399</v>
      </c>
    </row>
    <row r="28" spans="1:31" x14ac:dyDescent="0.25">
      <c r="A28" s="4" t="s">
        <v>109</v>
      </c>
      <c r="B28" s="4" t="s">
        <v>110</v>
      </c>
      <c r="C28" s="4"/>
      <c r="D28" s="4" t="s">
        <v>10</v>
      </c>
      <c r="E28" s="4" t="s">
        <v>369</v>
      </c>
      <c r="F28" s="4">
        <v>18.3</v>
      </c>
      <c r="G28" s="4"/>
      <c r="H28" s="2">
        <f>I28+J28</f>
        <v>37.733723196881094</v>
      </c>
      <c r="I28" s="2">
        <f>R28+S28</f>
        <v>6.4666666666666659</v>
      </c>
      <c r="J28" s="2">
        <f>L28+M28+N28+O28</f>
        <v>31.267056530214425</v>
      </c>
      <c r="L28" s="2">
        <f>100/13.5</f>
        <v>7.4074074074074074</v>
      </c>
      <c r="M28" s="2">
        <f>100/7.5</f>
        <v>13.333333333333334</v>
      </c>
      <c r="N28" s="2">
        <v>0</v>
      </c>
      <c r="O28" s="2">
        <f>100/9.5</f>
        <v>10.526315789473685</v>
      </c>
      <c r="P28" s="2">
        <f>100/2.24</f>
        <v>44.642857142857139</v>
      </c>
      <c r="R28" s="2">
        <f>(76-((U28*0.1)+(V28*0.5)+(W28*0.1)+(X28*0.3)))/3</f>
        <v>6.2166666666666659</v>
      </c>
      <c r="S28">
        <f>AA28+AB28+AC28+AD28</f>
        <v>0.25</v>
      </c>
      <c r="U28">
        <f>VLOOKUP(AE28,'pff grades'!$A$2:$J$135,9,FALSE)</f>
        <v>70.2</v>
      </c>
      <c r="V28">
        <f>VLOOKUP(AE28,'pff grades'!$A$2:$M$135,12,FALSE)</f>
        <v>51</v>
      </c>
      <c r="W28">
        <f>VLOOKUP(AE28,'pff grades'!$A$2:$M$135,10,FALSE)</f>
        <v>56</v>
      </c>
      <c r="X28">
        <f>VLOOKUP(AE28,'pff grades'!$A$2:$M$135,11,FALSE)</f>
        <v>64.099999999999994</v>
      </c>
      <c r="Z28">
        <v>39.5</v>
      </c>
      <c r="AA28">
        <v>0.25</v>
      </c>
      <c r="AB28">
        <v>-0.25</v>
      </c>
      <c r="AC28">
        <v>0</v>
      </c>
      <c r="AD28">
        <v>0.25</v>
      </c>
      <c r="AE28" t="s">
        <v>371</v>
      </c>
    </row>
    <row r="29" spans="1:31" x14ac:dyDescent="0.25">
      <c r="A29" s="5" t="s">
        <v>24</v>
      </c>
      <c r="B29" s="5" t="s">
        <v>25</v>
      </c>
      <c r="C29" s="5">
        <v>11.9</v>
      </c>
      <c r="D29" s="5" t="s">
        <v>2</v>
      </c>
      <c r="E29" s="5" t="s">
        <v>382</v>
      </c>
      <c r="F29" s="5">
        <v>17</v>
      </c>
      <c r="G29" s="5"/>
      <c r="H29" s="2">
        <f>I29+J29</f>
        <v>35.895370370370372</v>
      </c>
      <c r="I29" s="2">
        <f>R29+S29</f>
        <v>-1.1416666666666657</v>
      </c>
      <c r="J29" s="2">
        <f>L29+M29+N29+O29</f>
        <v>37.037037037037038</v>
      </c>
      <c r="L29" s="2">
        <v>0</v>
      </c>
      <c r="M29" s="2">
        <v>0</v>
      </c>
      <c r="N29" s="2">
        <f>100/2.7</f>
        <v>37.037037037037038</v>
      </c>
      <c r="O29" s="2">
        <v>0</v>
      </c>
      <c r="P29" s="2">
        <v>73.3</v>
      </c>
      <c r="R29" s="2">
        <f>(76-((U29*0.4)+(V29*0.1)+(W29*0.25)+(X29*0.25)))/3</f>
        <v>-0.14166666666666572</v>
      </c>
      <c r="S29">
        <f>AA29+AB29+AC29+AD29</f>
        <v>-1</v>
      </c>
      <c r="U29">
        <f>VLOOKUP(AE29,'pff grades'!$A$2:$J$135,9,FALSE)</f>
        <v>79.599999999999994</v>
      </c>
      <c r="V29">
        <f>VLOOKUP(AE29,'pff grades'!$A$2:$M$135,12,FALSE)</f>
        <v>88.1</v>
      </c>
      <c r="W29">
        <f>VLOOKUP(AE29,'pff grades'!$A$2:$M$135,10,FALSE)</f>
        <v>71.099999999999994</v>
      </c>
      <c r="X29">
        <f>VLOOKUP(AE29,'pff grades'!$A$2:$M$135,11,FALSE)</f>
        <v>72</v>
      </c>
      <c r="Z29">
        <v>24.5</v>
      </c>
      <c r="AA29">
        <v>0</v>
      </c>
      <c r="AB29">
        <v>0</v>
      </c>
      <c r="AC29">
        <v>-1</v>
      </c>
      <c r="AD29">
        <v>0</v>
      </c>
      <c r="AE29" t="s">
        <v>299</v>
      </c>
    </row>
    <row r="30" spans="1:31" x14ac:dyDescent="0.25">
      <c r="A30" s="7" t="s">
        <v>32</v>
      </c>
      <c r="B30" s="7" t="s">
        <v>33</v>
      </c>
      <c r="C30" s="7">
        <v>15.6</v>
      </c>
      <c r="D30" s="7" t="s">
        <v>7</v>
      </c>
      <c r="E30" s="7" t="s">
        <v>386</v>
      </c>
      <c r="F30" s="7">
        <v>14</v>
      </c>
      <c r="G30" s="7"/>
      <c r="H30" s="2">
        <f>I30+J30</f>
        <v>35.375952380952377</v>
      </c>
      <c r="I30" s="2">
        <f>R30+S30</f>
        <v>2.9949999999999997</v>
      </c>
      <c r="J30" s="2">
        <f>L30+M30+N30+O30</f>
        <v>32.38095238095238</v>
      </c>
      <c r="L30" s="2">
        <v>0</v>
      </c>
      <c r="M30" s="2">
        <v>0</v>
      </c>
      <c r="N30" s="2">
        <f>100/5.25</f>
        <v>19.047619047619047</v>
      </c>
      <c r="O30" s="2">
        <f>100/7.5</f>
        <v>13.333333333333334</v>
      </c>
      <c r="P30" s="2">
        <v>50</v>
      </c>
      <c r="R30" s="2">
        <f>(76-((U30*0.1)+(V30*0.5)+(W30*0.35)+(X30*0.15)))/3</f>
        <v>2.4949999999999997</v>
      </c>
      <c r="S30">
        <f>AA30+AB30+AC30+AD30</f>
        <v>0.5</v>
      </c>
      <c r="U30">
        <f>VLOOKUP(AE30,'pff grades'!$A$2:$J$135,9,FALSE)</f>
        <v>91.7</v>
      </c>
      <c r="V30">
        <f>VLOOKUP(AE30,'pff grades'!$A$2:$M$135,12,FALSE)</f>
        <v>47.3</v>
      </c>
      <c r="W30">
        <f>VLOOKUP(AE30,'pff grades'!$A$2:$M$135,10,FALSE)</f>
        <v>71.3</v>
      </c>
      <c r="X30">
        <f>VLOOKUP(AE30,'pff grades'!$A$2:$M$135,11,FALSE)</f>
        <v>71.599999999999994</v>
      </c>
      <c r="Z30">
        <v>35.5</v>
      </c>
      <c r="AA30">
        <v>0.25</v>
      </c>
      <c r="AB30">
        <v>0</v>
      </c>
      <c r="AC30">
        <v>0</v>
      </c>
      <c r="AD30">
        <v>0.25</v>
      </c>
      <c r="AE30" t="s">
        <v>288</v>
      </c>
    </row>
    <row r="31" spans="1:31" x14ac:dyDescent="0.25">
      <c r="A31" s="7" t="s">
        <v>46</v>
      </c>
      <c r="B31" s="7" t="s">
        <v>47</v>
      </c>
      <c r="C31" s="7">
        <v>23</v>
      </c>
      <c r="D31" s="7" t="s">
        <v>7</v>
      </c>
      <c r="E31" s="7" t="s">
        <v>288</v>
      </c>
      <c r="F31" s="7">
        <v>9.9</v>
      </c>
      <c r="G31" s="7"/>
      <c r="H31" s="2">
        <f>I31+J31</f>
        <v>34.647575757575758</v>
      </c>
      <c r="I31" s="2">
        <f>R31+S31</f>
        <v>-5.6933333333333325</v>
      </c>
      <c r="J31" s="2">
        <f>L31+M31+N31+O31</f>
        <v>40.340909090909093</v>
      </c>
      <c r="L31" s="2">
        <v>0</v>
      </c>
      <c r="M31" s="2">
        <v>0</v>
      </c>
      <c r="N31" s="2">
        <f>100/3.2</f>
        <v>31.25</v>
      </c>
      <c r="O31" s="2">
        <f>100/11</f>
        <v>9.0909090909090917</v>
      </c>
      <c r="P31" s="2">
        <f>100/2.65</f>
        <v>37.735849056603776</v>
      </c>
      <c r="R31" s="2">
        <f>(76-((U31*0.1)+(V31*0.5)+(W31*0.35)+(X31*0.15)))/3</f>
        <v>-6.1933333333333325</v>
      </c>
      <c r="S31">
        <f>AA31+AB31+AC31+AD31</f>
        <v>0.5</v>
      </c>
      <c r="U31">
        <f>VLOOKUP(AE31,'pff grades'!$A$2:$J$135,9,FALSE)</f>
        <v>87.7</v>
      </c>
      <c r="V31">
        <f>VLOOKUP(AE31,'pff grades'!$A$2:$M$135,12,FALSE)</f>
        <v>94.1</v>
      </c>
      <c r="W31">
        <f>VLOOKUP(AE31,'pff grades'!$A$2:$M$135,10,FALSE)</f>
        <v>74.7</v>
      </c>
      <c r="X31">
        <f>VLOOKUP(AE31,'pff grades'!$A$2:$M$135,11,FALSE)</f>
        <v>84.1</v>
      </c>
      <c r="Z31">
        <v>21.5</v>
      </c>
      <c r="AA31">
        <v>0.25</v>
      </c>
      <c r="AB31">
        <v>0</v>
      </c>
      <c r="AC31">
        <v>0</v>
      </c>
      <c r="AD31">
        <v>0.25</v>
      </c>
      <c r="AE31" t="s">
        <v>386</v>
      </c>
    </row>
    <row r="32" spans="1:31" x14ac:dyDescent="0.25">
      <c r="A32" s="4" t="s">
        <v>423</v>
      </c>
      <c r="B32" s="4" t="s">
        <v>249</v>
      </c>
      <c r="C32" s="4"/>
      <c r="D32" s="4" t="s">
        <v>10</v>
      </c>
      <c r="E32" s="4" t="s">
        <v>397</v>
      </c>
      <c r="F32" s="4">
        <v>19.3</v>
      </c>
      <c r="G32" s="4"/>
      <c r="H32" s="2">
        <f>I32+J32</f>
        <v>33.333074581430743</v>
      </c>
      <c r="I32" s="2">
        <f>R32+S32</f>
        <v>-1.476666666666669</v>
      </c>
      <c r="J32" s="2">
        <f>L32+M32+N32+O32</f>
        <v>34.80974124809741</v>
      </c>
      <c r="L32" s="2">
        <f>100/7.3</f>
        <v>13.698630136986301</v>
      </c>
      <c r="M32" s="2">
        <f>100/9</f>
        <v>11.111111111111111</v>
      </c>
      <c r="N32" s="2">
        <v>0</v>
      </c>
      <c r="O32" s="2">
        <f>100/10</f>
        <v>10</v>
      </c>
      <c r="P32" s="2">
        <f>100/2.47</f>
        <v>40.48582995951417</v>
      </c>
      <c r="R32" s="2">
        <f>(76-((U32*0.1)+(V32*0.5)+(W32*0.1)+(X32*0.3)))/3</f>
        <v>-1.226666666666669</v>
      </c>
      <c r="S32">
        <f>AA32+AB32+AC32+AD32</f>
        <v>-0.25</v>
      </c>
      <c r="U32">
        <f>VLOOKUP(AE32,'pff grades'!$A$2:$J$135,9,FALSE)</f>
        <v>79.599999999999994</v>
      </c>
      <c r="V32">
        <f>VLOOKUP(AE32,'pff grades'!$A$2:$M$135,12,FALSE)</f>
        <v>80.2</v>
      </c>
      <c r="W32">
        <f>VLOOKUP(AE32,'pff grades'!$A$2:$M$135,10,FALSE)</f>
        <v>78.900000000000006</v>
      </c>
      <c r="X32">
        <f>VLOOKUP(AE32,'pff grades'!$A$2:$M$135,11,FALSE)</f>
        <v>79.099999999999994</v>
      </c>
      <c r="Z32">
        <v>29.5</v>
      </c>
      <c r="AA32">
        <v>0</v>
      </c>
      <c r="AB32">
        <v>-0.25</v>
      </c>
      <c r="AC32">
        <v>0</v>
      </c>
      <c r="AD32">
        <v>0</v>
      </c>
      <c r="AE32" t="s">
        <v>352</v>
      </c>
    </row>
    <row r="33" spans="1:31" x14ac:dyDescent="0.25">
      <c r="A33" s="4" t="s">
        <v>68</v>
      </c>
      <c r="B33" s="4" t="s">
        <v>69</v>
      </c>
      <c r="C33" s="4">
        <v>32.299999999999997</v>
      </c>
      <c r="D33" s="4" t="s">
        <v>10</v>
      </c>
      <c r="E33" s="4" t="s">
        <v>377</v>
      </c>
      <c r="F33" s="4">
        <v>20.6</v>
      </c>
      <c r="G33" s="4"/>
      <c r="H33" s="2">
        <f>I33+J33</f>
        <v>31.807575757575751</v>
      </c>
      <c r="I33" s="2">
        <f>R33+S33</f>
        <v>-0.61666666666666958</v>
      </c>
      <c r="J33" s="2">
        <f>L33+M33+N33+O33</f>
        <v>32.424242424242422</v>
      </c>
      <c r="L33" s="2">
        <f>100/15</f>
        <v>6.666666666666667</v>
      </c>
      <c r="M33" s="2">
        <f>100/11</f>
        <v>9.0909090909090917</v>
      </c>
      <c r="N33" s="2">
        <v>0</v>
      </c>
      <c r="O33" s="2">
        <f>100/6</f>
        <v>16.666666666666668</v>
      </c>
      <c r="P33" s="2">
        <f>100/2.15</f>
        <v>46.511627906976749</v>
      </c>
      <c r="R33" s="2">
        <f>(76-((U33*0.1)+(V33*0.5)+(W33*0.1)+(X33*0.3)))/3</f>
        <v>-1.3666666666666696</v>
      </c>
      <c r="S33">
        <f>AA33+AB33+AC33+AD33</f>
        <v>0.75</v>
      </c>
      <c r="U33">
        <f>VLOOKUP(AE33,'pff grades'!$A$2:$J$135,9,FALSE)</f>
        <v>90.7</v>
      </c>
      <c r="V33">
        <f>VLOOKUP(AE33,'pff grades'!$A$2:$M$135,12,FALSE)</f>
        <v>84.7</v>
      </c>
      <c r="W33">
        <f>VLOOKUP(AE33,'pff grades'!$A$2:$M$135,10,FALSE)</f>
        <v>81.3</v>
      </c>
      <c r="X33">
        <f>VLOOKUP(AE33,'pff grades'!$A$2:$M$135,11,FALSE)</f>
        <v>68.5</v>
      </c>
      <c r="Z33">
        <v>36.5</v>
      </c>
      <c r="AA33">
        <v>0.5</v>
      </c>
      <c r="AB33">
        <v>0</v>
      </c>
      <c r="AC33">
        <v>0</v>
      </c>
      <c r="AD33">
        <v>0.25</v>
      </c>
      <c r="AE33" t="s">
        <v>295</v>
      </c>
    </row>
    <row r="34" spans="1:31" x14ac:dyDescent="0.25">
      <c r="A34" s="4" t="s">
        <v>106</v>
      </c>
      <c r="B34" s="4" t="s">
        <v>107</v>
      </c>
      <c r="C34" s="4"/>
      <c r="D34" s="4" t="s">
        <v>10</v>
      </c>
      <c r="E34" s="4" t="s">
        <v>382</v>
      </c>
      <c r="F34" s="4">
        <v>19.399999999999999</v>
      </c>
      <c r="G34" s="4"/>
      <c r="H34" s="2">
        <f>I34+J34</f>
        <v>31.208796409628722</v>
      </c>
      <c r="I34" s="2">
        <f>R34+S34</f>
        <v>-2.5733333333333333</v>
      </c>
      <c r="J34" s="2">
        <f>L34+M34+N34+O34</f>
        <v>33.782129742962056</v>
      </c>
      <c r="L34" s="2">
        <f>100/4.3</f>
        <v>23.255813953488374</v>
      </c>
      <c r="M34" s="2">
        <f>100/9.5</f>
        <v>10.526315789473685</v>
      </c>
      <c r="N34" s="2">
        <v>0</v>
      </c>
      <c r="O34" s="2">
        <v>0</v>
      </c>
      <c r="P34" s="2">
        <f>100/3.7</f>
        <v>27.027027027027025</v>
      </c>
      <c r="R34" s="2">
        <f>(76-((U34*0.1)+(V34*0.5)+(W34*0.1)+(X34*0.3)))/3</f>
        <v>-1.573333333333333</v>
      </c>
      <c r="S34">
        <f>AA34+AB34+AC34+AD34</f>
        <v>-1</v>
      </c>
      <c r="U34">
        <f>VLOOKUP(AE34,'pff grades'!$A$2:$J$135,9,FALSE)</f>
        <v>79.599999999999994</v>
      </c>
      <c r="V34">
        <f>VLOOKUP(AE34,'pff grades'!$A$2:$M$135,12,FALSE)</f>
        <v>88.1</v>
      </c>
      <c r="W34">
        <f>VLOOKUP(AE34,'pff grades'!$A$2:$M$135,10,FALSE)</f>
        <v>71.099999999999994</v>
      </c>
      <c r="X34">
        <f>VLOOKUP(AE34,'pff grades'!$A$2:$M$135,11,FALSE)</f>
        <v>72</v>
      </c>
      <c r="Z34">
        <v>24.5</v>
      </c>
      <c r="AA34">
        <v>0</v>
      </c>
      <c r="AB34">
        <v>0</v>
      </c>
      <c r="AC34">
        <v>-1</v>
      </c>
      <c r="AD34">
        <v>0</v>
      </c>
      <c r="AE34" t="s">
        <v>299</v>
      </c>
    </row>
    <row r="35" spans="1:31" x14ac:dyDescent="0.25">
      <c r="A35" s="4" t="s">
        <v>98</v>
      </c>
      <c r="B35" s="4" t="s">
        <v>99</v>
      </c>
      <c r="C35" s="4">
        <v>35.700000000000003</v>
      </c>
      <c r="D35" s="4" t="s">
        <v>10</v>
      </c>
      <c r="E35" s="4" t="s">
        <v>303</v>
      </c>
      <c r="F35" s="4">
        <v>27.8</v>
      </c>
      <c r="G35" s="4"/>
      <c r="H35" s="2">
        <f>I35+J35</f>
        <v>30.571111111111108</v>
      </c>
      <c r="I35" s="2">
        <f>R35+S35</f>
        <v>-1.3733333333333348</v>
      </c>
      <c r="J35" s="2">
        <f>L35+M35+N35+O35</f>
        <v>31.944444444444443</v>
      </c>
      <c r="L35" s="2">
        <f>100/12</f>
        <v>8.3333333333333339</v>
      </c>
      <c r="M35" s="2">
        <f>100/9</f>
        <v>11.111111111111111</v>
      </c>
      <c r="N35" s="2">
        <v>0</v>
      </c>
      <c r="O35" s="2">
        <f>100/8</f>
        <v>12.5</v>
      </c>
      <c r="P35" s="2">
        <v>56.5</v>
      </c>
      <c r="R35" s="2">
        <f>(76-((U35*0.1)+(V35*0.5)+(W35*0.1)+(X35*0.3)))/3</f>
        <v>-1.6233333333333348</v>
      </c>
      <c r="S35">
        <f>AA35+AB35+AC35+AD35</f>
        <v>0.25</v>
      </c>
      <c r="U35">
        <f>VLOOKUP(AE35,'pff grades'!$A$2:$J$135,9,FALSE)</f>
        <v>85.5</v>
      </c>
      <c r="V35">
        <f>VLOOKUP(AE35,'pff grades'!$A$2:$M$135,12,FALSE)</f>
        <v>83.8</v>
      </c>
      <c r="W35">
        <f>VLOOKUP(AE35,'pff grades'!$A$2:$M$135,10,FALSE)</f>
        <v>81.900000000000006</v>
      </c>
      <c r="X35">
        <f>VLOOKUP(AE35,'pff grades'!$A$2:$M$135,11,FALSE)</f>
        <v>74.099999999999994</v>
      </c>
      <c r="Z35">
        <v>31.5</v>
      </c>
      <c r="AA35">
        <v>0</v>
      </c>
      <c r="AB35">
        <v>0</v>
      </c>
      <c r="AC35">
        <v>0</v>
      </c>
      <c r="AD35">
        <v>0.25</v>
      </c>
      <c r="AE35" t="s">
        <v>370</v>
      </c>
    </row>
    <row r="36" spans="1:31" x14ac:dyDescent="0.25">
      <c r="A36" s="7" t="s">
        <v>79</v>
      </c>
      <c r="B36" s="7" t="s">
        <v>80</v>
      </c>
      <c r="C36" s="7">
        <v>34.6</v>
      </c>
      <c r="D36" s="7" t="s">
        <v>7</v>
      </c>
      <c r="E36" s="7" t="s">
        <v>399</v>
      </c>
      <c r="F36" s="7">
        <v>7.7</v>
      </c>
      <c r="G36" s="7"/>
      <c r="H36" s="2">
        <f>I36+J36</f>
        <v>30.320265220012057</v>
      </c>
      <c r="I36" s="2">
        <f>R36+S36</f>
        <v>-4.5200000000000005</v>
      </c>
      <c r="J36" s="2">
        <f>L36+M36+N36+O36</f>
        <v>34.840265220012057</v>
      </c>
      <c r="L36" s="2">
        <v>0</v>
      </c>
      <c r="M36" s="2">
        <v>0</v>
      </c>
      <c r="N36" s="2">
        <f>100/3.95</f>
        <v>25.316455696202532</v>
      </c>
      <c r="O36" s="2">
        <f>100/10.5</f>
        <v>9.5238095238095237</v>
      </c>
      <c r="P36" s="2">
        <f>100/2.75</f>
        <v>36.363636363636367</v>
      </c>
      <c r="R36" s="2">
        <f>(76-((U36*0.1)+(V36*0.5)+(W36*0.35)+(X36*0.15)))/3</f>
        <v>-4.2700000000000005</v>
      </c>
      <c r="S36">
        <f>AA36+AB36+AC36+AD36</f>
        <v>-0.25</v>
      </c>
      <c r="U36">
        <f>VLOOKUP(AE36,'pff grades'!$A$2:$J$135,9,FALSE)</f>
        <v>85.1</v>
      </c>
      <c r="V36">
        <f>VLOOKUP(AE36,'pff grades'!$A$2:$M$135,12,FALSE)</f>
        <v>90</v>
      </c>
      <c r="W36">
        <f>VLOOKUP(AE36,'pff grades'!$A$2:$M$135,10,FALSE)</f>
        <v>69.7</v>
      </c>
      <c r="X36">
        <f>VLOOKUP(AE36,'pff grades'!$A$2:$M$135,11,FALSE)</f>
        <v>72.7</v>
      </c>
      <c r="Z36">
        <v>16.5</v>
      </c>
      <c r="AA36">
        <v>0</v>
      </c>
      <c r="AB36">
        <v>0</v>
      </c>
      <c r="AC36">
        <v>0</v>
      </c>
      <c r="AD36">
        <v>-0.25</v>
      </c>
      <c r="AE36" t="s">
        <v>305</v>
      </c>
    </row>
    <row r="37" spans="1:31" x14ac:dyDescent="0.25">
      <c r="A37" s="7" t="s">
        <v>156</v>
      </c>
      <c r="B37" s="7" t="s">
        <v>157</v>
      </c>
      <c r="C37" s="7"/>
      <c r="D37" s="7" t="s">
        <v>7</v>
      </c>
      <c r="E37" s="7" t="s">
        <v>337</v>
      </c>
      <c r="F37" s="7">
        <v>8.6999999999999993</v>
      </c>
      <c r="G37" s="7"/>
      <c r="H37" s="2">
        <f>I37+J37</f>
        <v>30.19959595959596</v>
      </c>
      <c r="I37" s="2">
        <f>R37+S37</f>
        <v>0.90666666666666629</v>
      </c>
      <c r="J37" s="2">
        <f>L37+M37+N37+O37</f>
        <v>29.292929292929294</v>
      </c>
      <c r="L37" s="2">
        <v>0</v>
      </c>
      <c r="M37" s="2">
        <v>0</v>
      </c>
      <c r="N37" s="2">
        <f>100/5.5</f>
        <v>18.181818181818183</v>
      </c>
      <c r="O37" s="2">
        <f>100/9</f>
        <v>11.111111111111111</v>
      </c>
      <c r="P37" s="2">
        <f>100/2.38</f>
        <v>42.016806722689076</v>
      </c>
      <c r="R37" s="2">
        <f>(76-((U37*0.1)+(V37*0.5)+(W37*0.35)+(X37*0.15)))/3</f>
        <v>1.1566666666666663</v>
      </c>
      <c r="S37">
        <f>AA37+AB37+AC37+AD37</f>
        <v>-0.25</v>
      </c>
      <c r="U37">
        <f>VLOOKUP(AE37,'pff grades'!$A$2:$J$135,9,FALSE)</f>
        <v>70.5</v>
      </c>
      <c r="V37">
        <f>VLOOKUP(AE37,'pff grades'!$A$2:$M$135,12,FALSE)</f>
        <v>64.3</v>
      </c>
      <c r="W37">
        <f>VLOOKUP(AE37,'pff grades'!$A$2:$M$135,10,FALSE)</f>
        <v>64.2</v>
      </c>
      <c r="X37">
        <f>VLOOKUP(AE37,'pff grades'!$A$2:$M$135,11,FALSE)</f>
        <v>72.400000000000006</v>
      </c>
      <c r="Z37">
        <v>38.5</v>
      </c>
      <c r="AA37">
        <v>0.5</v>
      </c>
      <c r="AB37">
        <v>0</v>
      </c>
      <c r="AC37">
        <v>-1</v>
      </c>
      <c r="AD37">
        <v>0.25</v>
      </c>
      <c r="AE37" t="s">
        <v>381</v>
      </c>
    </row>
    <row r="38" spans="1:31" x14ac:dyDescent="0.25">
      <c r="A38" s="7" t="s">
        <v>81</v>
      </c>
      <c r="B38" s="7" t="s">
        <v>89</v>
      </c>
      <c r="C38" s="7">
        <v>35</v>
      </c>
      <c r="D38" s="7" t="s">
        <v>7</v>
      </c>
      <c r="E38" s="7" t="s">
        <v>386</v>
      </c>
      <c r="F38" s="7">
        <v>7.4</v>
      </c>
      <c r="G38" s="7"/>
      <c r="H38" s="2">
        <f>I38+J38</f>
        <v>30.026963470319636</v>
      </c>
      <c r="I38" s="2">
        <f>R38+S38</f>
        <v>2.9949999999999997</v>
      </c>
      <c r="J38" s="2">
        <f>L38+M38+N38+O38</f>
        <v>27.031963470319635</v>
      </c>
      <c r="L38" s="2">
        <v>0</v>
      </c>
      <c r="M38" s="2">
        <v>0</v>
      </c>
      <c r="N38" s="2">
        <f>100/7.3</f>
        <v>13.698630136986301</v>
      </c>
      <c r="O38" s="2">
        <f>100/7.5</f>
        <v>13.333333333333334</v>
      </c>
      <c r="P38" s="2">
        <f>100/2.3</f>
        <v>43.478260869565219</v>
      </c>
      <c r="R38" s="2">
        <f>(76-((U38*0.1)+(V38*0.5)+(W38*0.35)+(X38*0.15)))/3</f>
        <v>2.4949999999999997</v>
      </c>
      <c r="S38">
        <f>AA38+AB38+AC38+AD38</f>
        <v>0.5</v>
      </c>
      <c r="U38">
        <f>VLOOKUP(AE38,'pff grades'!$A$2:$J$135,9,FALSE)</f>
        <v>91.7</v>
      </c>
      <c r="V38">
        <f>VLOOKUP(AE38,'pff grades'!$A$2:$M$135,12,FALSE)</f>
        <v>47.3</v>
      </c>
      <c r="W38">
        <f>VLOOKUP(AE38,'pff grades'!$A$2:$M$135,10,FALSE)</f>
        <v>71.3</v>
      </c>
      <c r="X38">
        <f>VLOOKUP(AE38,'pff grades'!$A$2:$M$135,11,FALSE)</f>
        <v>71.599999999999994</v>
      </c>
      <c r="Z38">
        <v>35.5</v>
      </c>
      <c r="AA38">
        <v>0.25</v>
      </c>
      <c r="AB38">
        <v>0</v>
      </c>
      <c r="AC38">
        <v>0</v>
      </c>
      <c r="AD38">
        <v>0.25</v>
      </c>
      <c r="AE38" t="s">
        <v>288</v>
      </c>
    </row>
    <row r="39" spans="1:31" x14ac:dyDescent="0.25">
      <c r="A39" s="4" t="s">
        <v>83</v>
      </c>
      <c r="B39" s="4" t="s">
        <v>84</v>
      </c>
      <c r="C39" s="4">
        <v>35</v>
      </c>
      <c r="D39" s="4" t="s">
        <v>10</v>
      </c>
      <c r="E39" s="4" t="s">
        <v>299</v>
      </c>
      <c r="F39" s="4">
        <v>18</v>
      </c>
      <c r="G39" s="4"/>
      <c r="H39" s="2">
        <f>I39+J39</f>
        <v>29.457948717948721</v>
      </c>
      <c r="I39" s="2">
        <f>R39+S39</f>
        <v>1.573333333333333</v>
      </c>
      <c r="J39" s="2">
        <f>L39+M39+N39+O39</f>
        <v>27.884615384615387</v>
      </c>
      <c r="L39" s="2">
        <f>100/6.5</f>
        <v>15.384615384615385</v>
      </c>
      <c r="M39" s="2">
        <f>100/8</f>
        <v>12.5</v>
      </c>
      <c r="N39" s="2">
        <v>0</v>
      </c>
      <c r="O39" s="2">
        <v>0</v>
      </c>
      <c r="P39" s="2">
        <f>100/2.88</f>
        <v>34.722222222222221</v>
      </c>
      <c r="R39" s="2">
        <f>(76-((U39*0.1)+(V39*0.5)+(W39*0.1)+(X39*0.3)))/3</f>
        <v>1.323333333333333</v>
      </c>
      <c r="S39">
        <f>AA39+AB39+AC39+AD39</f>
        <v>0.25</v>
      </c>
      <c r="U39">
        <f>VLOOKUP(AE39,'pff grades'!$A$2:$J$135,9,FALSE)</f>
        <v>76</v>
      </c>
      <c r="V39">
        <f>VLOOKUP(AE39,'pff grades'!$A$2:$M$135,12,FALSE)</f>
        <v>75.400000000000006</v>
      </c>
      <c r="W39">
        <f>VLOOKUP(AE39,'pff grades'!$A$2:$M$135,10,FALSE)</f>
        <v>50.4</v>
      </c>
      <c r="X39">
        <f>VLOOKUP(AE39,'pff grades'!$A$2:$M$135,11,FALSE)</f>
        <v>72.3</v>
      </c>
      <c r="Z39">
        <v>34.5</v>
      </c>
      <c r="AA39">
        <v>0.25</v>
      </c>
      <c r="AB39">
        <v>-0.25</v>
      </c>
      <c r="AC39">
        <v>0</v>
      </c>
      <c r="AD39">
        <v>0.25</v>
      </c>
      <c r="AE39" t="s">
        <v>382</v>
      </c>
    </row>
    <row r="40" spans="1:31" x14ac:dyDescent="0.25">
      <c r="A40" s="7" t="s">
        <v>170</v>
      </c>
      <c r="B40" s="7" t="s">
        <v>203</v>
      </c>
      <c r="C40" s="7"/>
      <c r="D40" s="7" t="s">
        <v>7</v>
      </c>
      <c r="E40" s="7" t="s">
        <v>293</v>
      </c>
      <c r="F40" s="7">
        <v>6.6</v>
      </c>
      <c r="G40" s="7"/>
      <c r="H40" s="2">
        <f>I40+J40</f>
        <v>28.775476190476194</v>
      </c>
      <c r="I40" s="2">
        <f>R40+S40</f>
        <v>2.5850000000000031</v>
      </c>
      <c r="J40" s="2">
        <f>L40+M40+N40+O40</f>
        <v>26.19047619047619</v>
      </c>
      <c r="L40" s="2">
        <v>0</v>
      </c>
      <c r="M40" s="2">
        <v>0</v>
      </c>
      <c r="N40" s="2">
        <f>100/6</f>
        <v>16.666666666666668</v>
      </c>
      <c r="O40" s="2">
        <f>100/10.5</f>
        <v>9.5238095238095237</v>
      </c>
      <c r="P40" s="2">
        <f>100/2.31</f>
        <v>43.290043290043286</v>
      </c>
      <c r="R40" s="2">
        <f>(76-((U40*0.1)+(V40*0.5)+(W40*0.35)+(X40*0.15)))/3</f>
        <v>2.0850000000000031</v>
      </c>
      <c r="S40">
        <f>AA40+AB40+AC40+AD40</f>
        <v>0.5</v>
      </c>
      <c r="U40">
        <f>VLOOKUP(AE40,'pff grades'!$A$2:$J$135,9,FALSE)</f>
        <v>88.2</v>
      </c>
      <c r="V40">
        <f>VLOOKUP(AE40,'pff grades'!$A$2:$M$135,12,FALSE)</f>
        <v>46.8</v>
      </c>
      <c r="W40">
        <f>VLOOKUP(AE40,'pff grades'!$A$2:$M$135,10,FALSE)</f>
        <v>79.7</v>
      </c>
      <c r="X40">
        <f>VLOOKUP(AE40,'pff grades'!$A$2:$M$135,11,FALSE)</f>
        <v>64.2</v>
      </c>
      <c r="Z40">
        <v>30.5</v>
      </c>
      <c r="AA40">
        <v>0.25</v>
      </c>
      <c r="AB40">
        <v>0</v>
      </c>
      <c r="AC40">
        <v>0</v>
      </c>
      <c r="AD40">
        <v>0.25</v>
      </c>
      <c r="AE40" t="s">
        <v>408</v>
      </c>
    </row>
    <row r="41" spans="1:31" x14ac:dyDescent="0.25">
      <c r="A41" s="7" t="s">
        <v>206</v>
      </c>
      <c r="B41" s="7" t="s">
        <v>207</v>
      </c>
      <c r="C41" s="7"/>
      <c r="D41" s="7" t="s">
        <v>7</v>
      </c>
      <c r="E41" s="7" t="s">
        <v>338</v>
      </c>
      <c r="F41" s="7">
        <v>6.4</v>
      </c>
      <c r="G41" s="7"/>
      <c r="H41" s="2">
        <f>I41+J41</f>
        <v>28.559286803966437</v>
      </c>
      <c r="I41" s="2">
        <f>R41+S41</f>
        <v>0.64166666666666572</v>
      </c>
      <c r="J41" s="2">
        <f>L41+M41+N41+O41</f>
        <v>27.917620137299771</v>
      </c>
      <c r="L41" s="2">
        <v>0</v>
      </c>
      <c r="M41" s="2">
        <v>0</v>
      </c>
      <c r="N41" s="2">
        <f>100/5.75</f>
        <v>17.391304347826086</v>
      </c>
      <c r="O41" s="2">
        <f>100/9.5</f>
        <v>10.526315789473685</v>
      </c>
      <c r="P41" s="2">
        <f>100/2.35</f>
        <v>42.553191489361701</v>
      </c>
      <c r="R41" s="2">
        <f>(76-((U41*0.1)+(V41*0.5)+(W41*0.35)+(X41*0.15)))/3</f>
        <v>1.1416666666666657</v>
      </c>
      <c r="S41">
        <f>AA41+AB41+AC41+AD41</f>
        <v>-0.5</v>
      </c>
      <c r="U41">
        <f>VLOOKUP(AE41,'pff grades'!$A$2:$J$135,9,FALSE)</f>
        <v>87.1</v>
      </c>
      <c r="V41">
        <f>VLOOKUP(AE41,'pff grades'!$A$2:$M$135,12,FALSE)</f>
        <v>65.3</v>
      </c>
      <c r="W41">
        <f>VLOOKUP(AE41,'pff grades'!$A$2:$M$135,10,FALSE)</f>
        <v>60.9</v>
      </c>
      <c r="X41">
        <f>VLOOKUP(AE41,'pff grades'!$A$2:$M$135,11,FALSE)</f>
        <v>66</v>
      </c>
      <c r="Z41">
        <v>30.5</v>
      </c>
      <c r="AA41">
        <v>-0.5</v>
      </c>
      <c r="AB41">
        <v>0</v>
      </c>
      <c r="AC41">
        <v>0</v>
      </c>
      <c r="AD41">
        <v>0</v>
      </c>
      <c r="AE41" t="s">
        <v>311</v>
      </c>
    </row>
    <row r="42" spans="1:31" x14ac:dyDescent="0.25">
      <c r="A42" s="7" t="s">
        <v>36</v>
      </c>
      <c r="B42" s="7" t="s">
        <v>37</v>
      </c>
      <c r="C42" s="7">
        <v>15.9</v>
      </c>
      <c r="D42" s="7" t="s">
        <v>7</v>
      </c>
      <c r="E42" s="7" t="s">
        <v>381</v>
      </c>
      <c r="F42" s="7">
        <v>11.6</v>
      </c>
      <c r="G42" s="7"/>
      <c r="H42" s="2">
        <f>I42+J42</f>
        <v>27.652380952380952</v>
      </c>
      <c r="I42" s="2">
        <f>R42+S42</f>
        <v>-3.300000000000002</v>
      </c>
      <c r="J42" s="2">
        <f>L42+M42+N42+O42</f>
        <v>30.952380952380953</v>
      </c>
      <c r="L42" s="2">
        <v>0</v>
      </c>
      <c r="M42" s="2">
        <v>0</v>
      </c>
      <c r="N42" s="2">
        <f>100/4.2</f>
        <v>23.80952380952381</v>
      </c>
      <c r="O42" s="2">
        <f>100/14</f>
        <v>7.1428571428571432</v>
      </c>
      <c r="P42" s="2">
        <f>100/2.6</f>
        <v>38.46153846153846</v>
      </c>
      <c r="R42" s="2">
        <f>(76-((U42*0.1)+(V42*0.5)+(W42*0.35)+(X42*0.15)))/3</f>
        <v>-3.300000000000002</v>
      </c>
      <c r="S42">
        <f>AA42+AB42+AC42+AD42</f>
        <v>0</v>
      </c>
      <c r="U42">
        <f>VLOOKUP(AE42,'pff grades'!$A$2:$J$135,9,FALSE)</f>
        <v>91.4</v>
      </c>
      <c r="V42">
        <f>VLOOKUP(AE42,'pff grades'!$A$2:$M$135,12,FALSE)</f>
        <v>78.7</v>
      </c>
      <c r="W42">
        <f>VLOOKUP(AE42,'pff grades'!$A$2:$M$135,10,FALSE)</f>
        <v>73.5</v>
      </c>
      <c r="X42">
        <f>VLOOKUP(AE42,'pff grades'!$A$2:$M$135,11,FALSE)</f>
        <v>77.900000000000006</v>
      </c>
      <c r="Z42">
        <v>18.5</v>
      </c>
      <c r="AA42">
        <v>0.25</v>
      </c>
      <c r="AB42">
        <v>-0.25</v>
      </c>
      <c r="AC42">
        <v>0</v>
      </c>
      <c r="AD42">
        <v>0</v>
      </c>
      <c r="AE42" t="s">
        <v>337</v>
      </c>
    </row>
    <row r="43" spans="1:31" x14ac:dyDescent="0.25">
      <c r="A43" s="7" t="s">
        <v>87</v>
      </c>
      <c r="B43" s="7" t="s">
        <v>88</v>
      </c>
      <c r="C43" s="7">
        <v>35</v>
      </c>
      <c r="D43" s="7" t="s">
        <v>7</v>
      </c>
      <c r="E43" s="7" t="s">
        <v>369</v>
      </c>
      <c r="F43" s="7">
        <v>9.9</v>
      </c>
      <c r="G43" s="7"/>
      <c r="H43" s="2">
        <f>I43+J43</f>
        <v>27.296021671826626</v>
      </c>
      <c r="I43" s="2">
        <f>R43+S43</f>
        <v>5.0049999999999999</v>
      </c>
      <c r="J43" s="2">
        <f>L43+M43+N43+O43</f>
        <v>22.291021671826627</v>
      </c>
      <c r="L43" s="2">
        <v>0</v>
      </c>
      <c r="M43" s="2">
        <v>0</v>
      </c>
      <c r="N43" s="2">
        <f>100/9.5</f>
        <v>10.526315789473685</v>
      </c>
      <c r="O43" s="2">
        <f>100/8.5</f>
        <v>11.764705882352942</v>
      </c>
      <c r="P43" s="2">
        <f>100/2.25</f>
        <v>44.444444444444443</v>
      </c>
      <c r="R43" s="2">
        <f>(76-((U43*0.1)+(V43*0.5)+(W43*0.35)+(X43*0.15)))/3</f>
        <v>4.7549999999999999</v>
      </c>
      <c r="S43">
        <f>AA43+AB43+AC43+AD43</f>
        <v>0.25</v>
      </c>
      <c r="U43">
        <f>VLOOKUP(AE43,'pff grades'!$A$2:$J$135,9,FALSE)</f>
        <v>70.2</v>
      </c>
      <c r="V43">
        <f>VLOOKUP(AE43,'pff grades'!$A$2:$M$135,12,FALSE)</f>
        <v>51</v>
      </c>
      <c r="W43">
        <f>VLOOKUP(AE43,'pff grades'!$A$2:$M$135,10,FALSE)</f>
        <v>56</v>
      </c>
      <c r="X43">
        <f>VLOOKUP(AE43,'pff grades'!$A$2:$M$135,11,FALSE)</f>
        <v>64.099999999999994</v>
      </c>
      <c r="Z43">
        <v>39.5</v>
      </c>
      <c r="AA43">
        <v>0.25</v>
      </c>
      <c r="AB43">
        <v>-0.25</v>
      </c>
      <c r="AC43">
        <v>0</v>
      </c>
      <c r="AD43">
        <v>0.25</v>
      </c>
      <c r="AE43" t="s">
        <v>371</v>
      </c>
    </row>
    <row r="44" spans="1:31" x14ac:dyDescent="0.25">
      <c r="A44" s="7" t="s">
        <v>101</v>
      </c>
      <c r="B44" s="7" t="s">
        <v>102</v>
      </c>
      <c r="C44" s="7">
        <v>36</v>
      </c>
      <c r="D44" s="7" t="s">
        <v>7</v>
      </c>
      <c r="E44" s="7" t="s">
        <v>293</v>
      </c>
      <c r="F44" s="7">
        <v>7.5</v>
      </c>
      <c r="G44" s="7"/>
      <c r="H44" s="2">
        <f>I44+J44</f>
        <v>27.060524475524481</v>
      </c>
      <c r="I44" s="2">
        <f>R44+S44</f>
        <v>2.5850000000000031</v>
      </c>
      <c r="J44" s="2">
        <f>L44+M44+N44+O44</f>
        <v>24.475524475524477</v>
      </c>
      <c r="L44" s="2">
        <v>0</v>
      </c>
      <c r="M44" s="2">
        <v>0</v>
      </c>
      <c r="N44" s="2">
        <f>100/6.5</f>
        <v>15.384615384615385</v>
      </c>
      <c r="O44" s="2">
        <f>100/11</f>
        <v>9.0909090909090917</v>
      </c>
      <c r="P44" s="2">
        <f>100/2.62</f>
        <v>38.167938931297705</v>
      </c>
      <c r="R44" s="2">
        <f>(76-((U44*0.1)+(V44*0.5)+(W44*0.35)+(X44*0.15)))/3</f>
        <v>2.0850000000000031</v>
      </c>
      <c r="S44">
        <f>AA44+AB44+AC44+AD44</f>
        <v>0.5</v>
      </c>
      <c r="U44">
        <f>VLOOKUP(AE44,'pff grades'!$A$2:$J$135,9,FALSE)</f>
        <v>88.2</v>
      </c>
      <c r="V44">
        <f>VLOOKUP(AE44,'pff grades'!$A$2:$M$135,12,FALSE)</f>
        <v>46.8</v>
      </c>
      <c r="W44">
        <f>VLOOKUP(AE44,'pff grades'!$A$2:$M$135,10,FALSE)</f>
        <v>79.7</v>
      </c>
      <c r="X44">
        <f>VLOOKUP(AE44,'pff grades'!$A$2:$M$135,11,FALSE)</f>
        <v>64.2</v>
      </c>
      <c r="Z44">
        <v>30.5</v>
      </c>
      <c r="AA44">
        <v>0.25</v>
      </c>
      <c r="AB44">
        <v>0</v>
      </c>
      <c r="AC44">
        <v>0</v>
      </c>
      <c r="AD44">
        <v>0.25</v>
      </c>
      <c r="AE44" t="s">
        <v>408</v>
      </c>
    </row>
    <row r="45" spans="1:31" x14ac:dyDescent="0.25">
      <c r="A45" s="4" t="s">
        <v>104</v>
      </c>
      <c r="B45" s="4" t="s">
        <v>105</v>
      </c>
      <c r="C45" s="4"/>
      <c r="D45" s="4" t="s">
        <v>10</v>
      </c>
      <c r="E45" s="4" t="s">
        <v>288</v>
      </c>
      <c r="F45" s="4">
        <v>20.399999999999999</v>
      </c>
      <c r="G45" s="4" t="s">
        <v>414</v>
      </c>
      <c r="H45" s="2">
        <f>I45+J45</f>
        <v>26.253131313131313</v>
      </c>
      <c r="I45" s="2">
        <f>R45+S45</f>
        <v>-3.673333333333332</v>
      </c>
      <c r="J45" s="2">
        <f>L45+M45+N45+O45</f>
        <v>29.926464646464645</v>
      </c>
      <c r="L45" s="2">
        <f>100/18</f>
        <v>5.5555555555555554</v>
      </c>
      <c r="M45" s="2">
        <v>2.78</v>
      </c>
      <c r="N45" s="2">
        <f>100/11</f>
        <v>9.0909090909090917</v>
      </c>
      <c r="O45" s="2">
        <f>100/8</f>
        <v>12.5</v>
      </c>
      <c r="P45" s="2">
        <f>100/2.25</f>
        <v>44.444444444444443</v>
      </c>
      <c r="R45" s="2">
        <f>(76-((U45*0.1)+(V45*0.5)+(W45*0.1)+(X45*0.3)))/3</f>
        <v>-4.173333333333332</v>
      </c>
      <c r="S45">
        <f>AA45+AB45+AC45+AD45</f>
        <v>0.5</v>
      </c>
      <c r="U45">
        <f>VLOOKUP(AE45,'pff grades'!$A$2:$J$135,9,FALSE)</f>
        <v>87.7</v>
      </c>
      <c r="V45">
        <f>VLOOKUP(AE45,'pff grades'!$A$2:$M$135,12,FALSE)</f>
        <v>94.1</v>
      </c>
      <c r="W45">
        <f>VLOOKUP(AE45,'pff grades'!$A$2:$M$135,10,FALSE)</f>
        <v>74.7</v>
      </c>
      <c r="X45">
        <f>VLOOKUP(AE45,'pff grades'!$A$2:$M$135,11,FALSE)</f>
        <v>84.1</v>
      </c>
      <c r="Z45">
        <v>21.5</v>
      </c>
      <c r="AA45">
        <v>0.25</v>
      </c>
      <c r="AB45">
        <v>0</v>
      </c>
      <c r="AC45">
        <v>0</v>
      </c>
      <c r="AD45">
        <v>0.25</v>
      </c>
      <c r="AE45" t="s">
        <v>386</v>
      </c>
    </row>
    <row r="46" spans="1:31" x14ac:dyDescent="0.25">
      <c r="A46" s="6" t="s">
        <v>62</v>
      </c>
      <c r="B46" s="6" t="s">
        <v>63</v>
      </c>
      <c r="C46" s="6">
        <v>31.4</v>
      </c>
      <c r="D46" s="6" t="s">
        <v>21</v>
      </c>
      <c r="E46" s="6" t="s">
        <v>386</v>
      </c>
      <c r="F46" s="6">
        <v>6.5</v>
      </c>
      <c r="G46" s="6"/>
      <c r="H46" s="2">
        <f>I46+J46</f>
        <v>25.95748366013072</v>
      </c>
      <c r="I46" s="2">
        <f>R46+S46</f>
        <v>3.0816666666666683</v>
      </c>
      <c r="J46" s="2">
        <f>L46+M46+N46+O46</f>
        <v>22.875816993464053</v>
      </c>
      <c r="L46" s="2">
        <v>0</v>
      </c>
      <c r="M46" s="2">
        <v>0</v>
      </c>
      <c r="N46" s="2">
        <f>100/9</f>
        <v>11.111111111111111</v>
      </c>
      <c r="O46" s="2">
        <f>100/8.5</f>
        <v>11.764705882352942</v>
      </c>
      <c r="P46" s="2">
        <f>100/2.45</f>
        <v>40.816326530612244</v>
      </c>
      <c r="R46" s="2">
        <f>(76-((U46*0.2)+(V46*0.3)+(W46*0.25)+(X46*0.25)))/3</f>
        <v>2.5816666666666683</v>
      </c>
      <c r="S46">
        <f>AA46+AB46+AC46+AD46</f>
        <v>0.5</v>
      </c>
      <c r="U46">
        <f>VLOOKUP(AE46,'pff grades'!$A$2:$J$135,9,FALSE)</f>
        <v>91.7</v>
      </c>
      <c r="V46">
        <f>VLOOKUP(AE46,'pff grades'!$A$2:$M$135,12,FALSE)</f>
        <v>47.3</v>
      </c>
      <c r="W46">
        <f>VLOOKUP(AE46,'pff grades'!$A$2:$M$135,10,FALSE)</f>
        <v>71.3</v>
      </c>
      <c r="X46">
        <f>VLOOKUP(AE46,'pff grades'!$A$2:$M$135,11,FALSE)</f>
        <v>71.599999999999994</v>
      </c>
      <c r="Z46">
        <v>35.5</v>
      </c>
      <c r="AA46">
        <v>0.25</v>
      </c>
      <c r="AB46">
        <v>0</v>
      </c>
      <c r="AC46">
        <v>0</v>
      </c>
      <c r="AD46">
        <v>0.25</v>
      </c>
      <c r="AE46" t="s">
        <v>288</v>
      </c>
    </row>
    <row r="47" spans="1:31" x14ac:dyDescent="0.25">
      <c r="A47" s="5" t="s">
        <v>220</v>
      </c>
      <c r="B47" s="5" t="s">
        <v>221</v>
      </c>
      <c r="C47" s="5"/>
      <c r="D47" s="5" t="s">
        <v>2</v>
      </c>
      <c r="E47" s="5" t="s">
        <v>352</v>
      </c>
      <c r="F47" s="5">
        <v>5.8</v>
      </c>
      <c r="G47" s="5"/>
      <c r="H47" s="2">
        <f>I47+J47</f>
        <v>23.916190476190476</v>
      </c>
      <c r="I47" s="2">
        <f>R47+S47</f>
        <v>0.10666666666666441</v>
      </c>
      <c r="J47" s="2">
        <f>L47+M47+N47+O47</f>
        <v>23.80952380952381</v>
      </c>
      <c r="L47" s="2">
        <v>0</v>
      </c>
      <c r="M47" s="2">
        <v>0</v>
      </c>
      <c r="N47" s="2">
        <v>0</v>
      </c>
      <c r="O47" s="2">
        <f>100/4.2</f>
        <v>23.80952380952381</v>
      </c>
      <c r="P47" s="2">
        <v>63</v>
      </c>
      <c r="R47" s="2">
        <f>(76-((U47*0.4)+(V47*0.1)+(W47*0.25)+(X47*0.25)))/3</f>
        <v>0.35666666666666441</v>
      </c>
      <c r="S47">
        <f>AA47+AB47+AC47+AD47</f>
        <v>-0.25</v>
      </c>
      <c r="U47">
        <f>VLOOKUP(AE47,'pff grades'!$A$2:$J$135,9,FALSE)</f>
        <v>74.2</v>
      </c>
      <c r="V47">
        <f>VLOOKUP(AE47,'pff grades'!$A$2:$M$135,12,FALSE)</f>
        <v>78</v>
      </c>
      <c r="W47">
        <f>VLOOKUP(AE47,'pff grades'!$A$2:$M$135,10,FALSE)</f>
        <v>80.8</v>
      </c>
      <c r="X47">
        <f>VLOOKUP(AE47,'pff grades'!$A$2:$M$135,11,FALSE)</f>
        <v>69</v>
      </c>
      <c r="Z47">
        <v>20.5</v>
      </c>
      <c r="AA47">
        <v>0.25</v>
      </c>
      <c r="AB47">
        <v>-0.25</v>
      </c>
      <c r="AC47">
        <v>-0.5</v>
      </c>
      <c r="AD47">
        <v>0.25</v>
      </c>
      <c r="AE47" t="s">
        <v>397</v>
      </c>
    </row>
    <row r="48" spans="1:31" x14ac:dyDescent="0.25">
      <c r="A48" s="5" t="s">
        <v>123</v>
      </c>
      <c r="B48" s="5" t="s">
        <v>124</v>
      </c>
      <c r="C48" s="5"/>
      <c r="D48" s="5" t="s">
        <v>2</v>
      </c>
      <c r="E48" s="5" t="s">
        <v>311</v>
      </c>
      <c r="F48" s="5">
        <v>13.3</v>
      </c>
      <c r="G48" s="5" t="s">
        <v>413</v>
      </c>
      <c r="H48" s="2">
        <f>I48+J48</f>
        <v>23.614147286821705</v>
      </c>
      <c r="I48" s="2">
        <f>R48+S48</f>
        <v>0.35833333333332951</v>
      </c>
      <c r="J48" s="2">
        <f>L48+M48+N48+O48</f>
        <v>23.255813953488374</v>
      </c>
      <c r="L48" s="2">
        <v>0</v>
      </c>
      <c r="M48" s="2">
        <v>0</v>
      </c>
      <c r="N48" s="2">
        <v>0</v>
      </c>
      <c r="O48" s="2">
        <f>100/4.3</f>
        <v>23.255813953488374</v>
      </c>
      <c r="P48" s="2">
        <v>63.6</v>
      </c>
      <c r="R48" s="2">
        <f>(76-((U48*0.4)+(V48*0.1)+(W48*0.25)+(X48*0.25)))/3</f>
        <v>0.60833333333332951</v>
      </c>
      <c r="S48">
        <f>AA48+AB48+AC48+AD48</f>
        <v>-0.25</v>
      </c>
      <c r="U48">
        <f>VLOOKUP(AE48,'pff grades'!$A$2:$J$135,9,FALSE)</f>
        <v>71.599999999999994</v>
      </c>
      <c r="V48">
        <f>VLOOKUP(AE48,'pff grades'!$A$2:$M$135,12,FALSE)</f>
        <v>73.099999999999994</v>
      </c>
      <c r="W48">
        <f>VLOOKUP(AE48,'pff grades'!$A$2:$M$135,10,FALSE)</f>
        <v>69.5</v>
      </c>
      <c r="X48">
        <f>VLOOKUP(AE48,'pff grades'!$A$2:$M$135,11,FALSE)</f>
        <v>83.4</v>
      </c>
      <c r="Z48">
        <v>25.5</v>
      </c>
      <c r="AA48">
        <v>-0.25</v>
      </c>
      <c r="AB48">
        <v>-0.25</v>
      </c>
      <c r="AC48">
        <v>0</v>
      </c>
      <c r="AD48">
        <v>0.25</v>
      </c>
      <c r="AE48" t="s">
        <v>338</v>
      </c>
    </row>
    <row r="49" spans="1:31" x14ac:dyDescent="0.25">
      <c r="A49" s="5" t="s">
        <v>208</v>
      </c>
      <c r="B49" s="5" t="s">
        <v>209</v>
      </c>
      <c r="C49" s="5"/>
      <c r="D49" s="5" t="s">
        <v>2</v>
      </c>
      <c r="E49" s="5" t="s">
        <v>311</v>
      </c>
      <c r="F49" s="5">
        <v>6.4</v>
      </c>
      <c r="G49" s="5"/>
      <c r="H49" s="2">
        <f>I49+J49</f>
        <v>23.614147286821705</v>
      </c>
      <c r="I49" s="2">
        <f>R49+S49</f>
        <v>0.35833333333332951</v>
      </c>
      <c r="J49" s="2">
        <f>L49+M49+N49+O49</f>
        <v>23.255813953488374</v>
      </c>
      <c r="L49" s="2">
        <v>0</v>
      </c>
      <c r="M49" s="2">
        <v>0</v>
      </c>
      <c r="N49" s="2">
        <v>0</v>
      </c>
      <c r="O49" s="2">
        <f>100/4.3</f>
        <v>23.255813953488374</v>
      </c>
      <c r="P49" s="2">
        <v>63.6</v>
      </c>
      <c r="R49" s="2">
        <f>(76-((U49*0.4)+(V49*0.1)+(W49*0.25)+(X49*0.25)))/3</f>
        <v>0.60833333333332951</v>
      </c>
      <c r="S49">
        <f>AA49+AB49+AC49+AD49</f>
        <v>-0.25</v>
      </c>
      <c r="U49">
        <f>VLOOKUP(AE49,'pff grades'!$A$2:$J$135,9,FALSE)</f>
        <v>71.599999999999994</v>
      </c>
      <c r="V49">
        <f>VLOOKUP(AE49,'pff grades'!$A$2:$M$135,12,FALSE)</f>
        <v>73.099999999999994</v>
      </c>
      <c r="W49">
        <f>VLOOKUP(AE49,'pff grades'!$A$2:$M$135,10,FALSE)</f>
        <v>69.5</v>
      </c>
      <c r="X49">
        <f>VLOOKUP(AE49,'pff grades'!$A$2:$M$135,11,FALSE)</f>
        <v>83.4</v>
      </c>
      <c r="Z49">
        <v>25.5</v>
      </c>
      <c r="AA49">
        <v>-0.25</v>
      </c>
      <c r="AB49">
        <v>-0.25</v>
      </c>
      <c r="AC49">
        <v>0</v>
      </c>
      <c r="AD49">
        <v>0.25</v>
      </c>
      <c r="AE49" t="s">
        <v>338</v>
      </c>
    </row>
    <row r="50" spans="1:31" x14ac:dyDescent="0.25">
      <c r="A50" s="7" t="s">
        <v>231</v>
      </c>
      <c r="B50" s="7" t="s">
        <v>232</v>
      </c>
      <c r="C50" s="7"/>
      <c r="D50" s="7" t="s">
        <v>7</v>
      </c>
      <c r="E50" s="7" t="s">
        <v>305</v>
      </c>
      <c r="F50" s="7">
        <v>5.2</v>
      </c>
      <c r="G50" s="7"/>
      <c r="H50" s="2">
        <f>I50+J50</f>
        <v>23.476923076923079</v>
      </c>
      <c r="I50" s="2">
        <f>R50+S50</f>
        <v>0.40000000000000097</v>
      </c>
      <c r="J50" s="2">
        <f>L50+M50+N50+O50</f>
        <v>23.076923076923077</v>
      </c>
      <c r="L50" s="2">
        <v>0</v>
      </c>
      <c r="M50" s="2">
        <v>0</v>
      </c>
      <c r="N50" s="2">
        <f>100/6.5</f>
        <v>15.384615384615385</v>
      </c>
      <c r="O50" s="2">
        <f>100/13</f>
        <v>7.6923076923076925</v>
      </c>
      <c r="P50" s="2">
        <f>100/2.65</f>
        <v>37.735849056603776</v>
      </c>
      <c r="R50" s="2">
        <f>(76-((U50*0.1)+(V50*0.5)+(W50*0.35)+(X50*0.15)))/3</f>
        <v>-9.9999999999999048E-2</v>
      </c>
      <c r="S50">
        <f>AA50+AB50+AC50+AD50</f>
        <v>0.5</v>
      </c>
      <c r="U50">
        <f>VLOOKUP(AE50,'pff grades'!$A$2:$J$135,9,FALSE)</f>
        <v>76</v>
      </c>
      <c r="V50">
        <f>VLOOKUP(AE50,'pff grades'!$A$2:$M$135,12,FALSE)</f>
        <v>82.1</v>
      </c>
      <c r="W50">
        <f>VLOOKUP(AE50,'pff grades'!$A$2:$M$135,10,FALSE)</f>
        <v>49.3</v>
      </c>
      <c r="X50">
        <f>VLOOKUP(AE50,'pff grades'!$A$2:$M$135,11,FALSE)</f>
        <v>69.3</v>
      </c>
      <c r="Z50">
        <v>29.5</v>
      </c>
      <c r="AA50">
        <v>0.25</v>
      </c>
      <c r="AB50">
        <v>0</v>
      </c>
      <c r="AC50">
        <v>0</v>
      </c>
      <c r="AD50">
        <v>0.25</v>
      </c>
      <c r="AE50" t="s">
        <v>399</v>
      </c>
    </row>
    <row r="51" spans="1:31" x14ac:dyDescent="0.25">
      <c r="A51" s="5" t="s">
        <v>127</v>
      </c>
      <c r="B51" s="5" t="s">
        <v>44</v>
      </c>
      <c r="C51" s="5"/>
      <c r="D51" s="5" t="s">
        <v>2</v>
      </c>
      <c r="E51" s="5" t="s">
        <v>288</v>
      </c>
      <c r="F51" s="5">
        <v>12.2</v>
      </c>
      <c r="G51" s="5" t="s">
        <v>413</v>
      </c>
      <c r="H51" s="2">
        <f>I51+J51</f>
        <v>22.160243902439024</v>
      </c>
      <c r="I51" s="2">
        <f>R51+S51</f>
        <v>-2.2299999999999991</v>
      </c>
      <c r="J51" s="2">
        <f>L51+M51+N51+O51</f>
        <v>24.390243902439025</v>
      </c>
      <c r="L51" s="2">
        <v>0</v>
      </c>
      <c r="M51" s="2">
        <v>0</v>
      </c>
      <c r="N51" s="2">
        <v>0</v>
      </c>
      <c r="O51" s="2">
        <f>100/4.1</f>
        <v>24.390243902439025</v>
      </c>
      <c r="P51" s="2">
        <v>59.2</v>
      </c>
      <c r="R51" s="2">
        <f>(76-((U51*0.4)+(V51*0.1)+(W51*0.25)+(X51*0.25)))/3</f>
        <v>-2.7299999999999991</v>
      </c>
      <c r="S51">
        <f>AA51+AB51+AC51+AD51</f>
        <v>0.5</v>
      </c>
      <c r="U51">
        <f>VLOOKUP(AE51,'pff grades'!$A$2:$J$135,9,FALSE)</f>
        <v>87.7</v>
      </c>
      <c r="V51">
        <f>VLOOKUP(AE51,'pff grades'!$A$2:$M$135,12,FALSE)</f>
        <v>94.1</v>
      </c>
      <c r="W51">
        <f>VLOOKUP(AE51,'pff grades'!$A$2:$M$135,10,FALSE)</f>
        <v>74.7</v>
      </c>
      <c r="X51">
        <f>VLOOKUP(AE51,'pff grades'!$A$2:$M$135,11,FALSE)</f>
        <v>84.1</v>
      </c>
      <c r="Z51">
        <v>21.5</v>
      </c>
      <c r="AA51">
        <v>0.25</v>
      </c>
      <c r="AB51">
        <v>0</v>
      </c>
      <c r="AC51">
        <v>0</v>
      </c>
      <c r="AD51">
        <v>0.25</v>
      </c>
      <c r="AE51" t="s">
        <v>386</v>
      </c>
    </row>
    <row r="52" spans="1:31" x14ac:dyDescent="0.25">
      <c r="A52" s="7" t="s">
        <v>240</v>
      </c>
      <c r="B52" s="7" t="s">
        <v>241</v>
      </c>
      <c r="C52" s="7"/>
      <c r="D52" s="7" t="s">
        <v>7</v>
      </c>
      <c r="E52" s="7" t="s">
        <v>311</v>
      </c>
      <c r="F52" s="7">
        <v>5.2</v>
      </c>
      <c r="G52" s="7"/>
      <c r="H52" s="2">
        <f>I52+J52</f>
        <v>19.825909090909093</v>
      </c>
      <c r="I52" s="2">
        <f>R52+S52</f>
        <v>-1.7650000000000006</v>
      </c>
      <c r="J52" s="2">
        <f>L52+M52+N52+O52</f>
        <v>21.590909090909093</v>
      </c>
      <c r="L52" s="2">
        <v>0</v>
      </c>
      <c r="M52" s="2">
        <v>0</v>
      </c>
      <c r="N52" s="2">
        <f>100/8</f>
        <v>12.5</v>
      </c>
      <c r="O52" s="2">
        <f>100/11</f>
        <v>9.0909090909090917</v>
      </c>
      <c r="P52" s="2">
        <f>100/2.8</f>
        <v>35.714285714285715</v>
      </c>
      <c r="R52" s="2">
        <f>(76-((U52*0.1)+(V52*0.5)+(W52*0.35)+(X52*0.15)))/3</f>
        <v>-1.5150000000000006</v>
      </c>
      <c r="S52">
        <f>AA52+AB52+AC52+AD52</f>
        <v>-0.25</v>
      </c>
      <c r="U52">
        <f>VLOOKUP(AE52,'pff grades'!$A$2:$J$135,9,FALSE)</f>
        <v>71.599999999999994</v>
      </c>
      <c r="V52">
        <f>VLOOKUP(AE52,'pff grades'!$A$2:$M$135,12,FALSE)</f>
        <v>73.099999999999994</v>
      </c>
      <c r="W52">
        <f>VLOOKUP(AE52,'pff grades'!$A$2:$M$135,10,FALSE)</f>
        <v>69.5</v>
      </c>
      <c r="X52">
        <f>VLOOKUP(AE52,'pff grades'!$A$2:$M$135,11,FALSE)</f>
        <v>83.4</v>
      </c>
      <c r="Z52">
        <v>25.5</v>
      </c>
      <c r="AA52">
        <v>-0.25</v>
      </c>
      <c r="AB52">
        <v>-0.25</v>
      </c>
      <c r="AC52">
        <v>0</v>
      </c>
      <c r="AD52">
        <v>0.25</v>
      </c>
      <c r="AE52" t="s">
        <v>338</v>
      </c>
    </row>
    <row r="53" spans="1:31" x14ac:dyDescent="0.25">
      <c r="A53" s="6" t="s">
        <v>210</v>
      </c>
      <c r="B53" s="6" t="s">
        <v>50</v>
      </c>
      <c r="C53" s="6"/>
      <c r="D53" s="6" t="s">
        <v>21</v>
      </c>
      <c r="E53" s="6" t="s">
        <v>408</v>
      </c>
      <c r="F53" s="6"/>
      <c r="G53" s="6"/>
      <c r="H53" s="2">
        <f>I53+J53</f>
        <v>19.643974358974361</v>
      </c>
      <c r="I53" s="2">
        <f>R53+S53</f>
        <v>3.6183333333333345</v>
      </c>
      <c r="J53" s="2">
        <f>L53+M53+N53+O53</f>
        <v>16.025641025641026</v>
      </c>
      <c r="L53" s="2">
        <v>0</v>
      </c>
      <c r="M53" s="2">
        <v>0</v>
      </c>
      <c r="N53" s="2">
        <f>100/13</f>
        <v>7.6923076923076925</v>
      </c>
      <c r="O53" s="2">
        <f>100/12</f>
        <v>8.3333333333333339</v>
      </c>
      <c r="P53" s="2">
        <f>100/2.74</f>
        <v>36.496350364963497</v>
      </c>
      <c r="R53" s="2">
        <f>(76-((U53*0.2)+(V53*0.3)+(W53*0.25)+(X53*0.25)))/3</f>
        <v>3.3683333333333345</v>
      </c>
      <c r="S53">
        <f>AA53+AB53+AC53+AD53</f>
        <v>0.25</v>
      </c>
      <c r="U53">
        <f>VLOOKUP(AE53,'pff grades'!$A$2:$J$135,9,FALSE)</f>
        <v>78.900000000000006</v>
      </c>
      <c r="V53">
        <f>VLOOKUP(AE53,'pff grades'!$A$2:$M$135,12,FALSE)</f>
        <v>57.3</v>
      </c>
      <c r="W53">
        <f>VLOOKUP(AE53,'pff grades'!$A$2:$M$135,10,FALSE)</f>
        <v>67.2</v>
      </c>
      <c r="X53">
        <f>VLOOKUP(AE53,'pff grades'!$A$2:$M$135,11,FALSE)</f>
        <v>64.5</v>
      </c>
      <c r="Z53">
        <v>29.5</v>
      </c>
      <c r="AA53">
        <v>0.25</v>
      </c>
      <c r="AB53">
        <v>0</v>
      </c>
      <c r="AC53">
        <v>0</v>
      </c>
      <c r="AD53">
        <v>0</v>
      </c>
      <c r="AE53" t="s">
        <v>293</v>
      </c>
    </row>
    <row r="54" spans="1:31" x14ac:dyDescent="0.25">
      <c r="A54" s="6" t="s">
        <v>49</v>
      </c>
      <c r="B54" s="6" t="s">
        <v>50</v>
      </c>
      <c r="C54" s="6">
        <v>24.3</v>
      </c>
      <c r="D54" s="6" t="s">
        <v>21</v>
      </c>
      <c r="E54" s="6" t="s">
        <v>338</v>
      </c>
      <c r="F54" s="6">
        <v>10.7</v>
      </c>
      <c r="G54" s="6"/>
      <c r="H54" s="2">
        <f>I54+J54</f>
        <v>18.70488344988345</v>
      </c>
      <c r="I54" s="2">
        <f>R54+S54</f>
        <v>1.9216666666666669</v>
      </c>
      <c r="J54" s="2">
        <f>L54+M54+N54+O54</f>
        <v>16.783216783216783</v>
      </c>
      <c r="L54" s="2">
        <v>0</v>
      </c>
      <c r="M54" s="2">
        <v>0</v>
      </c>
      <c r="N54" s="2">
        <f>100/13</f>
        <v>7.6923076923076925</v>
      </c>
      <c r="O54" s="2">
        <f>100/11</f>
        <v>9.0909090909090917</v>
      </c>
      <c r="P54" s="2">
        <f>100/2.6</f>
        <v>38.46153846153846</v>
      </c>
      <c r="R54" s="2">
        <f>(76-((U54*0.2)+(V54*0.3)+(W54*0.25)+(X54*0.25)))/3</f>
        <v>2.4216666666666669</v>
      </c>
      <c r="S54">
        <f>AA54+AB54+AC54+AD54</f>
        <v>-0.5</v>
      </c>
      <c r="U54">
        <f>VLOOKUP(AE54,'pff grades'!$A$2:$J$135,9,FALSE)</f>
        <v>87.1</v>
      </c>
      <c r="V54">
        <f>VLOOKUP(AE54,'pff grades'!$A$2:$M$135,12,FALSE)</f>
        <v>65.3</v>
      </c>
      <c r="W54">
        <f>VLOOKUP(AE54,'pff grades'!$A$2:$M$135,10,FALSE)</f>
        <v>60.9</v>
      </c>
      <c r="X54">
        <f>VLOOKUP(AE54,'pff grades'!$A$2:$M$135,11,FALSE)</f>
        <v>66</v>
      </c>
      <c r="Z54">
        <v>30.5</v>
      </c>
      <c r="AA54">
        <v>-0.5</v>
      </c>
      <c r="AB54">
        <v>0</v>
      </c>
      <c r="AC54">
        <v>0</v>
      </c>
      <c r="AD54">
        <v>0</v>
      </c>
      <c r="AE54" t="s">
        <v>311</v>
      </c>
    </row>
    <row r="55" spans="1:31" x14ac:dyDescent="0.25">
      <c r="A55" s="5" t="s">
        <v>180</v>
      </c>
      <c r="B55" s="5" t="s">
        <v>168</v>
      </c>
      <c r="C55" s="5"/>
      <c r="D55" s="5" t="s">
        <v>2</v>
      </c>
      <c r="E55" s="5" t="s">
        <v>377</v>
      </c>
      <c r="F55" s="5">
        <v>7.2</v>
      </c>
      <c r="G55" s="5"/>
      <c r="H55" s="2">
        <f>I55+J55</f>
        <v>18.683333333333334</v>
      </c>
      <c r="I55" s="2">
        <f>R55+S55</f>
        <v>-1.3166666666666678</v>
      </c>
      <c r="J55" s="2">
        <f>L55+M55+N55+O55</f>
        <v>20</v>
      </c>
      <c r="L55" s="2">
        <v>0</v>
      </c>
      <c r="M55" s="2">
        <v>0</v>
      </c>
      <c r="N55" s="2">
        <v>0</v>
      </c>
      <c r="O55" s="2">
        <f>100/5</f>
        <v>20</v>
      </c>
      <c r="P55" s="2">
        <v>57.4</v>
      </c>
      <c r="R55" s="2">
        <f>(76-((U55*0.4)+(V55*0.1)+(W55*0.25)+(X55*0.25)))/3</f>
        <v>-2.0666666666666678</v>
      </c>
      <c r="S55">
        <f>AA55+AB55+AC55+AD55</f>
        <v>0.75</v>
      </c>
      <c r="U55">
        <f>VLOOKUP(AE55,'pff grades'!$A$2:$J$135,9,FALSE)</f>
        <v>90.7</v>
      </c>
      <c r="V55">
        <f>VLOOKUP(AE55,'pff grades'!$A$2:$M$135,12,FALSE)</f>
        <v>84.7</v>
      </c>
      <c r="W55">
        <f>VLOOKUP(AE55,'pff grades'!$A$2:$M$135,10,FALSE)</f>
        <v>81.3</v>
      </c>
      <c r="X55">
        <f>VLOOKUP(AE55,'pff grades'!$A$2:$M$135,11,FALSE)</f>
        <v>68.5</v>
      </c>
      <c r="Z55">
        <v>36.5</v>
      </c>
      <c r="AA55">
        <v>0.5</v>
      </c>
      <c r="AB55">
        <v>0</v>
      </c>
      <c r="AC55">
        <v>0</v>
      </c>
      <c r="AD55">
        <v>0.25</v>
      </c>
      <c r="AE55" t="s">
        <v>295</v>
      </c>
    </row>
    <row r="56" spans="1:31" x14ac:dyDescent="0.25">
      <c r="A56" s="7" t="s">
        <v>125</v>
      </c>
      <c r="B56" s="7" t="s">
        <v>135</v>
      </c>
      <c r="C56" s="7"/>
      <c r="D56" s="7" t="s">
        <v>7</v>
      </c>
      <c r="E56" s="7" t="s">
        <v>408</v>
      </c>
      <c r="F56" s="7"/>
      <c r="G56" s="7"/>
      <c r="H56" s="2">
        <f>I56+J56</f>
        <v>18.097970521541949</v>
      </c>
      <c r="I56" s="2">
        <f>R56+S56</f>
        <v>2.3383333333333334</v>
      </c>
      <c r="J56" s="2">
        <f>L56+M56+N56+O56</f>
        <v>15.759637188208616</v>
      </c>
      <c r="L56" s="2">
        <v>0</v>
      </c>
      <c r="M56" s="2">
        <v>0</v>
      </c>
      <c r="N56" s="2">
        <f>100/9.8</f>
        <v>10.204081632653061</v>
      </c>
      <c r="O56" s="2">
        <f>100/18</f>
        <v>5.5555555555555554</v>
      </c>
      <c r="P56" s="2">
        <f>100/2.97</f>
        <v>33.670033670033668</v>
      </c>
      <c r="R56" s="2">
        <f>(76-((U56*0.1)+(V56*0.5)+(W56*0.35)+(X56*0.15)))/3</f>
        <v>2.0883333333333334</v>
      </c>
      <c r="S56">
        <f>AA56+AB56+AC56+AD56</f>
        <v>0.25</v>
      </c>
      <c r="U56">
        <f>VLOOKUP(AE56,'pff grades'!$A$2:$J$135,9,FALSE)</f>
        <v>78.900000000000006</v>
      </c>
      <c r="V56">
        <f>VLOOKUP(AE56,'pff grades'!$A$2:$M$135,12,FALSE)</f>
        <v>57.3</v>
      </c>
      <c r="W56">
        <f>VLOOKUP(AE56,'pff grades'!$A$2:$M$135,10,FALSE)</f>
        <v>67.2</v>
      </c>
      <c r="X56">
        <f>VLOOKUP(AE56,'pff grades'!$A$2:$M$135,11,FALSE)</f>
        <v>64.5</v>
      </c>
      <c r="Z56">
        <v>29.5</v>
      </c>
      <c r="AA56">
        <v>0.25</v>
      </c>
      <c r="AB56">
        <v>0</v>
      </c>
      <c r="AC56">
        <v>0</v>
      </c>
      <c r="AD56">
        <v>0</v>
      </c>
      <c r="AE56" t="s">
        <v>293</v>
      </c>
    </row>
    <row r="57" spans="1:31" x14ac:dyDescent="0.25">
      <c r="A57" s="7" t="s">
        <v>94</v>
      </c>
      <c r="B57" s="7" t="s">
        <v>95</v>
      </c>
      <c r="C57" s="7">
        <v>35.6</v>
      </c>
      <c r="D57" s="7" t="s">
        <v>7</v>
      </c>
      <c r="E57" s="7" t="s">
        <v>397</v>
      </c>
      <c r="F57" s="7">
        <v>8.6999999999999993</v>
      </c>
      <c r="G57" s="7"/>
      <c r="H57" s="2">
        <f>I57+J57</f>
        <v>17.537948717948716</v>
      </c>
      <c r="I57" s="2">
        <f>R57+S57</f>
        <v>-4.0966666666666693</v>
      </c>
      <c r="J57" s="2">
        <f>L57+M57+N57+O57</f>
        <v>21.634615384615387</v>
      </c>
      <c r="L57" s="2">
        <v>0</v>
      </c>
      <c r="M57" s="2">
        <v>0</v>
      </c>
      <c r="N57" s="2">
        <f>100/6.5</f>
        <v>15.384615384615385</v>
      </c>
      <c r="O57" s="2">
        <f>100/16</f>
        <v>6.25</v>
      </c>
      <c r="P57" s="2">
        <f>100/2.71</f>
        <v>36.900369003690038</v>
      </c>
      <c r="R57" s="2">
        <f>(76-((U57*0.1)+(V57*0.5)+(W57*0.35)+(X57*0.15)))/3</f>
        <v>-3.8466666666666689</v>
      </c>
      <c r="S57">
        <f>AA57+AB57+AC57+AD57</f>
        <v>-0.25</v>
      </c>
      <c r="U57">
        <f>VLOOKUP(AE57,'pff grades'!$A$2:$J$135,9,FALSE)</f>
        <v>79.599999999999994</v>
      </c>
      <c r="V57">
        <f>VLOOKUP(AE57,'pff grades'!$A$2:$M$135,12,FALSE)</f>
        <v>80.2</v>
      </c>
      <c r="W57">
        <f>VLOOKUP(AE57,'pff grades'!$A$2:$M$135,10,FALSE)</f>
        <v>78.900000000000006</v>
      </c>
      <c r="X57">
        <f>VLOOKUP(AE57,'pff grades'!$A$2:$M$135,11,FALSE)</f>
        <v>79.099999999999994</v>
      </c>
      <c r="Z57">
        <v>29.5</v>
      </c>
      <c r="AA57">
        <v>0</v>
      </c>
      <c r="AB57">
        <v>-0.25</v>
      </c>
      <c r="AC57">
        <v>0</v>
      </c>
      <c r="AD57">
        <v>0</v>
      </c>
      <c r="AE57" t="s">
        <v>352</v>
      </c>
    </row>
    <row r="58" spans="1:31" x14ac:dyDescent="0.25">
      <c r="A58" s="4" t="s">
        <v>204</v>
      </c>
      <c r="B58" s="4" t="s">
        <v>205</v>
      </c>
      <c r="C58" s="4"/>
      <c r="D58" s="4" t="s">
        <v>10</v>
      </c>
      <c r="E58" s="4" t="s">
        <v>369</v>
      </c>
      <c r="F58" s="4">
        <v>6.4</v>
      </c>
      <c r="G58" s="4"/>
      <c r="H58" s="2">
        <f>I58+J58</f>
        <v>16.99298245614035</v>
      </c>
      <c r="I58" s="2">
        <f>R58+S58</f>
        <v>6.4666666666666659</v>
      </c>
      <c r="J58" s="2">
        <f>L58+M58+N58+O58</f>
        <v>10.526315789473685</v>
      </c>
      <c r="L58" s="2">
        <v>0</v>
      </c>
      <c r="M58" s="2">
        <v>0</v>
      </c>
      <c r="N58" s="2">
        <v>0</v>
      </c>
      <c r="O58" s="2">
        <f>100/9.5</f>
        <v>10.526315789473685</v>
      </c>
      <c r="P58" s="2">
        <f>100/2.05</f>
        <v>48.780487804878049</v>
      </c>
      <c r="R58" s="2">
        <f>(76-((U58*0.1)+(V58*0.5)+(W58*0.1)+(X58*0.3)))/3</f>
        <v>6.2166666666666659</v>
      </c>
      <c r="S58">
        <f>AA58+AB58+AC58+AD58</f>
        <v>0.25</v>
      </c>
      <c r="U58">
        <f>VLOOKUP(AE58,'pff grades'!$A$2:$J$135,9,FALSE)</f>
        <v>70.2</v>
      </c>
      <c r="V58">
        <f>VLOOKUP(AE58,'pff grades'!$A$2:$M$135,12,FALSE)</f>
        <v>51</v>
      </c>
      <c r="W58">
        <f>VLOOKUP(AE58,'pff grades'!$A$2:$M$135,10,FALSE)</f>
        <v>56</v>
      </c>
      <c r="X58">
        <f>VLOOKUP(AE58,'pff grades'!$A$2:$M$135,11,FALSE)</f>
        <v>64.099999999999994</v>
      </c>
      <c r="Z58">
        <v>39.5</v>
      </c>
      <c r="AA58">
        <v>0.25</v>
      </c>
      <c r="AB58">
        <v>-0.25</v>
      </c>
      <c r="AC58">
        <v>0</v>
      </c>
      <c r="AD58">
        <v>0.25</v>
      </c>
      <c r="AE58" t="s">
        <v>371</v>
      </c>
    </row>
    <row r="59" spans="1:31" x14ac:dyDescent="0.25">
      <c r="A59" s="5" t="s">
        <v>138</v>
      </c>
      <c r="B59" s="5" t="s">
        <v>139</v>
      </c>
      <c r="C59" s="5"/>
      <c r="D59" s="5" t="s">
        <v>2</v>
      </c>
      <c r="E59" s="5" t="s">
        <v>361</v>
      </c>
      <c r="F59" s="5">
        <v>10.3</v>
      </c>
      <c r="G59" s="5"/>
      <c r="H59" s="2">
        <f>I59+J59</f>
        <v>16.957380952380952</v>
      </c>
      <c r="I59" s="2">
        <f>R59+S59</f>
        <v>2.6716666666666669</v>
      </c>
      <c r="J59" s="2">
        <f>L59+M59+N59+O59</f>
        <v>14.285714285714286</v>
      </c>
      <c r="L59" s="2">
        <v>0</v>
      </c>
      <c r="M59" s="2">
        <v>0</v>
      </c>
      <c r="N59" s="2">
        <v>0</v>
      </c>
      <c r="O59" s="2">
        <f>100/7</f>
        <v>14.285714285714286</v>
      </c>
      <c r="P59" s="2">
        <f>100/2.04</f>
        <v>49.019607843137251</v>
      </c>
      <c r="R59" s="2">
        <f>(76-((U59*0.4)+(V59*0.1)+(W59*0.25)+(X59*0.25)))/3</f>
        <v>2.4216666666666669</v>
      </c>
      <c r="S59">
        <f>AA59+AB59+AC59+AD59</f>
        <v>0.25</v>
      </c>
      <c r="U59">
        <f>VLOOKUP(AE59,'pff grades'!$A$2:$J$135,9,FALSE)</f>
        <v>71.900000000000006</v>
      </c>
      <c r="V59">
        <f>VLOOKUP(AE59,'pff grades'!$A$2:$M$135,12,FALSE)</f>
        <v>75</v>
      </c>
      <c r="W59">
        <f>VLOOKUP(AE59,'pff grades'!$A$2:$M$135,10,FALSE)</f>
        <v>64.099999999999994</v>
      </c>
      <c r="X59">
        <f>VLOOKUP(AE59,'pff grades'!$A$2:$M$135,11,FALSE)</f>
        <v>65.8</v>
      </c>
      <c r="Z59">
        <v>36.5</v>
      </c>
      <c r="AA59">
        <v>0.25</v>
      </c>
      <c r="AB59">
        <v>-0.25</v>
      </c>
      <c r="AC59">
        <v>0</v>
      </c>
      <c r="AD59">
        <v>0.25</v>
      </c>
      <c r="AE59" t="s">
        <v>404</v>
      </c>
    </row>
    <row r="60" spans="1:31" x14ac:dyDescent="0.25">
      <c r="A60" s="5" t="s">
        <v>233</v>
      </c>
      <c r="B60" s="5" t="s">
        <v>234</v>
      </c>
      <c r="C60" s="5"/>
      <c r="D60" s="5" t="s">
        <v>2</v>
      </c>
      <c r="E60" s="5" t="s">
        <v>386</v>
      </c>
      <c r="F60" s="5">
        <v>5.2</v>
      </c>
      <c r="G60" s="5"/>
      <c r="H60" s="2">
        <f>I60+J60</f>
        <v>16.788333333333338</v>
      </c>
      <c r="I60" s="2">
        <f>R60+S60</f>
        <v>0.1216666666666697</v>
      </c>
      <c r="J60" s="2">
        <f>L60+M60+N60+O60</f>
        <v>16.666666666666668</v>
      </c>
      <c r="L60" s="2">
        <v>0</v>
      </c>
      <c r="M60" s="2">
        <v>0</v>
      </c>
      <c r="N60" s="2">
        <v>0</v>
      </c>
      <c r="O60" s="2">
        <f>100/6</f>
        <v>16.666666666666668</v>
      </c>
      <c r="P60" s="2">
        <v>53.5</v>
      </c>
      <c r="R60" s="2">
        <f>(76-((U60*0.4)+(V60*0.1)+(W60*0.25)+(X60*0.25)))/3</f>
        <v>-0.3783333333333303</v>
      </c>
      <c r="S60">
        <f>AA60+AB60+AC60+AD60</f>
        <v>0.5</v>
      </c>
      <c r="U60">
        <f>VLOOKUP(AE60,'pff grades'!$A$2:$J$135,9,FALSE)</f>
        <v>91.7</v>
      </c>
      <c r="V60">
        <f>VLOOKUP(AE60,'pff grades'!$A$2:$M$135,12,FALSE)</f>
        <v>47.3</v>
      </c>
      <c r="W60">
        <f>VLOOKUP(AE60,'pff grades'!$A$2:$M$135,10,FALSE)</f>
        <v>71.3</v>
      </c>
      <c r="X60">
        <f>VLOOKUP(AE60,'pff grades'!$A$2:$M$135,11,FALSE)</f>
        <v>71.599999999999994</v>
      </c>
      <c r="Z60">
        <v>35.5</v>
      </c>
      <c r="AA60">
        <v>0.25</v>
      </c>
      <c r="AB60">
        <v>0</v>
      </c>
      <c r="AC60">
        <v>0</v>
      </c>
      <c r="AD60">
        <v>0.25</v>
      </c>
      <c r="AE60" t="s">
        <v>288</v>
      </c>
    </row>
    <row r="61" spans="1:31" x14ac:dyDescent="0.25">
      <c r="A61" s="5" t="s">
        <v>230</v>
      </c>
      <c r="B61" s="5" t="s">
        <v>168</v>
      </c>
      <c r="C61" s="5"/>
      <c r="D61" s="5" t="s">
        <v>2</v>
      </c>
      <c r="E61" s="5" t="s">
        <v>352</v>
      </c>
      <c r="F61" s="5">
        <v>5.5</v>
      </c>
      <c r="G61" s="5"/>
      <c r="H61" s="2">
        <f>I61+J61</f>
        <v>16.773333333333333</v>
      </c>
      <c r="I61" s="2">
        <f>R61+S61</f>
        <v>0.10666666666666441</v>
      </c>
      <c r="J61" s="2">
        <f>L61+M61+N61+O61</f>
        <v>16.666666666666668</v>
      </c>
      <c r="L61" s="2">
        <v>0</v>
      </c>
      <c r="M61" s="2">
        <v>0</v>
      </c>
      <c r="N61" s="2">
        <v>0</v>
      </c>
      <c r="O61" s="2">
        <f>100/6</f>
        <v>16.666666666666668</v>
      </c>
      <c r="P61" s="2">
        <v>52.4</v>
      </c>
      <c r="R61" s="2">
        <f>(76-((U61*0.4)+(V61*0.1)+(W61*0.25)+(X61*0.25)))/3</f>
        <v>0.35666666666666441</v>
      </c>
      <c r="S61">
        <f>AA61+AB61+AC61+AD61</f>
        <v>-0.25</v>
      </c>
      <c r="U61">
        <f>VLOOKUP(AE61,'pff grades'!$A$2:$J$135,9,FALSE)</f>
        <v>74.2</v>
      </c>
      <c r="V61">
        <f>VLOOKUP(AE61,'pff grades'!$A$2:$M$135,12,FALSE)</f>
        <v>78</v>
      </c>
      <c r="W61">
        <f>VLOOKUP(AE61,'pff grades'!$A$2:$M$135,10,FALSE)</f>
        <v>80.8</v>
      </c>
      <c r="X61">
        <f>VLOOKUP(AE61,'pff grades'!$A$2:$M$135,11,FALSE)</f>
        <v>69</v>
      </c>
      <c r="Z61">
        <v>20.5</v>
      </c>
      <c r="AA61">
        <v>0.25</v>
      </c>
      <c r="AB61">
        <v>-0.25</v>
      </c>
      <c r="AC61">
        <v>-0.5</v>
      </c>
      <c r="AD61">
        <v>0.25</v>
      </c>
      <c r="AE61" t="s">
        <v>397</v>
      </c>
    </row>
    <row r="62" spans="1:31" x14ac:dyDescent="0.25">
      <c r="A62" s="7" t="s">
        <v>161</v>
      </c>
      <c r="B62" s="7" t="s">
        <v>162</v>
      </c>
      <c r="C62" s="7"/>
      <c r="D62" s="7" t="s">
        <v>7</v>
      </c>
      <c r="E62" s="7" t="s">
        <v>361</v>
      </c>
      <c r="F62" s="7">
        <v>8.3000000000000007</v>
      </c>
      <c r="G62" s="7"/>
      <c r="H62" s="2">
        <f>I62+J62</f>
        <v>16.701550116550116</v>
      </c>
      <c r="I62" s="2">
        <f>R62+S62</f>
        <v>-8.1666666666668164E-2</v>
      </c>
      <c r="J62" s="2">
        <f>L62+M62+N62+O62</f>
        <v>16.783216783216783</v>
      </c>
      <c r="L62" s="2">
        <v>0</v>
      </c>
      <c r="M62" s="2">
        <v>0</v>
      </c>
      <c r="N62" s="2">
        <f>100/11</f>
        <v>9.0909090909090917</v>
      </c>
      <c r="O62" s="2">
        <f>100/13</f>
        <v>7.6923076923076925</v>
      </c>
      <c r="P62" s="2">
        <f>100/2.75</f>
        <v>36.363636363636367</v>
      </c>
      <c r="R62" s="2">
        <f>(76-((U62*0.1)+(V62*0.5)+(W62*0.35)+(X62*0.15)))/3</f>
        <v>-0.33166666666666816</v>
      </c>
      <c r="S62">
        <f>AA62+AB62+AC62+AD62</f>
        <v>0.25</v>
      </c>
      <c r="U62">
        <f>VLOOKUP(AE62,'pff grades'!$A$2:$J$135,9,FALSE)</f>
        <v>71.900000000000006</v>
      </c>
      <c r="V62">
        <f>VLOOKUP(AE62,'pff grades'!$A$2:$M$135,12,FALSE)</f>
        <v>75</v>
      </c>
      <c r="W62">
        <f>VLOOKUP(AE62,'pff grades'!$A$2:$M$135,10,FALSE)</f>
        <v>64.099999999999994</v>
      </c>
      <c r="X62">
        <f>VLOOKUP(AE62,'pff grades'!$A$2:$M$135,11,FALSE)</f>
        <v>65.8</v>
      </c>
      <c r="Z62">
        <v>36.5</v>
      </c>
      <c r="AA62">
        <v>0.25</v>
      </c>
      <c r="AB62">
        <v>-0.25</v>
      </c>
      <c r="AC62">
        <v>0</v>
      </c>
      <c r="AD62">
        <v>0.25</v>
      </c>
      <c r="AE62" t="s">
        <v>404</v>
      </c>
    </row>
    <row r="63" spans="1:31" x14ac:dyDescent="0.25">
      <c r="A63" s="6" t="s">
        <v>92</v>
      </c>
      <c r="B63" s="6" t="s">
        <v>93</v>
      </c>
      <c r="C63" s="6">
        <v>35.4</v>
      </c>
      <c r="D63" s="6" t="s">
        <v>21</v>
      </c>
      <c r="E63" s="6" t="s">
        <v>337</v>
      </c>
      <c r="F63" s="6">
        <v>5.8</v>
      </c>
      <c r="G63" s="6"/>
      <c r="H63" s="2">
        <f>I63+J63</f>
        <v>16.483043478260871</v>
      </c>
      <c r="I63" s="2">
        <f>R63+S63</f>
        <v>2.5700000000000025</v>
      </c>
      <c r="J63" s="2">
        <f>L63+M63+N63+O63</f>
        <v>13.913043478260869</v>
      </c>
      <c r="L63" s="2">
        <v>0</v>
      </c>
      <c r="M63" s="2">
        <v>0</v>
      </c>
      <c r="N63" s="2">
        <f>100/13.8</f>
        <v>7.2463768115942022</v>
      </c>
      <c r="O63" s="2">
        <f>100/15</f>
        <v>6.666666666666667</v>
      </c>
      <c r="P63" s="2">
        <f>100/2.75</f>
        <v>36.363636363636367</v>
      </c>
      <c r="R63" s="2">
        <f>(76-((U63*0.2)+(V63*0.3)+(W63*0.25)+(X63*0.25)))/3</f>
        <v>2.8200000000000025</v>
      </c>
      <c r="S63">
        <f>AA63+AB63+AC63+AD63</f>
        <v>-0.25</v>
      </c>
      <c r="U63">
        <f>VLOOKUP(AE63,'pff grades'!$A$2:$J$135,9,FALSE)</f>
        <v>70.5</v>
      </c>
      <c r="V63">
        <f>VLOOKUP(AE63,'pff grades'!$A$2:$M$135,12,FALSE)</f>
        <v>64.3</v>
      </c>
      <c r="W63">
        <f>VLOOKUP(AE63,'pff grades'!$A$2:$M$135,10,FALSE)</f>
        <v>64.2</v>
      </c>
      <c r="X63">
        <f>VLOOKUP(AE63,'pff grades'!$A$2:$M$135,11,FALSE)</f>
        <v>72.400000000000006</v>
      </c>
      <c r="Z63">
        <v>38.5</v>
      </c>
      <c r="AA63">
        <v>0.5</v>
      </c>
      <c r="AB63">
        <v>0</v>
      </c>
      <c r="AC63">
        <v>-1</v>
      </c>
      <c r="AD63">
        <v>0.25</v>
      </c>
      <c r="AE63" t="s">
        <v>381</v>
      </c>
    </row>
    <row r="64" spans="1:31" x14ac:dyDescent="0.25">
      <c r="A64" s="6" t="s">
        <v>56</v>
      </c>
      <c r="B64" s="6" t="s">
        <v>57</v>
      </c>
      <c r="C64" s="6">
        <v>30.7</v>
      </c>
      <c r="D64" s="6" t="s">
        <v>21</v>
      </c>
      <c r="E64" s="6" t="s">
        <v>303</v>
      </c>
      <c r="F64" s="6">
        <v>9</v>
      </c>
      <c r="G64" s="6"/>
      <c r="H64" s="2">
        <f>I64+J64</f>
        <v>16.195641025641027</v>
      </c>
      <c r="I64" s="2">
        <f>R64+S64</f>
        <v>-1.496666666666665</v>
      </c>
      <c r="J64" s="2">
        <f>L64+M64+N64+O64</f>
        <v>17.692307692307693</v>
      </c>
      <c r="L64" s="2">
        <v>0</v>
      </c>
      <c r="M64" s="2">
        <v>0</v>
      </c>
      <c r="N64" s="2">
        <f>100/13</f>
        <v>7.6923076923076925</v>
      </c>
      <c r="O64" s="2">
        <f>100/10</f>
        <v>10</v>
      </c>
      <c r="P64" s="2">
        <f>100/2.2</f>
        <v>45.454545454545453</v>
      </c>
      <c r="R64" s="2">
        <f>(76-((U64*0.2)+(V64*0.3)+(W64*0.25)+(X64*0.25)))/3</f>
        <v>-1.746666666666665</v>
      </c>
      <c r="S64">
        <f>AA64+AB64+AC64+AD64</f>
        <v>0.25</v>
      </c>
      <c r="U64">
        <f>VLOOKUP(AE64,'pff grades'!$A$2:$J$135,9,FALSE)</f>
        <v>85.5</v>
      </c>
      <c r="V64">
        <f>VLOOKUP(AE64,'pff grades'!$A$2:$M$135,12,FALSE)</f>
        <v>83.8</v>
      </c>
      <c r="W64">
        <f>VLOOKUP(AE64,'pff grades'!$A$2:$M$135,10,FALSE)</f>
        <v>81.900000000000006</v>
      </c>
      <c r="X64">
        <f>VLOOKUP(AE64,'pff grades'!$A$2:$M$135,11,FALSE)</f>
        <v>74.099999999999994</v>
      </c>
      <c r="Z64">
        <v>31.5</v>
      </c>
      <c r="AA64">
        <v>0</v>
      </c>
      <c r="AB64">
        <v>0</v>
      </c>
      <c r="AC64">
        <v>0</v>
      </c>
      <c r="AD64">
        <v>0.25</v>
      </c>
      <c r="AE64" t="s">
        <v>370</v>
      </c>
    </row>
    <row r="65" spans="1:31" x14ac:dyDescent="0.25">
      <c r="A65" s="7" t="s">
        <v>147</v>
      </c>
      <c r="B65" s="7" t="s">
        <v>148</v>
      </c>
      <c r="C65" s="7"/>
      <c r="D65" s="7" t="s">
        <v>7</v>
      </c>
      <c r="E65" s="7" t="s">
        <v>361</v>
      </c>
      <c r="F65" s="7">
        <v>8.9</v>
      </c>
      <c r="G65" s="7"/>
      <c r="H65" s="2">
        <f>I65+J65</f>
        <v>15.707807017543859</v>
      </c>
      <c r="I65" s="2">
        <f>R65+S65</f>
        <v>-8.1666666666668164E-2</v>
      </c>
      <c r="J65" s="2">
        <f>L65+M65+N65+O65</f>
        <v>15.789473684210527</v>
      </c>
      <c r="L65" s="2">
        <v>0</v>
      </c>
      <c r="M65" s="2">
        <v>0</v>
      </c>
      <c r="N65" s="2">
        <f>100/9.5</f>
        <v>10.526315789473685</v>
      </c>
      <c r="O65" s="2">
        <f>100/19</f>
        <v>5.2631578947368425</v>
      </c>
      <c r="P65" s="2">
        <f>100/3.3</f>
        <v>30.303030303030305</v>
      </c>
      <c r="R65" s="2">
        <f>(76-((U65*0.1)+(V65*0.5)+(W65*0.35)+(X65*0.15)))/3</f>
        <v>-0.33166666666666816</v>
      </c>
      <c r="S65">
        <f>AA65+AB65+AC65+AD65</f>
        <v>0.25</v>
      </c>
      <c r="U65">
        <f>VLOOKUP(AE65,'pff grades'!$A$2:$J$135,9,FALSE)</f>
        <v>71.900000000000006</v>
      </c>
      <c r="V65">
        <f>VLOOKUP(AE65,'pff grades'!$A$2:$M$135,12,FALSE)</f>
        <v>75</v>
      </c>
      <c r="W65">
        <f>VLOOKUP(AE65,'pff grades'!$A$2:$M$135,10,FALSE)</f>
        <v>64.099999999999994</v>
      </c>
      <c r="X65">
        <f>VLOOKUP(AE65,'pff grades'!$A$2:$M$135,11,FALSE)</f>
        <v>65.8</v>
      </c>
      <c r="Z65">
        <v>36.5</v>
      </c>
      <c r="AA65">
        <v>0.25</v>
      </c>
      <c r="AB65">
        <v>-0.25</v>
      </c>
      <c r="AC65">
        <v>0</v>
      </c>
      <c r="AD65">
        <v>0.25</v>
      </c>
      <c r="AE65" t="s">
        <v>404</v>
      </c>
    </row>
    <row r="66" spans="1:31" x14ac:dyDescent="0.25">
      <c r="A66" s="7" t="s">
        <v>44</v>
      </c>
      <c r="B66" s="7" t="s">
        <v>45</v>
      </c>
      <c r="C66" s="7">
        <v>21.9</v>
      </c>
      <c r="D66" s="7" t="s">
        <v>7</v>
      </c>
      <c r="E66" s="7" t="s">
        <v>382</v>
      </c>
      <c r="F66" s="7">
        <v>12.8</v>
      </c>
      <c r="G66" s="7"/>
      <c r="H66" s="2">
        <f>I66+J66</f>
        <v>15.50982993197279</v>
      </c>
      <c r="I66" s="2">
        <f>R66+S66</f>
        <v>-4.8983333333333317</v>
      </c>
      <c r="J66" s="2">
        <f>L66+M66+N66+O66</f>
        <v>20.408163265306122</v>
      </c>
      <c r="L66" s="2">
        <v>0</v>
      </c>
      <c r="M66" s="2">
        <v>0</v>
      </c>
      <c r="N66" s="2">
        <f>100/4.9</f>
        <v>20.408163265306122</v>
      </c>
      <c r="O66" s="2">
        <v>0</v>
      </c>
      <c r="P66" s="2">
        <f>100/2.4</f>
        <v>41.666666666666671</v>
      </c>
      <c r="R66" s="2">
        <f>(76-((U66*0.1)+(V66*0.5)+(W66*0.35)+(X66*0.15)))/3</f>
        <v>-3.8983333333333312</v>
      </c>
      <c r="S66">
        <f>AA66+AB66+AC66+AD66</f>
        <v>-1</v>
      </c>
      <c r="U66">
        <f>VLOOKUP(AE66,'pff grades'!$A$2:$J$135,9,FALSE)</f>
        <v>79.599999999999994</v>
      </c>
      <c r="V66">
        <f>VLOOKUP(AE66,'pff grades'!$A$2:$M$135,12,FALSE)</f>
        <v>88.1</v>
      </c>
      <c r="W66">
        <f>VLOOKUP(AE66,'pff grades'!$A$2:$M$135,10,FALSE)</f>
        <v>71.099999999999994</v>
      </c>
      <c r="X66">
        <f>VLOOKUP(AE66,'pff grades'!$A$2:$M$135,11,FALSE)</f>
        <v>72</v>
      </c>
      <c r="Z66">
        <v>24.5</v>
      </c>
      <c r="AA66">
        <v>0</v>
      </c>
      <c r="AB66">
        <v>0</v>
      </c>
      <c r="AC66">
        <v>-1</v>
      </c>
      <c r="AD66">
        <v>0</v>
      </c>
      <c r="AE66" t="s">
        <v>299</v>
      </c>
    </row>
    <row r="67" spans="1:31" x14ac:dyDescent="0.25">
      <c r="A67" s="7" t="s">
        <v>64</v>
      </c>
      <c r="B67" s="7" t="s">
        <v>65</v>
      </c>
      <c r="C67" s="7">
        <v>31.6</v>
      </c>
      <c r="D67" s="7" t="s">
        <v>7</v>
      </c>
      <c r="E67" s="7" t="s">
        <v>382</v>
      </c>
      <c r="F67" s="7">
        <v>10.1</v>
      </c>
      <c r="G67" s="7"/>
      <c r="H67" s="2">
        <f>I67+J67</f>
        <v>15.101666666666668</v>
      </c>
      <c r="I67" s="2">
        <f>R67+S67</f>
        <v>-4.8983333333333317</v>
      </c>
      <c r="J67" s="2">
        <f>L67+M67+N67+O67</f>
        <v>20</v>
      </c>
      <c r="L67" s="2">
        <v>0</v>
      </c>
      <c r="M67" s="2">
        <v>0</v>
      </c>
      <c r="N67" s="2">
        <f>100/5</f>
        <v>20</v>
      </c>
      <c r="O67" s="2">
        <v>0</v>
      </c>
      <c r="P67" s="2">
        <f>100/2.5</f>
        <v>40</v>
      </c>
      <c r="R67" s="2">
        <f>(76-((U67*0.1)+(V67*0.5)+(W67*0.35)+(X67*0.15)))/3</f>
        <v>-3.8983333333333312</v>
      </c>
      <c r="S67">
        <f>AA67+AB67+AC67+AD67</f>
        <v>-1</v>
      </c>
      <c r="U67">
        <f>VLOOKUP(AE67,'pff grades'!$A$2:$J$135,9,FALSE)</f>
        <v>79.599999999999994</v>
      </c>
      <c r="V67">
        <f>VLOOKUP(AE67,'pff grades'!$A$2:$M$135,12,FALSE)</f>
        <v>88.1</v>
      </c>
      <c r="W67">
        <f>VLOOKUP(AE67,'pff grades'!$A$2:$M$135,10,FALSE)</f>
        <v>71.099999999999994</v>
      </c>
      <c r="X67">
        <f>VLOOKUP(AE67,'pff grades'!$A$2:$M$135,11,FALSE)</f>
        <v>72</v>
      </c>
      <c r="Z67">
        <v>24.5</v>
      </c>
      <c r="AA67">
        <v>0</v>
      </c>
      <c r="AB67">
        <v>0</v>
      </c>
      <c r="AC67">
        <v>-1</v>
      </c>
      <c r="AD67">
        <v>0</v>
      </c>
      <c r="AE67" t="s">
        <v>299</v>
      </c>
    </row>
    <row r="68" spans="1:31" x14ac:dyDescent="0.25">
      <c r="A68" s="7" t="s">
        <v>174</v>
      </c>
      <c r="B68" s="7" t="s">
        <v>1</v>
      </c>
      <c r="C68" s="7"/>
      <c r="D68" s="7" t="s">
        <v>7</v>
      </c>
      <c r="E68" s="7" t="s">
        <v>377</v>
      </c>
      <c r="F68" s="7">
        <v>7.4</v>
      </c>
      <c r="G68" s="7"/>
      <c r="H68" s="2">
        <f>I68+J68</f>
        <v>15.080952380952379</v>
      </c>
      <c r="I68" s="2">
        <f>R68+S68</f>
        <v>-3.9666666666666686</v>
      </c>
      <c r="J68" s="2">
        <f>L68+M68+N68+O68</f>
        <v>19.047619047619047</v>
      </c>
      <c r="L68" s="2">
        <v>0</v>
      </c>
      <c r="M68" s="2">
        <v>0</v>
      </c>
      <c r="N68" s="2">
        <f>100/10.5</f>
        <v>9.5238095238095237</v>
      </c>
      <c r="O68" s="2">
        <f>100/10.5</f>
        <v>9.5238095238095237</v>
      </c>
      <c r="P68" s="2">
        <f>100/2.4</f>
        <v>41.666666666666671</v>
      </c>
      <c r="R68" s="2">
        <f>(76-((U68*0.1)+(V68*0.5)+(W68*0.35)+(X68*0.15)))/3</f>
        <v>-4.7166666666666686</v>
      </c>
      <c r="S68">
        <f>AA68+AB68+AC68+AD68</f>
        <v>0.75</v>
      </c>
      <c r="U68">
        <f>VLOOKUP(AE68,'pff grades'!$A$2:$J$135,9,FALSE)</f>
        <v>90.7</v>
      </c>
      <c r="V68">
        <f>VLOOKUP(AE68,'pff grades'!$A$2:$M$135,12,FALSE)</f>
        <v>84.7</v>
      </c>
      <c r="W68">
        <f>VLOOKUP(AE68,'pff grades'!$A$2:$M$135,10,FALSE)</f>
        <v>81.3</v>
      </c>
      <c r="X68">
        <f>VLOOKUP(AE68,'pff grades'!$A$2:$M$135,11,FALSE)</f>
        <v>68.5</v>
      </c>
      <c r="Z68">
        <v>36.5</v>
      </c>
      <c r="AA68">
        <v>0.5</v>
      </c>
      <c r="AB68">
        <v>0</v>
      </c>
      <c r="AC68">
        <v>0</v>
      </c>
      <c r="AD68">
        <v>0.25</v>
      </c>
      <c r="AE68" t="s">
        <v>295</v>
      </c>
    </row>
    <row r="69" spans="1:31" x14ac:dyDescent="0.25">
      <c r="A69" s="5" t="s">
        <v>170</v>
      </c>
      <c r="B69" s="5" t="s">
        <v>71</v>
      </c>
      <c r="C69" s="5"/>
      <c r="D69" s="5" t="s">
        <v>2</v>
      </c>
      <c r="E69" s="5" t="s">
        <v>338</v>
      </c>
      <c r="F69" s="5">
        <v>7.8</v>
      </c>
      <c r="G69" s="5"/>
      <c r="H69" s="2">
        <f>I69+J69</f>
        <v>14.75404761904762</v>
      </c>
      <c r="I69" s="2">
        <f>R69+S69</f>
        <v>0.46833333333333371</v>
      </c>
      <c r="J69" s="2">
        <f>L69+M69+N69+O69</f>
        <v>14.285714285714286</v>
      </c>
      <c r="L69" s="2">
        <v>0</v>
      </c>
      <c r="M69" s="2">
        <v>0</v>
      </c>
      <c r="N69" s="2">
        <v>0</v>
      </c>
      <c r="O69" s="2">
        <f>100/7</f>
        <v>14.285714285714286</v>
      </c>
      <c r="P69" s="2">
        <v>63.6</v>
      </c>
      <c r="R69" s="2">
        <f>(76-((U69*0.4)+(V69*0.1)+(W69*0.25)+(X69*0.25)))/3</f>
        <v>0.96833333333333371</v>
      </c>
      <c r="S69">
        <f>AA69+AB69+AC69+AD69</f>
        <v>-0.5</v>
      </c>
      <c r="U69">
        <f>VLOOKUP(AE69,'pff grades'!$A$2:$J$135,9,FALSE)</f>
        <v>87.1</v>
      </c>
      <c r="V69">
        <f>VLOOKUP(AE69,'pff grades'!$A$2:$M$135,12,FALSE)</f>
        <v>65.3</v>
      </c>
      <c r="W69">
        <f>VLOOKUP(AE69,'pff grades'!$A$2:$M$135,10,FALSE)</f>
        <v>60.9</v>
      </c>
      <c r="X69">
        <f>VLOOKUP(AE69,'pff grades'!$A$2:$M$135,11,FALSE)</f>
        <v>66</v>
      </c>
      <c r="Z69">
        <v>30.5</v>
      </c>
      <c r="AA69">
        <v>-0.5</v>
      </c>
      <c r="AB69">
        <v>0</v>
      </c>
      <c r="AC69">
        <v>0</v>
      </c>
      <c r="AD69">
        <v>0</v>
      </c>
      <c r="AE69" t="s">
        <v>311</v>
      </c>
    </row>
    <row r="70" spans="1:31" x14ac:dyDescent="0.25">
      <c r="A70" s="5" t="s">
        <v>145</v>
      </c>
      <c r="B70" s="5" t="s">
        <v>146</v>
      </c>
      <c r="C70" s="5"/>
      <c r="D70" s="5" t="s">
        <v>2</v>
      </c>
      <c r="E70" s="5" t="s">
        <v>305</v>
      </c>
      <c r="F70" s="5">
        <v>9.1999999999999993</v>
      </c>
      <c r="G70" s="5"/>
      <c r="H70" s="2">
        <f>I70+J70</f>
        <v>14.476011396011394</v>
      </c>
      <c r="I70" s="2">
        <f>R70+S70</f>
        <v>3.0799999999999983</v>
      </c>
      <c r="J70" s="2">
        <f>L70+M70+N70+O70</f>
        <v>11.396011396011396</v>
      </c>
      <c r="L70" s="2">
        <v>0</v>
      </c>
      <c r="M70" s="2">
        <v>0</v>
      </c>
      <c r="N70" s="2">
        <f>100/13</f>
        <v>7.6923076923076925</v>
      </c>
      <c r="O70" s="2">
        <f>100/27</f>
        <v>3.7037037037037037</v>
      </c>
      <c r="P70" s="2">
        <f>100/2.3</f>
        <v>43.478260869565219</v>
      </c>
      <c r="R70" s="2">
        <f>(76-((U70*0.4)+(V70*0.1)+(W70*0.25)+(X70*0.25)))/3</f>
        <v>2.5799999999999983</v>
      </c>
      <c r="S70">
        <f>AA70+AB70+AC70+AD70</f>
        <v>0.5</v>
      </c>
      <c r="U70">
        <f>VLOOKUP(AE70,'pff grades'!$A$2:$J$135,9,FALSE)</f>
        <v>76</v>
      </c>
      <c r="V70">
        <f>VLOOKUP(AE70,'pff grades'!$A$2:$M$135,12,FALSE)</f>
        <v>82.1</v>
      </c>
      <c r="W70">
        <f>VLOOKUP(AE70,'pff grades'!$A$2:$M$135,10,FALSE)</f>
        <v>49.3</v>
      </c>
      <c r="X70">
        <f>VLOOKUP(AE70,'pff grades'!$A$2:$M$135,11,FALSE)</f>
        <v>69.3</v>
      </c>
      <c r="Z70">
        <v>29.5</v>
      </c>
      <c r="AA70">
        <v>0.25</v>
      </c>
      <c r="AB70">
        <v>0</v>
      </c>
      <c r="AC70">
        <v>0</v>
      </c>
      <c r="AD70">
        <v>0.25</v>
      </c>
      <c r="AE70" t="s">
        <v>399</v>
      </c>
    </row>
    <row r="71" spans="1:31" x14ac:dyDescent="0.25">
      <c r="A71" s="5" t="s">
        <v>154</v>
      </c>
      <c r="B71" s="5" t="s">
        <v>155</v>
      </c>
      <c r="C71" s="5"/>
      <c r="D71" s="5" t="s">
        <v>2</v>
      </c>
      <c r="E71" s="5" t="s">
        <v>371</v>
      </c>
      <c r="F71" s="5">
        <v>8.9</v>
      </c>
      <c r="G71" s="5"/>
      <c r="H71" s="2">
        <f>I71+J71</f>
        <v>13.756117216117216</v>
      </c>
      <c r="I71" s="2">
        <f>R71+S71</f>
        <v>-3.4599999999999986</v>
      </c>
      <c r="J71" s="2">
        <f>L71+M71+N71+O71</f>
        <v>17.216117216117215</v>
      </c>
      <c r="L71" s="2">
        <v>0</v>
      </c>
      <c r="M71" s="2">
        <v>0</v>
      </c>
      <c r="N71" s="2">
        <f>100/10.5</f>
        <v>9.5238095238095237</v>
      </c>
      <c r="O71" s="2">
        <f>100/13</f>
        <v>7.6923076923076925</v>
      </c>
      <c r="P71" s="2">
        <f>100/3.47</f>
        <v>28.81844380403458</v>
      </c>
      <c r="R71" s="2">
        <f>(76-((U71*0.4)+(V71*0.1)+(W71*0.25)+(X71*0.25)))/3</f>
        <v>-3.2099999999999986</v>
      </c>
      <c r="S71">
        <f>AA71+AB71+AC71+AD71</f>
        <v>-0.25</v>
      </c>
      <c r="U71">
        <f>VLOOKUP(AE71,'pff grades'!$A$2:$J$135,9,FALSE)</f>
        <v>90.8</v>
      </c>
      <c r="V71">
        <f>VLOOKUP(AE71,'pff grades'!$A$2:$M$135,12,FALSE)</f>
        <v>90.6</v>
      </c>
      <c r="W71">
        <f>VLOOKUP(AE71,'pff grades'!$A$2:$M$135,10,FALSE)</f>
        <v>76.599999999999994</v>
      </c>
      <c r="X71">
        <f>VLOOKUP(AE71,'pff grades'!$A$2:$M$135,11,FALSE)</f>
        <v>84.4</v>
      </c>
      <c r="Z71">
        <v>10.5</v>
      </c>
      <c r="AA71">
        <v>-0.25</v>
      </c>
      <c r="AB71">
        <v>0</v>
      </c>
      <c r="AC71">
        <v>0</v>
      </c>
      <c r="AD71">
        <v>0</v>
      </c>
      <c r="AE71" t="s">
        <v>369</v>
      </c>
    </row>
    <row r="72" spans="1:31" x14ac:dyDescent="0.25">
      <c r="A72" s="5" t="s">
        <v>172</v>
      </c>
      <c r="B72" s="5" t="s">
        <v>173</v>
      </c>
      <c r="C72" s="5"/>
      <c r="D72" s="5" t="s">
        <v>2</v>
      </c>
      <c r="E72" s="5" t="s">
        <v>404</v>
      </c>
      <c r="F72" s="5">
        <v>7.6</v>
      </c>
      <c r="G72" s="5"/>
      <c r="H72" s="2">
        <f>I72+J72</f>
        <v>13.014928698752229</v>
      </c>
      <c r="I72" s="2">
        <f>R72+S72</f>
        <v>-1.9583333333333335</v>
      </c>
      <c r="J72" s="2">
        <f>L72+M72+N72+O72</f>
        <v>14.973262032085563</v>
      </c>
      <c r="L72" s="2">
        <v>0</v>
      </c>
      <c r="M72" s="2">
        <v>0</v>
      </c>
      <c r="N72" s="2">
        <f>100/11</f>
        <v>9.0909090909090917</v>
      </c>
      <c r="O72" s="2">
        <f>100/17</f>
        <v>5.882352941176471</v>
      </c>
      <c r="P72" s="2">
        <f>100/3</f>
        <v>33.333333333333336</v>
      </c>
      <c r="R72" s="2">
        <f>(76-((U72*0.4)+(V72*0.1)+(W72*0.25)+(X72*0.25)))/3</f>
        <v>-2.2083333333333335</v>
      </c>
      <c r="S72">
        <f>AA72+AB72+AC72+AD72</f>
        <v>0.25</v>
      </c>
      <c r="U72">
        <f>VLOOKUP(AE72,'pff grades'!$A$2:$J$135,9,FALSE)</f>
        <v>86.5</v>
      </c>
      <c r="V72">
        <f>VLOOKUP(AE72,'pff grades'!$A$2:$M$135,12,FALSE)</f>
        <v>92</v>
      </c>
      <c r="W72">
        <f>VLOOKUP(AE72,'pff grades'!$A$2:$M$135,10,FALSE)</f>
        <v>80.3</v>
      </c>
      <c r="X72">
        <f>VLOOKUP(AE72,'pff grades'!$A$2:$M$135,11,FALSE)</f>
        <v>75</v>
      </c>
      <c r="Z72">
        <v>13.5</v>
      </c>
      <c r="AA72">
        <v>0.25</v>
      </c>
      <c r="AB72">
        <v>0</v>
      </c>
      <c r="AC72">
        <v>0</v>
      </c>
      <c r="AD72">
        <v>0</v>
      </c>
      <c r="AE72" t="s">
        <v>361</v>
      </c>
    </row>
    <row r="73" spans="1:31" x14ac:dyDescent="0.25">
      <c r="A73" s="7" t="s">
        <v>165</v>
      </c>
      <c r="B73" s="7" t="s">
        <v>166</v>
      </c>
      <c r="C73" s="7"/>
      <c r="D73" s="7" t="s">
        <v>7</v>
      </c>
      <c r="E73" s="7" t="s">
        <v>311</v>
      </c>
      <c r="F73" s="7">
        <v>7.8</v>
      </c>
      <c r="G73" s="7" t="s">
        <v>413</v>
      </c>
      <c r="H73" s="2">
        <f>I73+J73</f>
        <v>12.800826330532214</v>
      </c>
      <c r="I73" s="2">
        <f>R73+S73</f>
        <v>-1.7650000000000006</v>
      </c>
      <c r="J73" s="2">
        <f>L73+M73+N73+O73</f>
        <v>14.565826330532214</v>
      </c>
      <c r="L73" s="2">
        <v>0</v>
      </c>
      <c r="M73" s="2">
        <v>0</v>
      </c>
      <c r="N73" s="2">
        <f>100/10.2</f>
        <v>9.8039215686274517</v>
      </c>
      <c r="O73" s="2">
        <f>100/21</f>
        <v>4.7619047619047619</v>
      </c>
      <c r="P73" s="2">
        <f>100/3.4</f>
        <v>29.411764705882355</v>
      </c>
      <c r="R73" s="2">
        <f>(76-((U73*0.1)+(V73*0.5)+(W73*0.35)+(X73*0.15)))/3</f>
        <v>-1.5150000000000006</v>
      </c>
      <c r="S73">
        <f>AA73+AB73+AC73+AD73</f>
        <v>-0.25</v>
      </c>
      <c r="U73">
        <f>VLOOKUP(AE73,'pff grades'!$A$2:$J$135,9,FALSE)</f>
        <v>71.599999999999994</v>
      </c>
      <c r="V73">
        <f>VLOOKUP(AE73,'pff grades'!$A$2:$M$135,12,FALSE)</f>
        <v>73.099999999999994</v>
      </c>
      <c r="W73">
        <f>VLOOKUP(AE73,'pff grades'!$A$2:$M$135,10,FALSE)</f>
        <v>69.5</v>
      </c>
      <c r="X73">
        <f>VLOOKUP(AE73,'pff grades'!$A$2:$M$135,11,FALSE)</f>
        <v>83.4</v>
      </c>
      <c r="Z73">
        <v>25.5</v>
      </c>
      <c r="AA73">
        <v>-0.25</v>
      </c>
      <c r="AB73">
        <v>-0.25</v>
      </c>
      <c r="AC73">
        <v>0</v>
      </c>
      <c r="AD73">
        <v>0.25</v>
      </c>
      <c r="AE73" t="s">
        <v>338</v>
      </c>
    </row>
    <row r="74" spans="1:31" x14ac:dyDescent="0.25">
      <c r="A74" s="5" t="s">
        <v>242</v>
      </c>
      <c r="B74" s="5" t="s">
        <v>4</v>
      </c>
      <c r="C74" s="5"/>
      <c r="D74" s="5" t="s">
        <v>2</v>
      </c>
      <c r="E74" s="5" t="s">
        <v>337</v>
      </c>
      <c r="F74" s="5">
        <v>5.0999999999999996</v>
      </c>
      <c r="G74" s="5"/>
      <c r="H74" s="2">
        <f>I74+J74</f>
        <v>12.682982456140351</v>
      </c>
      <c r="I74" s="2">
        <f>R74+S74</f>
        <v>2.1566666666666663</v>
      </c>
      <c r="J74" s="2">
        <f>L74+M74+N74+O74</f>
        <v>10.526315789473685</v>
      </c>
      <c r="L74" s="2">
        <v>0</v>
      </c>
      <c r="M74" s="2">
        <v>0</v>
      </c>
      <c r="N74" s="2">
        <v>0</v>
      </c>
      <c r="O74" s="2">
        <f>100/9.5</f>
        <v>10.526315789473685</v>
      </c>
      <c r="P74" s="2">
        <f>100/2.3</f>
        <v>43.478260869565219</v>
      </c>
      <c r="R74" s="2">
        <f>(76-((U74*0.4)+(V74*0.1)+(W74*0.25)+(X74*0.25)))/3</f>
        <v>2.4066666666666663</v>
      </c>
      <c r="S74">
        <f>AA74+AB74+AC74+AD74</f>
        <v>-0.25</v>
      </c>
      <c r="U74">
        <f>VLOOKUP(AE74,'pff grades'!$A$2:$J$135,9,FALSE)</f>
        <v>70.5</v>
      </c>
      <c r="V74">
        <f>VLOOKUP(AE74,'pff grades'!$A$2:$M$135,12,FALSE)</f>
        <v>64.3</v>
      </c>
      <c r="W74">
        <f>VLOOKUP(AE74,'pff grades'!$A$2:$M$135,10,FALSE)</f>
        <v>64.2</v>
      </c>
      <c r="X74">
        <f>VLOOKUP(AE74,'pff grades'!$A$2:$M$135,11,FALSE)</f>
        <v>72.400000000000006</v>
      </c>
      <c r="Z74">
        <v>38.5</v>
      </c>
      <c r="AA74">
        <v>0.5</v>
      </c>
      <c r="AB74">
        <v>0</v>
      </c>
      <c r="AC74">
        <v>-1</v>
      </c>
      <c r="AD74">
        <v>0.25</v>
      </c>
      <c r="AE74" t="s">
        <v>381</v>
      </c>
    </row>
    <row r="75" spans="1:31" x14ac:dyDescent="0.25">
      <c r="A75" s="5" t="s">
        <v>188</v>
      </c>
      <c r="B75" s="5" t="s">
        <v>189</v>
      </c>
      <c r="C75" s="5"/>
      <c r="D75" s="5" t="s">
        <v>2</v>
      </c>
      <c r="E75" s="5" t="s">
        <v>293</v>
      </c>
      <c r="F75" s="5">
        <v>6.9</v>
      </c>
      <c r="G75" s="5"/>
      <c r="H75" s="2">
        <f>I75+J75</f>
        <v>12.286372549019609</v>
      </c>
      <c r="I75" s="2">
        <f>R75+S75</f>
        <v>0.52166666666666595</v>
      </c>
      <c r="J75" s="2">
        <f>L75+M75+N75+O75</f>
        <v>11.764705882352942</v>
      </c>
      <c r="L75" s="2">
        <v>0</v>
      </c>
      <c r="M75" s="2">
        <v>0</v>
      </c>
      <c r="N75" s="2">
        <v>0</v>
      </c>
      <c r="O75" s="2">
        <f>100/8.5</f>
        <v>11.764705882352942</v>
      </c>
      <c r="P75" s="2">
        <f>100/2.55</f>
        <v>39.215686274509807</v>
      </c>
      <c r="R75" s="2">
        <f>(76-((U75*0.4)+(V75*0.1)+(W75*0.25)+(X75*0.25)))/3</f>
        <v>2.1666666666665908E-2</v>
      </c>
      <c r="S75">
        <f>AA75+AB75+AC75+AD75</f>
        <v>0.5</v>
      </c>
      <c r="U75">
        <f>VLOOKUP(AE75,'pff grades'!$A$2:$J$135,9,FALSE)</f>
        <v>88.2</v>
      </c>
      <c r="V75">
        <f>VLOOKUP(AE75,'pff grades'!$A$2:$M$135,12,FALSE)</f>
        <v>46.8</v>
      </c>
      <c r="W75">
        <f>VLOOKUP(AE75,'pff grades'!$A$2:$M$135,10,FALSE)</f>
        <v>79.7</v>
      </c>
      <c r="X75">
        <f>VLOOKUP(AE75,'pff grades'!$A$2:$M$135,11,FALSE)</f>
        <v>64.2</v>
      </c>
      <c r="Z75">
        <v>30.5</v>
      </c>
      <c r="AA75">
        <v>0.25</v>
      </c>
      <c r="AB75">
        <v>0</v>
      </c>
      <c r="AC75">
        <v>0</v>
      </c>
      <c r="AD75">
        <v>0.25</v>
      </c>
      <c r="AE75" t="s">
        <v>408</v>
      </c>
    </row>
    <row r="76" spans="1:31" x14ac:dyDescent="0.25">
      <c r="A76" s="7" t="s">
        <v>72</v>
      </c>
      <c r="B76" s="7" t="s">
        <v>71</v>
      </c>
      <c r="C76" s="7">
        <v>33.1</v>
      </c>
      <c r="D76" s="7" t="s">
        <v>7</v>
      </c>
      <c r="E76" s="7" t="s">
        <v>303</v>
      </c>
      <c r="F76" s="7">
        <v>9.6</v>
      </c>
      <c r="G76" s="7"/>
      <c r="H76" s="2">
        <f>I76+J76</f>
        <v>12.173333333333332</v>
      </c>
      <c r="I76" s="2">
        <f>R76+S76</f>
        <v>-4.493333333333335</v>
      </c>
      <c r="J76" s="2">
        <f>L76+M76+N76+O76</f>
        <v>16.666666666666668</v>
      </c>
      <c r="L76" s="2">
        <v>0</v>
      </c>
      <c r="M76" s="2">
        <v>0</v>
      </c>
      <c r="N76" s="2">
        <v>0</v>
      </c>
      <c r="O76" s="2">
        <f>100/6</f>
        <v>16.666666666666668</v>
      </c>
      <c r="P76" s="2">
        <f>100/2.2</f>
        <v>45.454545454545453</v>
      </c>
      <c r="R76" s="2">
        <f>(76-((U76*0.1)+(V76*0.5)+(W76*0.35)+(X76*0.15)))/3</f>
        <v>-4.743333333333335</v>
      </c>
      <c r="S76">
        <f>AA76+AB76+AC76+AD76</f>
        <v>0.25</v>
      </c>
      <c r="U76">
        <f>VLOOKUP(AE76,'pff grades'!$A$2:$J$135,9,FALSE)</f>
        <v>85.5</v>
      </c>
      <c r="V76">
        <f>VLOOKUP(AE76,'pff grades'!$A$2:$M$135,12,FALSE)</f>
        <v>83.8</v>
      </c>
      <c r="W76">
        <f>VLOOKUP(AE76,'pff grades'!$A$2:$M$135,10,FALSE)</f>
        <v>81.900000000000006</v>
      </c>
      <c r="X76">
        <f>VLOOKUP(AE76,'pff grades'!$A$2:$M$135,11,FALSE)</f>
        <v>74.099999999999994</v>
      </c>
      <c r="Z76">
        <v>31.5</v>
      </c>
      <c r="AA76">
        <v>0</v>
      </c>
      <c r="AB76">
        <v>0</v>
      </c>
      <c r="AC76">
        <v>0</v>
      </c>
      <c r="AD76">
        <v>0.25</v>
      </c>
      <c r="AE76" t="s">
        <v>370</v>
      </c>
    </row>
    <row r="77" spans="1:31" x14ac:dyDescent="0.25">
      <c r="A77" s="5" t="s">
        <v>190</v>
      </c>
      <c r="B77" s="5" t="s">
        <v>191</v>
      </c>
      <c r="C77" s="5"/>
      <c r="D77" s="5" t="s">
        <v>2</v>
      </c>
      <c r="E77" s="5" t="s">
        <v>295</v>
      </c>
      <c r="F77" s="5">
        <v>6.9</v>
      </c>
      <c r="G77" s="5"/>
      <c r="H77" s="2">
        <f>I77+J77</f>
        <v>11.955714285714283</v>
      </c>
      <c r="I77" s="2">
        <f>R77+S77</f>
        <v>-2.3300000000000032</v>
      </c>
      <c r="J77" s="2">
        <f>L77+M77+N77+O77</f>
        <v>14.285714285714286</v>
      </c>
      <c r="L77" s="2">
        <v>0</v>
      </c>
      <c r="M77" s="2">
        <v>0</v>
      </c>
      <c r="N77" s="2">
        <v>0</v>
      </c>
      <c r="O77" s="2">
        <f>100/7</f>
        <v>14.285714285714286</v>
      </c>
      <c r="P77" s="2">
        <v>50.7</v>
      </c>
      <c r="R77" s="2">
        <f>(76-((U77*0.4)+(V77*0.1)+(W77*0.25)+(X77*0.25)))/3</f>
        <v>-2.5800000000000032</v>
      </c>
      <c r="S77">
        <f>AA77+AB77+AC77+AD77</f>
        <v>0.25</v>
      </c>
      <c r="U77">
        <f>VLOOKUP(AE77,'pff grades'!$A$2:$J$135,9,FALSE)</f>
        <v>93.7</v>
      </c>
      <c r="V77">
        <f>VLOOKUP(AE77,'pff grades'!$A$2:$M$135,12,FALSE)</f>
        <v>86.1</v>
      </c>
      <c r="W77">
        <f>VLOOKUP(AE77,'pff grades'!$A$2:$M$135,10,FALSE)</f>
        <v>70.8</v>
      </c>
      <c r="X77">
        <f>VLOOKUP(AE77,'pff grades'!$A$2:$M$135,11,FALSE)</f>
        <v>79.8</v>
      </c>
      <c r="Z77">
        <v>16.5</v>
      </c>
      <c r="AA77">
        <v>0.25</v>
      </c>
      <c r="AB77">
        <v>0</v>
      </c>
      <c r="AC77">
        <v>-0.25</v>
      </c>
      <c r="AD77">
        <v>0.25</v>
      </c>
      <c r="AE77" t="s">
        <v>377</v>
      </c>
    </row>
    <row r="78" spans="1:31" x14ac:dyDescent="0.25">
      <c r="A78" s="7" t="s">
        <v>158</v>
      </c>
      <c r="B78" s="7" t="s">
        <v>33</v>
      </c>
      <c r="C78" s="7"/>
      <c r="D78" s="7" t="s">
        <v>7</v>
      </c>
      <c r="E78" s="7" t="s">
        <v>295</v>
      </c>
      <c r="F78" s="7">
        <v>8.4</v>
      </c>
      <c r="G78" s="7"/>
      <c r="H78" s="2">
        <f>I78+J78</f>
        <v>11.733015873015873</v>
      </c>
      <c r="I78" s="2">
        <f>R78+S78</f>
        <v>-4.1400000000000006</v>
      </c>
      <c r="J78" s="2">
        <f>L78+M78+N78+O78</f>
        <v>15.873015873015873</v>
      </c>
      <c r="L78" s="2">
        <v>0</v>
      </c>
      <c r="M78" s="2">
        <v>0</v>
      </c>
      <c r="N78" s="2">
        <f>100/9</f>
        <v>11.111111111111111</v>
      </c>
      <c r="O78" s="2">
        <f>100/21</f>
        <v>4.7619047619047619</v>
      </c>
      <c r="P78" s="2">
        <f>100/3.55</f>
        <v>28.169014084507044</v>
      </c>
      <c r="R78" s="2">
        <f>(76-((U78*0.1)+(V78*0.5)+(W78*0.35)+(X78*0.15)))/3</f>
        <v>-4.3900000000000006</v>
      </c>
      <c r="S78">
        <f>AA78+AB78+AC78+AD78</f>
        <v>0.25</v>
      </c>
      <c r="U78">
        <f>VLOOKUP(AE78,'pff grades'!$A$2:$J$135,9,FALSE)</f>
        <v>93.7</v>
      </c>
      <c r="V78">
        <f>VLOOKUP(AE78,'pff grades'!$A$2:$M$135,12,FALSE)</f>
        <v>86.1</v>
      </c>
      <c r="W78">
        <f>VLOOKUP(AE78,'pff grades'!$A$2:$M$135,10,FALSE)</f>
        <v>70.8</v>
      </c>
      <c r="X78">
        <f>VLOOKUP(AE78,'pff grades'!$A$2:$M$135,11,FALSE)</f>
        <v>79.8</v>
      </c>
      <c r="Z78">
        <v>16.5</v>
      </c>
      <c r="AA78">
        <v>0.25</v>
      </c>
      <c r="AB78">
        <v>0</v>
      </c>
      <c r="AC78">
        <v>-0.25</v>
      </c>
      <c r="AD78">
        <v>0.25</v>
      </c>
      <c r="AE78" t="s">
        <v>377</v>
      </c>
    </row>
    <row r="79" spans="1:31" x14ac:dyDescent="0.25">
      <c r="A79" s="7" t="s">
        <v>32</v>
      </c>
      <c r="B79" s="7" t="s">
        <v>171</v>
      </c>
      <c r="C79" s="7"/>
      <c r="D79" s="7" t="s">
        <v>7</v>
      </c>
      <c r="E79" s="7" t="s">
        <v>352</v>
      </c>
      <c r="F79" s="7">
        <v>7.7</v>
      </c>
      <c r="G79" s="7"/>
      <c r="H79" s="2">
        <f>I79+J79</f>
        <v>11.690598290598292</v>
      </c>
      <c r="I79" s="2">
        <f>R79+S79</f>
        <v>-3.2666666666666657</v>
      </c>
      <c r="J79" s="2">
        <f>L79+M79+N79+O79</f>
        <v>14.957264957264957</v>
      </c>
      <c r="L79" s="2">
        <v>0</v>
      </c>
      <c r="M79" s="2">
        <v>0</v>
      </c>
      <c r="N79" s="2">
        <f>100/9</f>
        <v>11.111111111111111</v>
      </c>
      <c r="O79" s="2">
        <f>100/26</f>
        <v>3.8461538461538463</v>
      </c>
      <c r="P79" s="2">
        <f>100/3.9</f>
        <v>25.641025641025642</v>
      </c>
      <c r="R79" s="2">
        <f>(76-((U79*0.1)+(V79*0.5)+(W79*0.35)+(X79*0.15)))/3</f>
        <v>-3.0166666666666657</v>
      </c>
      <c r="S79">
        <f>AA79+AB79+AC79+AD79</f>
        <v>-0.25</v>
      </c>
      <c r="U79">
        <f>VLOOKUP(AE79,'pff grades'!$A$2:$J$135,9,FALSE)</f>
        <v>74.2</v>
      </c>
      <c r="V79">
        <f>VLOOKUP(AE79,'pff grades'!$A$2:$M$135,12,FALSE)</f>
        <v>78</v>
      </c>
      <c r="W79">
        <f>VLOOKUP(AE79,'pff grades'!$A$2:$M$135,10,FALSE)</f>
        <v>80.8</v>
      </c>
      <c r="X79">
        <f>VLOOKUP(AE79,'pff grades'!$A$2:$M$135,11,FALSE)</f>
        <v>69</v>
      </c>
      <c r="Z79">
        <v>20.5</v>
      </c>
      <c r="AA79">
        <v>0.25</v>
      </c>
      <c r="AB79">
        <v>-0.25</v>
      </c>
      <c r="AC79">
        <v>-0.5</v>
      </c>
      <c r="AD79">
        <v>0.25</v>
      </c>
      <c r="AE79" t="s">
        <v>397</v>
      </c>
    </row>
    <row r="80" spans="1:31" x14ac:dyDescent="0.25">
      <c r="A80" s="6" t="s">
        <v>30</v>
      </c>
      <c r="B80" s="6" t="s">
        <v>31</v>
      </c>
      <c r="C80" s="6">
        <v>15.3</v>
      </c>
      <c r="D80" s="6" t="s">
        <v>21</v>
      </c>
      <c r="E80" s="6" t="s">
        <v>382</v>
      </c>
      <c r="F80" s="6">
        <v>10.1</v>
      </c>
      <c r="G80" s="6"/>
      <c r="H80" s="2">
        <f>I80+J80</f>
        <v>11.625</v>
      </c>
      <c r="I80" s="2">
        <f>R80+S80</f>
        <v>-1.7083333333333335</v>
      </c>
      <c r="J80" s="2">
        <f>L80+M80+N80+O80</f>
        <v>13.333333333333334</v>
      </c>
      <c r="L80" s="2">
        <v>0</v>
      </c>
      <c r="M80" s="2">
        <v>0</v>
      </c>
      <c r="N80" s="2">
        <f>100/7.5</f>
        <v>13.333333333333334</v>
      </c>
      <c r="O80" s="2">
        <v>0</v>
      </c>
      <c r="P80" s="2">
        <f>100/2.7</f>
        <v>37.037037037037038</v>
      </c>
      <c r="R80" s="2">
        <f>(76-((U80*0.2)+(V80*0.3)+(W80*0.25)+(X80*0.25)))/3</f>
        <v>-0.70833333333333337</v>
      </c>
      <c r="S80">
        <f>AA80+AB80+AC80+AD80</f>
        <v>-1</v>
      </c>
      <c r="U80">
        <f>VLOOKUP(AE80,'pff grades'!$A$2:$J$135,9,FALSE)</f>
        <v>79.599999999999994</v>
      </c>
      <c r="V80">
        <f>VLOOKUP(AE80,'pff grades'!$A$2:$M$135,12,FALSE)</f>
        <v>88.1</v>
      </c>
      <c r="W80">
        <f>VLOOKUP(AE80,'pff grades'!$A$2:$M$135,10,FALSE)</f>
        <v>71.099999999999994</v>
      </c>
      <c r="X80">
        <f>VLOOKUP(AE80,'pff grades'!$A$2:$M$135,11,FALSE)</f>
        <v>72</v>
      </c>
      <c r="Z80">
        <v>24.5</v>
      </c>
      <c r="AA80">
        <v>0</v>
      </c>
      <c r="AB80">
        <v>0</v>
      </c>
      <c r="AC80">
        <v>-1</v>
      </c>
      <c r="AD80">
        <v>0</v>
      </c>
      <c r="AE80" t="s">
        <v>299</v>
      </c>
    </row>
    <row r="81" spans="1:31" x14ac:dyDescent="0.25">
      <c r="A81" s="7" t="s">
        <v>175</v>
      </c>
      <c r="B81" s="7" t="s">
        <v>125</v>
      </c>
      <c r="C81" s="7"/>
      <c r="D81" s="7" t="s">
        <v>7</v>
      </c>
      <c r="E81" s="7" t="s">
        <v>397</v>
      </c>
      <c r="F81" s="7">
        <v>7.4</v>
      </c>
      <c r="G81" s="7"/>
      <c r="H81" s="2">
        <f>I81+J81</f>
        <v>9.9535688121402384</v>
      </c>
      <c r="I81" s="2">
        <f>R81+S81</f>
        <v>-4.0966666666666693</v>
      </c>
      <c r="J81" s="2">
        <f>L81+M81+N81+O81</f>
        <v>14.050235478806908</v>
      </c>
      <c r="L81" s="2">
        <v>0</v>
      </c>
      <c r="M81" s="2">
        <v>0</v>
      </c>
      <c r="N81" s="2">
        <f>100/9.8</f>
        <v>10.204081632653061</v>
      </c>
      <c r="O81" s="2">
        <f>100/26</f>
        <v>3.8461538461538463</v>
      </c>
      <c r="P81" s="2">
        <f>100/3.44</f>
        <v>29.069767441860467</v>
      </c>
      <c r="R81" s="2">
        <f>(76-((U81*0.1)+(V81*0.5)+(W81*0.35)+(X81*0.15)))/3</f>
        <v>-3.8466666666666689</v>
      </c>
      <c r="S81">
        <f>AA81+AB81+AC81+AD81</f>
        <v>-0.25</v>
      </c>
      <c r="U81">
        <f>VLOOKUP(AE81,'pff grades'!$A$2:$J$135,9,FALSE)</f>
        <v>79.599999999999994</v>
      </c>
      <c r="V81">
        <f>VLOOKUP(AE81,'pff grades'!$A$2:$M$135,12,FALSE)</f>
        <v>80.2</v>
      </c>
      <c r="W81">
        <f>VLOOKUP(AE81,'pff grades'!$A$2:$M$135,10,FALSE)</f>
        <v>78.900000000000006</v>
      </c>
      <c r="X81">
        <f>VLOOKUP(AE81,'pff grades'!$A$2:$M$135,11,FALSE)</f>
        <v>79.099999999999994</v>
      </c>
      <c r="Z81">
        <v>29.5</v>
      </c>
      <c r="AA81">
        <v>0</v>
      </c>
      <c r="AB81">
        <v>-0.25</v>
      </c>
      <c r="AC81">
        <v>0</v>
      </c>
      <c r="AD81">
        <v>0</v>
      </c>
      <c r="AE81" t="s">
        <v>352</v>
      </c>
    </row>
    <row r="82" spans="1:31" x14ac:dyDescent="0.25">
      <c r="A82" s="5" t="s">
        <v>48</v>
      </c>
      <c r="B82" s="5" t="s">
        <v>44</v>
      </c>
      <c r="C82" s="5">
        <v>23.8</v>
      </c>
      <c r="D82" s="5" t="s">
        <v>2</v>
      </c>
      <c r="E82" s="5" t="s">
        <v>311</v>
      </c>
      <c r="F82" s="5">
        <v>5.9</v>
      </c>
      <c r="G82" s="5"/>
      <c r="H82" s="2">
        <f>I82+J82</f>
        <v>9.8821428571428527</v>
      </c>
      <c r="I82" s="2">
        <f>R82+S82</f>
        <v>0.35833333333332951</v>
      </c>
      <c r="J82" s="2">
        <f>L82+M82+N82+O82</f>
        <v>9.5238095238095237</v>
      </c>
      <c r="L82" s="2">
        <v>0</v>
      </c>
      <c r="M82" s="2">
        <v>0</v>
      </c>
      <c r="N82" s="2">
        <v>0</v>
      </c>
      <c r="O82" s="2">
        <f>100/10.5</f>
        <v>9.5238095238095237</v>
      </c>
      <c r="P82" s="2">
        <f>100/2.3</f>
        <v>43.478260869565219</v>
      </c>
      <c r="R82" s="2">
        <f>(76-((U82*0.4)+(V82*0.1)+(W82*0.25)+(X82*0.25)))/3</f>
        <v>0.60833333333332951</v>
      </c>
      <c r="S82">
        <f>AA82+AB82+AC82+AD82</f>
        <v>-0.25</v>
      </c>
      <c r="U82">
        <f>VLOOKUP(AE82,'pff grades'!$A$2:$J$135,9,FALSE)</f>
        <v>71.599999999999994</v>
      </c>
      <c r="V82">
        <f>VLOOKUP(AE82,'pff grades'!$A$2:$M$135,12,FALSE)</f>
        <v>73.099999999999994</v>
      </c>
      <c r="W82">
        <f>VLOOKUP(AE82,'pff grades'!$A$2:$M$135,10,FALSE)</f>
        <v>69.5</v>
      </c>
      <c r="X82">
        <f>VLOOKUP(AE82,'pff grades'!$A$2:$M$135,11,FALSE)</f>
        <v>83.4</v>
      </c>
      <c r="Z82">
        <v>25.5</v>
      </c>
      <c r="AA82">
        <v>-0.25</v>
      </c>
      <c r="AB82">
        <v>-0.25</v>
      </c>
      <c r="AC82">
        <v>0</v>
      </c>
      <c r="AD82">
        <v>0.25</v>
      </c>
      <c r="AE82" t="s">
        <v>338</v>
      </c>
    </row>
    <row r="83" spans="1:31" x14ac:dyDescent="0.25">
      <c r="A83" s="6" t="s">
        <v>215</v>
      </c>
      <c r="B83" s="6" t="s">
        <v>216</v>
      </c>
      <c r="C83" s="6"/>
      <c r="D83" s="6" t="s">
        <v>21</v>
      </c>
      <c r="E83" s="6" t="s">
        <v>371</v>
      </c>
      <c r="F83" s="6">
        <v>6</v>
      </c>
      <c r="G83" s="6"/>
      <c r="H83" s="2">
        <f>I83+J83</f>
        <v>9.8574269005847963</v>
      </c>
      <c r="I83" s="2">
        <f>R83+S83</f>
        <v>-3.4466666666666677</v>
      </c>
      <c r="J83" s="2">
        <f>L83+M83+N83+O83</f>
        <v>13.304093567251464</v>
      </c>
      <c r="L83" s="2">
        <v>0</v>
      </c>
      <c r="M83" s="2">
        <v>0</v>
      </c>
      <c r="N83" s="2">
        <f>100/9.5</f>
        <v>10.526315789473685</v>
      </c>
      <c r="O83" s="2">
        <f>100/36</f>
        <v>2.7777777777777777</v>
      </c>
      <c r="P83" s="2">
        <f>100/3.53</f>
        <v>28.328611898016998</v>
      </c>
      <c r="R83" s="2">
        <f>(76-((U83*0.2)+(V83*0.3)+(W83*0.25)+(X83*0.25)))/3</f>
        <v>-3.1966666666666677</v>
      </c>
      <c r="S83">
        <f>AA83+AB83+AC83+AD83</f>
        <v>-0.25</v>
      </c>
      <c r="U83">
        <f>VLOOKUP(AE83,'pff grades'!$A$2:$J$135,9,FALSE)</f>
        <v>90.8</v>
      </c>
      <c r="V83">
        <f>VLOOKUP(AE83,'pff grades'!$A$2:$M$135,12,FALSE)</f>
        <v>90.6</v>
      </c>
      <c r="W83">
        <f>VLOOKUP(AE83,'pff grades'!$A$2:$M$135,10,FALSE)</f>
        <v>76.599999999999994</v>
      </c>
      <c r="X83">
        <f>VLOOKUP(AE83,'pff grades'!$A$2:$M$135,11,FALSE)</f>
        <v>84.4</v>
      </c>
      <c r="Z83">
        <v>10.5</v>
      </c>
      <c r="AA83">
        <v>-0.25</v>
      </c>
      <c r="AB83">
        <v>0</v>
      </c>
      <c r="AC83">
        <v>0</v>
      </c>
      <c r="AD83">
        <v>0</v>
      </c>
      <c r="AE83" t="s">
        <v>369</v>
      </c>
    </row>
    <row r="84" spans="1:31" x14ac:dyDescent="0.25">
      <c r="A84" s="7" t="s">
        <v>136</v>
      </c>
      <c r="B84" s="7" t="s">
        <v>137</v>
      </c>
      <c r="C84" s="7"/>
      <c r="D84" s="7" t="s">
        <v>7</v>
      </c>
      <c r="E84" s="7" t="s">
        <v>404</v>
      </c>
      <c r="F84" s="7">
        <v>10.7</v>
      </c>
      <c r="G84" s="7"/>
      <c r="H84" s="2">
        <f>I84+J84</f>
        <v>9.8038888888888902</v>
      </c>
      <c r="I84" s="2">
        <f>R84+S84</f>
        <v>-5.7516666666666652</v>
      </c>
      <c r="J84" s="2">
        <f>L84+M84+N84+O84</f>
        <v>15.555555555555555</v>
      </c>
      <c r="L84" s="2">
        <v>0</v>
      </c>
      <c r="M84" s="2">
        <v>0</v>
      </c>
      <c r="N84" s="2">
        <f>100/10</f>
        <v>10</v>
      </c>
      <c r="O84" s="2">
        <f>100/18</f>
        <v>5.5555555555555554</v>
      </c>
      <c r="P84" s="2">
        <f>100/3.3</f>
        <v>30.303030303030305</v>
      </c>
      <c r="R84" s="2">
        <f>(76-((U84*0.1)+(V84*0.5)+(W84*0.35)+(X84*0.15)))/3</f>
        <v>-6.0016666666666652</v>
      </c>
      <c r="S84">
        <f>AA84+AB84+AC84+AD84</f>
        <v>0.25</v>
      </c>
      <c r="U84">
        <f>VLOOKUP(AE84,'pff grades'!$A$2:$J$135,9,FALSE)</f>
        <v>86.5</v>
      </c>
      <c r="V84">
        <f>VLOOKUP(AE84,'pff grades'!$A$2:$M$135,12,FALSE)</f>
        <v>92</v>
      </c>
      <c r="W84">
        <f>VLOOKUP(AE84,'pff grades'!$A$2:$M$135,10,FALSE)</f>
        <v>80.3</v>
      </c>
      <c r="X84">
        <f>VLOOKUP(AE84,'pff grades'!$A$2:$M$135,11,FALSE)</f>
        <v>75</v>
      </c>
      <c r="Z84">
        <v>13.5</v>
      </c>
      <c r="AA84">
        <v>0.25</v>
      </c>
      <c r="AB84">
        <v>0</v>
      </c>
      <c r="AC84">
        <v>0</v>
      </c>
      <c r="AD84">
        <v>0</v>
      </c>
      <c r="AE84" t="s">
        <v>361</v>
      </c>
    </row>
    <row r="85" spans="1:31" x14ac:dyDescent="0.25">
      <c r="A85" s="7" t="s">
        <v>236</v>
      </c>
      <c r="B85" s="7" t="s">
        <v>237</v>
      </c>
      <c r="C85" s="7"/>
      <c r="D85" s="7" t="s">
        <v>7</v>
      </c>
      <c r="E85" s="7" t="s">
        <v>386</v>
      </c>
      <c r="F85" s="7">
        <v>5.2</v>
      </c>
      <c r="G85" s="7"/>
      <c r="H85" s="2">
        <f>I85+J85</f>
        <v>9.6616666666666671</v>
      </c>
      <c r="I85" s="2">
        <f>R85+S85</f>
        <v>2.9949999999999997</v>
      </c>
      <c r="J85" s="2">
        <f>L85+M85+N85+O85</f>
        <v>6.666666666666667</v>
      </c>
      <c r="L85" s="2">
        <v>0</v>
      </c>
      <c r="M85" s="2">
        <v>0</v>
      </c>
      <c r="N85" s="2">
        <v>0</v>
      </c>
      <c r="O85" s="2">
        <f>100/15</f>
        <v>6.666666666666667</v>
      </c>
      <c r="P85" s="2">
        <f>100/2.8</f>
        <v>35.714285714285715</v>
      </c>
      <c r="R85" s="2">
        <f>(76-((U85*0.1)+(V85*0.5)+(W85*0.35)+(X85*0.15)))/3</f>
        <v>2.4949999999999997</v>
      </c>
      <c r="S85">
        <f>AA85+AB85+AC85+AD85</f>
        <v>0.5</v>
      </c>
      <c r="U85">
        <f>VLOOKUP(AE85,'pff grades'!$A$2:$J$135,9,FALSE)</f>
        <v>91.7</v>
      </c>
      <c r="V85">
        <f>VLOOKUP(AE85,'pff grades'!$A$2:$M$135,12,FALSE)</f>
        <v>47.3</v>
      </c>
      <c r="W85">
        <f>VLOOKUP(AE85,'pff grades'!$A$2:$M$135,10,FALSE)</f>
        <v>71.3</v>
      </c>
      <c r="X85">
        <f>VLOOKUP(AE85,'pff grades'!$A$2:$M$135,11,FALSE)</f>
        <v>71.599999999999994</v>
      </c>
      <c r="Z85">
        <v>35.5</v>
      </c>
      <c r="AA85">
        <v>0.25</v>
      </c>
      <c r="AB85">
        <v>0</v>
      </c>
      <c r="AC85">
        <v>0</v>
      </c>
      <c r="AD85">
        <v>0.25</v>
      </c>
      <c r="AE85" t="s">
        <v>288</v>
      </c>
    </row>
    <row r="86" spans="1:31" x14ac:dyDescent="0.25">
      <c r="A86" s="6" t="s">
        <v>218</v>
      </c>
      <c r="B86" s="6" t="s">
        <v>219</v>
      </c>
      <c r="C86" s="6"/>
      <c r="D86" s="6" t="s">
        <v>21</v>
      </c>
      <c r="E86" s="6" t="s">
        <v>293</v>
      </c>
      <c r="F86" s="6">
        <v>5.9</v>
      </c>
      <c r="G86" s="6"/>
      <c r="H86" s="2">
        <f>I86+J86</f>
        <v>9.1640196078431373</v>
      </c>
      <c r="I86" s="2">
        <f>R86+S86</f>
        <v>3.2816666666666663</v>
      </c>
      <c r="J86" s="2">
        <f>L86+M86+N86+O86</f>
        <v>5.882352941176471</v>
      </c>
      <c r="L86" s="2">
        <v>0</v>
      </c>
      <c r="M86" s="2">
        <v>0</v>
      </c>
      <c r="N86" s="2">
        <v>0</v>
      </c>
      <c r="O86" s="2">
        <f>100/17</f>
        <v>5.882352941176471</v>
      </c>
      <c r="P86" s="2">
        <f>100/2.85</f>
        <v>35.087719298245609</v>
      </c>
      <c r="R86" s="2">
        <f>(76-((U86*0.2)+(V86*0.3)+(W86*0.25)+(X86*0.25)))/3</f>
        <v>2.7816666666666663</v>
      </c>
      <c r="S86">
        <f>AA86+AB86+AC86+AD86</f>
        <v>0.5</v>
      </c>
      <c r="U86">
        <f>VLOOKUP(AE86,'pff grades'!$A$2:$J$135,9,FALSE)</f>
        <v>88.2</v>
      </c>
      <c r="V86">
        <f>VLOOKUP(AE86,'pff grades'!$A$2:$M$135,12,FALSE)</f>
        <v>46.8</v>
      </c>
      <c r="W86">
        <f>VLOOKUP(AE86,'pff grades'!$A$2:$M$135,10,FALSE)</f>
        <v>79.7</v>
      </c>
      <c r="X86">
        <f>VLOOKUP(AE86,'pff grades'!$A$2:$M$135,11,FALSE)</f>
        <v>64.2</v>
      </c>
      <c r="Z86">
        <v>30.5</v>
      </c>
      <c r="AA86">
        <v>0.25</v>
      </c>
      <c r="AB86">
        <v>0</v>
      </c>
      <c r="AC86">
        <v>0</v>
      </c>
      <c r="AD86">
        <v>0.25</v>
      </c>
      <c r="AE86" t="s">
        <v>408</v>
      </c>
    </row>
    <row r="87" spans="1:31" x14ac:dyDescent="0.25">
      <c r="A87" s="5" t="s">
        <v>152</v>
      </c>
      <c r="B87" s="5" t="s">
        <v>153</v>
      </c>
      <c r="C87" s="5"/>
      <c r="D87" s="5" t="s">
        <v>2</v>
      </c>
      <c r="E87" s="5" t="s">
        <v>397</v>
      </c>
      <c r="F87" s="5">
        <v>8.9</v>
      </c>
      <c r="G87" s="5"/>
      <c r="H87" s="2">
        <f>I87+J87</f>
        <v>8.1538095238095245</v>
      </c>
      <c r="I87" s="2">
        <f>R87+S87</f>
        <v>-1.3699999999999999</v>
      </c>
      <c r="J87" s="2">
        <f>L87+M87+N87+O87</f>
        <v>9.5238095238095237</v>
      </c>
      <c r="L87" s="2">
        <v>0</v>
      </c>
      <c r="M87" s="2">
        <v>0</v>
      </c>
      <c r="N87" s="2">
        <v>0</v>
      </c>
      <c r="O87" s="2">
        <f>100/10.5</f>
        <v>9.5238095238095237</v>
      </c>
      <c r="P87" s="2">
        <f>100/3.08</f>
        <v>32.467532467532465</v>
      </c>
      <c r="R87" s="2">
        <f>(76-((U87*0.4)+(V87*0.1)+(W87*0.25)+(X87*0.25)))/3</f>
        <v>-1.1199999999999999</v>
      </c>
      <c r="S87">
        <f>AA87+AB87+AC87+AD87</f>
        <v>-0.25</v>
      </c>
      <c r="U87">
        <f>VLOOKUP(AE87,'pff grades'!$A$2:$J$135,9,FALSE)</f>
        <v>79.599999999999994</v>
      </c>
      <c r="V87">
        <f>VLOOKUP(AE87,'pff grades'!$A$2:$M$135,12,FALSE)</f>
        <v>80.2</v>
      </c>
      <c r="W87">
        <f>VLOOKUP(AE87,'pff grades'!$A$2:$M$135,10,FALSE)</f>
        <v>78.900000000000006</v>
      </c>
      <c r="X87">
        <f>VLOOKUP(AE87,'pff grades'!$A$2:$M$135,11,FALSE)</f>
        <v>79.099999999999994</v>
      </c>
      <c r="Z87">
        <v>29.5</v>
      </c>
      <c r="AA87">
        <v>0</v>
      </c>
      <c r="AB87">
        <v>-0.25</v>
      </c>
      <c r="AC87">
        <v>0</v>
      </c>
      <c r="AD87">
        <v>0</v>
      </c>
      <c r="AE87" t="s">
        <v>352</v>
      </c>
    </row>
    <row r="88" spans="1:31" x14ac:dyDescent="0.25">
      <c r="A88" s="7" t="s">
        <v>141</v>
      </c>
      <c r="B88" s="7" t="s">
        <v>122</v>
      </c>
      <c r="C88" s="7"/>
      <c r="D88" s="7" t="s">
        <v>7</v>
      </c>
      <c r="E88" s="7" t="s">
        <v>338</v>
      </c>
      <c r="F88" s="7">
        <v>7.3</v>
      </c>
      <c r="G88" s="7"/>
      <c r="H88" s="2">
        <f>I88+J88</f>
        <v>7.784523809523809</v>
      </c>
      <c r="I88" s="2">
        <f>R88+S88</f>
        <v>0.64166666666666572</v>
      </c>
      <c r="J88" s="2">
        <f>L88+M88+N88+O88</f>
        <v>7.1428571428571432</v>
      </c>
      <c r="L88" s="2">
        <v>0</v>
      </c>
      <c r="M88" s="2">
        <v>0</v>
      </c>
      <c r="N88" s="2">
        <v>0</v>
      </c>
      <c r="O88" s="2">
        <f>100/14</f>
        <v>7.1428571428571432</v>
      </c>
      <c r="P88" s="2">
        <f>100/2.85</f>
        <v>35.087719298245609</v>
      </c>
      <c r="R88" s="2">
        <f>(76-((U88*0.1)+(V88*0.5)+(W88*0.35)+(X88*0.15)))/3</f>
        <v>1.1416666666666657</v>
      </c>
      <c r="S88">
        <f>AA88+AB88+AC88+AD88</f>
        <v>-0.5</v>
      </c>
      <c r="U88">
        <f>VLOOKUP(AE88,'pff grades'!$A$2:$J$135,9,FALSE)</f>
        <v>87.1</v>
      </c>
      <c r="V88">
        <f>VLOOKUP(AE88,'pff grades'!$A$2:$M$135,12,FALSE)</f>
        <v>65.3</v>
      </c>
      <c r="W88">
        <f>VLOOKUP(AE88,'pff grades'!$A$2:$M$135,10,FALSE)</f>
        <v>60.9</v>
      </c>
      <c r="X88">
        <f>VLOOKUP(AE88,'pff grades'!$A$2:$M$135,11,FALSE)</f>
        <v>66</v>
      </c>
      <c r="Z88">
        <v>30.5</v>
      </c>
      <c r="AA88">
        <v>-0.5</v>
      </c>
      <c r="AB88">
        <v>0</v>
      </c>
      <c r="AC88">
        <v>0</v>
      </c>
      <c r="AD88">
        <v>0</v>
      </c>
      <c r="AE88" t="s">
        <v>311</v>
      </c>
    </row>
    <row r="89" spans="1:31" x14ac:dyDescent="0.25">
      <c r="A89" s="7" t="s">
        <v>53</v>
      </c>
      <c r="B89" s="7" t="s">
        <v>54</v>
      </c>
      <c r="C89" s="7">
        <v>26.8</v>
      </c>
      <c r="D89" s="7" t="s">
        <v>7</v>
      </c>
      <c r="E89" s="7" t="s">
        <v>305</v>
      </c>
      <c r="F89" s="7">
        <v>9</v>
      </c>
      <c r="G89" s="7"/>
      <c r="H89" s="2">
        <f>I89+J89</f>
        <v>7.0666666666666682</v>
      </c>
      <c r="I89" s="2">
        <f>R89+S89</f>
        <v>0.40000000000000097</v>
      </c>
      <c r="J89" s="2">
        <f>L89+M89+N89+O89</f>
        <v>6.666666666666667</v>
      </c>
      <c r="L89" s="2">
        <v>0</v>
      </c>
      <c r="M89" s="2">
        <v>0</v>
      </c>
      <c r="N89" s="2">
        <v>0</v>
      </c>
      <c r="O89" s="2">
        <f>100/15</f>
        <v>6.666666666666667</v>
      </c>
      <c r="P89" s="2">
        <f>100/2.6</f>
        <v>38.46153846153846</v>
      </c>
      <c r="R89" s="2">
        <f>(76-((U89*0.1)+(V89*0.5)+(W89*0.35)+(X89*0.15)))/3</f>
        <v>-9.9999999999999048E-2</v>
      </c>
      <c r="S89">
        <f>AA89+AB89+AC89+AD89</f>
        <v>0.5</v>
      </c>
      <c r="U89">
        <f>VLOOKUP(AE89,'pff grades'!$A$2:$J$135,9,FALSE)</f>
        <v>76</v>
      </c>
      <c r="V89">
        <f>VLOOKUP(AE89,'pff grades'!$A$2:$M$135,12,FALSE)</f>
        <v>82.1</v>
      </c>
      <c r="W89">
        <f>VLOOKUP(AE89,'pff grades'!$A$2:$M$135,10,FALSE)</f>
        <v>49.3</v>
      </c>
      <c r="X89">
        <f>VLOOKUP(AE89,'pff grades'!$A$2:$M$135,11,FALSE)</f>
        <v>69.3</v>
      </c>
      <c r="Z89">
        <v>29.5</v>
      </c>
      <c r="AA89">
        <v>0.25</v>
      </c>
      <c r="AB89">
        <v>0</v>
      </c>
      <c r="AC89">
        <v>0</v>
      </c>
      <c r="AD89">
        <v>0.25</v>
      </c>
      <c r="AE89" t="s">
        <v>399</v>
      </c>
    </row>
    <row r="90" spans="1:31" x14ac:dyDescent="0.25">
      <c r="A90" s="4" t="s">
        <v>115</v>
      </c>
      <c r="B90" s="4" t="s">
        <v>116</v>
      </c>
      <c r="C90" s="4"/>
      <c r="D90" s="4" t="s">
        <v>10</v>
      </c>
      <c r="E90" s="4" t="s">
        <v>404</v>
      </c>
      <c r="F90" s="4">
        <v>15</v>
      </c>
      <c r="G90" s="4"/>
      <c r="H90" s="2">
        <f>I90+J90</f>
        <v>6.6658064516129016</v>
      </c>
      <c r="I90" s="2">
        <f>R90+S90</f>
        <v>-2.8100000000000023</v>
      </c>
      <c r="J90" s="2">
        <f>L90+M90+N90+O90</f>
        <v>9.4758064516129039</v>
      </c>
      <c r="L90" s="2">
        <v>0</v>
      </c>
      <c r="M90" s="2">
        <v>0</v>
      </c>
      <c r="N90" s="2">
        <f>100/16</f>
        <v>6.25</v>
      </c>
      <c r="O90" s="2">
        <f>100/31</f>
        <v>3.225806451612903</v>
      </c>
      <c r="P90" s="2">
        <f>100/4.34</f>
        <v>23.041474654377883</v>
      </c>
      <c r="R90" s="2">
        <f>(76-((U90*0.1)+(V90*0.5)+(W90*0.1)+(X90*0.3)))/3</f>
        <v>-3.0600000000000023</v>
      </c>
      <c r="S90">
        <f>AA90+AB90+AC90+AD90</f>
        <v>0.25</v>
      </c>
      <c r="U90">
        <f>VLOOKUP(AE90,'pff grades'!$A$2:$J$135,9,FALSE)</f>
        <v>86.5</v>
      </c>
      <c r="V90">
        <f>VLOOKUP(AE90,'pff grades'!$A$2:$M$135,12,FALSE)</f>
        <v>92</v>
      </c>
      <c r="W90">
        <f>VLOOKUP(AE90,'pff grades'!$A$2:$M$135,10,FALSE)</f>
        <v>80.3</v>
      </c>
      <c r="X90">
        <f>VLOOKUP(AE90,'pff grades'!$A$2:$M$135,11,FALSE)</f>
        <v>75</v>
      </c>
      <c r="Z90">
        <v>13.5</v>
      </c>
      <c r="AA90">
        <v>0.25</v>
      </c>
      <c r="AB90">
        <v>0</v>
      </c>
      <c r="AC90">
        <v>0</v>
      </c>
      <c r="AD90">
        <v>0</v>
      </c>
      <c r="AE90" t="s">
        <v>361</v>
      </c>
    </row>
    <row r="91" spans="1:31" x14ac:dyDescent="0.25">
      <c r="A91" s="4" t="s">
        <v>121</v>
      </c>
      <c r="B91" s="4" t="s">
        <v>122</v>
      </c>
      <c r="C91" s="4"/>
      <c r="D91" s="4" t="s">
        <v>10</v>
      </c>
      <c r="E91" s="4" t="s">
        <v>381</v>
      </c>
      <c r="F91" s="4">
        <v>14</v>
      </c>
      <c r="G91" s="4"/>
      <c r="H91" s="2">
        <f>I91+J91</f>
        <v>6.6223076923076896</v>
      </c>
      <c r="I91" s="2">
        <f>R91+S91</f>
        <v>-1.0700000000000027</v>
      </c>
      <c r="J91" s="2">
        <f>L91+M91+N91+O91</f>
        <v>7.6923076923076925</v>
      </c>
      <c r="L91" s="2">
        <v>0</v>
      </c>
      <c r="M91" s="2">
        <v>0</v>
      </c>
      <c r="N91" s="2">
        <v>0</v>
      </c>
      <c r="O91" s="2">
        <f>100/13</f>
        <v>7.6923076923076925</v>
      </c>
      <c r="P91" s="2">
        <f>100/2.65</f>
        <v>37.735849056603776</v>
      </c>
      <c r="R91" s="2">
        <f>(76-((U91*0.1)+(V91*0.5)+(W91*0.1)+(X91*0.3)))/3</f>
        <v>-1.0700000000000027</v>
      </c>
      <c r="S91">
        <f>AA91+AB91+AC91+AD91</f>
        <v>0</v>
      </c>
      <c r="U91">
        <f>VLOOKUP(AE91,'pff grades'!$A$2:$J$135,9,FALSE)</f>
        <v>91.4</v>
      </c>
      <c r="V91">
        <f>VLOOKUP(AE91,'pff grades'!$A$2:$M$135,12,FALSE)</f>
        <v>78.7</v>
      </c>
      <c r="W91">
        <f>VLOOKUP(AE91,'pff grades'!$A$2:$M$135,10,FALSE)</f>
        <v>73.5</v>
      </c>
      <c r="X91">
        <f>VLOOKUP(AE91,'pff grades'!$A$2:$M$135,11,FALSE)</f>
        <v>77.900000000000006</v>
      </c>
      <c r="Z91">
        <v>18.5</v>
      </c>
      <c r="AA91">
        <v>0.25</v>
      </c>
      <c r="AB91">
        <v>-0.25</v>
      </c>
      <c r="AC91">
        <v>0</v>
      </c>
      <c r="AD91">
        <v>0</v>
      </c>
      <c r="AE91" t="s">
        <v>337</v>
      </c>
    </row>
    <row r="92" spans="1:31" x14ac:dyDescent="0.25">
      <c r="A92" s="4" t="s">
        <v>117</v>
      </c>
      <c r="B92" s="4" t="s">
        <v>118</v>
      </c>
      <c r="C92" s="4"/>
      <c r="D92" s="4" t="s">
        <v>10</v>
      </c>
      <c r="E92" s="4" t="s">
        <v>311</v>
      </c>
      <c r="F92" s="4">
        <v>14.4</v>
      </c>
      <c r="G92" s="4" t="s">
        <v>413</v>
      </c>
      <c r="H92" s="2">
        <f>I92+J92</f>
        <v>6.5233333333333361</v>
      </c>
      <c r="I92" s="2">
        <f>R92+S92</f>
        <v>-0.14333333333333087</v>
      </c>
      <c r="J92" s="2">
        <f>L92+M92+N92+O92</f>
        <v>6.666666666666667</v>
      </c>
      <c r="L92" s="2">
        <v>0</v>
      </c>
      <c r="M92" s="2">
        <f>100/15</f>
        <v>6.666666666666667</v>
      </c>
      <c r="N92" s="2">
        <v>0</v>
      </c>
      <c r="O92" s="2">
        <v>0</v>
      </c>
      <c r="P92" s="2">
        <v>0</v>
      </c>
      <c r="R92" s="2">
        <f>(76-((U92*0.1)+(V92*0.5)+(W92*0.1)+(X92*0.3)))/3</f>
        <v>0.10666666666666913</v>
      </c>
      <c r="S92">
        <f>AA92+AB92+AC92+AD92</f>
        <v>-0.25</v>
      </c>
      <c r="U92">
        <f>VLOOKUP(AE92,'pff grades'!$A$2:$J$135,9,FALSE)</f>
        <v>71.599999999999994</v>
      </c>
      <c r="V92">
        <f>VLOOKUP(AE92,'pff grades'!$A$2:$M$135,12,FALSE)</f>
        <v>73.099999999999994</v>
      </c>
      <c r="W92">
        <f>VLOOKUP(AE92,'pff grades'!$A$2:$M$135,10,FALSE)</f>
        <v>69.5</v>
      </c>
      <c r="X92">
        <f>VLOOKUP(AE92,'pff grades'!$A$2:$M$135,11,FALSE)</f>
        <v>83.4</v>
      </c>
      <c r="Z92">
        <v>25.5</v>
      </c>
      <c r="AA92">
        <v>-0.25</v>
      </c>
      <c r="AB92">
        <v>-0.25</v>
      </c>
      <c r="AC92">
        <v>0</v>
      </c>
      <c r="AD92">
        <v>0.25</v>
      </c>
      <c r="AE92" t="s">
        <v>338</v>
      </c>
    </row>
    <row r="93" spans="1:31" x14ac:dyDescent="0.25">
      <c r="A93" s="7" t="s">
        <v>199</v>
      </c>
      <c r="B93" s="7" t="s">
        <v>200</v>
      </c>
      <c r="C93" s="7"/>
      <c r="D93" s="7" t="s">
        <v>7</v>
      </c>
      <c r="E93" s="7" t="s">
        <v>293</v>
      </c>
      <c r="F93" s="7">
        <v>6.7</v>
      </c>
      <c r="G93" s="7"/>
      <c r="H93" s="2">
        <f>I93+J93</f>
        <v>6.0332758620689688</v>
      </c>
      <c r="I93" s="2">
        <f>R93+S93</f>
        <v>2.5850000000000031</v>
      </c>
      <c r="J93" s="2">
        <f>L93+M93+N93+O93</f>
        <v>3.4482758620689653</v>
      </c>
      <c r="L93" s="2">
        <v>0</v>
      </c>
      <c r="M93" s="2">
        <v>0</v>
      </c>
      <c r="N93" s="2">
        <v>0</v>
      </c>
      <c r="O93" s="2">
        <f>100/29</f>
        <v>3.4482758620689653</v>
      </c>
      <c r="P93" s="2">
        <f>100/3.95</f>
        <v>25.316455696202532</v>
      </c>
      <c r="R93" s="2">
        <f>(76-((U93*0.1)+(V93*0.5)+(W93*0.35)+(X93*0.15)))/3</f>
        <v>2.0850000000000031</v>
      </c>
      <c r="S93">
        <f>AA93+AB93+AC93+AD93</f>
        <v>0.5</v>
      </c>
      <c r="U93">
        <f>VLOOKUP(AE93,'pff grades'!$A$2:$J$135,9,FALSE)</f>
        <v>88.2</v>
      </c>
      <c r="V93">
        <f>VLOOKUP(AE93,'pff grades'!$A$2:$M$135,12,FALSE)</f>
        <v>46.8</v>
      </c>
      <c r="W93">
        <f>VLOOKUP(AE93,'pff grades'!$A$2:$M$135,10,FALSE)</f>
        <v>79.7</v>
      </c>
      <c r="X93">
        <f>VLOOKUP(AE93,'pff grades'!$A$2:$M$135,11,FALSE)</f>
        <v>64.2</v>
      </c>
      <c r="Z93">
        <v>30.5</v>
      </c>
      <c r="AA93">
        <v>0.25</v>
      </c>
      <c r="AB93">
        <v>0</v>
      </c>
      <c r="AC93">
        <v>0</v>
      </c>
      <c r="AD93">
        <v>0.25</v>
      </c>
      <c r="AE93" t="s">
        <v>408</v>
      </c>
    </row>
    <row r="94" spans="1:31" x14ac:dyDescent="0.25">
      <c r="A94" s="4" t="s">
        <v>58</v>
      </c>
      <c r="B94" s="4" t="s">
        <v>108</v>
      </c>
      <c r="C94" s="4"/>
      <c r="D94" s="4" t="s">
        <v>10</v>
      </c>
      <c r="E94" s="4" t="s">
        <v>370</v>
      </c>
      <c r="F94" s="4">
        <v>18.7</v>
      </c>
      <c r="G94" s="4" t="s">
        <v>413</v>
      </c>
      <c r="H94" s="2">
        <f>I94+J94</f>
        <v>5.8689743589743593</v>
      </c>
      <c r="I94" s="2">
        <f>R94+S94</f>
        <v>-1.823333333333333</v>
      </c>
      <c r="J94" s="2">
        <f>L94+M94+N94+O94</f>
        <v>7.6923076923076925</v>
      </c>
      <c r="L94" s="2">
        <v>0</v>
      </c>
      <c r="M94" s="2">
        <v>0</v>
      </c>
      <c r="N94" s="2">
        <v>0</v>
      </c>
      <c r="O94" s="2">
        <f>100/13</f>
        <v>7.6923076923076925</v>
      </c>
      <c r="P94" s="2">
        <f>100/2.45</f>
        <v>40.816326530612244</v>
      </c>
      <c r="R94" s="2">
        <f>(76-((U94*0.1)+(V94*0.5)+(W94*0.1)+(X94*0.3)))/3</f>
        <v>-1.323333333333333</v>
      </c>
      <c r="S94">
        <f>AA94+AB94+AC94+AD94</f>
        <v>-0.5</v>
      </c>
      <c r="U94">
        <f>VLOOKUP(AE94,'pff grades'!$A$2:$J$135,9,FALSE)</f>
        <v>80.599999999999994</v>
      </c>
      <c r="V94">
        <f>VLOOKUP(AE94,'pff grades'!$A$2:$M$135,12,FALSE)</f>
        <v>89.4</v>
      </c>
      <c r="W94">
        <f>VLOOKUP(AE94,'pff grades'!$A$2:$M$135,10,FALSE)</f>
        <v>71.7</v>
      </c>
      <c r="X94">
        <f>VLOOKUP(AE94,'pff grades'!$A$2:$M$135,11,FALSE)</f>
        <v>66.8</v>
      </c>
      <c r="Z94">
        <v>20.5</v>
      </c>
      <c r="AA94">
        <v>-0.25</v>
      </c>
      <c r="AB94">
        <v>-0.25</v>
      </c>
      <c r="AC94">
        <v>0</v>
      </c>
      <c r="AD94">
        <v>0</v>
      </c>
      <c r="AE94" t="s">
        <v>303</v>
      </c>
    </row>
    <row r="95" spans="1:31" x14ac:dyDescent="0.25">
      <c r="A95" s="7" t="s">
        <v>186</v>
      </c>
      <c r="B95" s="7" t="s">
        <v>187</v>
      </c>
      <c r="C95" s="7"/>
      <c r="D95" s="7" t="s">
        <v>7</v>
      </c>
      <c r="E95" s="7" t="s">
        <v>293</v>
      </c>
      <c r="F95" s="7">
        <v>7</v>
      </c>
      <c r="G95" s="7"/>
      <c r="H95" s="2">
        <f>I95+J95</f>
        <v>5.8108064516129065</v>
      </c>
      <c r="I95" s="2">
        <f>R95+S95</f>
        <v>2.5850000000000031</v>
      </c>
      <c r="J95" s="2">
        <f>L95+M95+N95+O95</f>
        <v>3.225806451612903</v>
      </c>
      <c r="L95" s="2">
        <v>0</v>
      </c>
      <c r="M95" s="2">
        <v>0</v>
      </c>
      <c r="N95" s="2">
        <v>0</v>
      </c>
      <c r="O95" s="2">
        <f>100/31</f>
        <v>3.225806451612903</v>
      </c>
      <c r="P95" s="2">
        <f>100/4</f>
        <v>25</v>
      </c>
      <c r="R95" s="2">
        <f>(76-((U95*0.1)+(V95*0.5)+(W95*0.35)+(X95*0.15)))/3</f>
        <v>2.0850000000000031</v>
      </c>
      <c r="S95">
        <f>AA95+AB95+AC95+AD95</f>
        <v>0.5</v>
      </c>
      <c r="U95">
        <f>VLOOKUP(AE95,'pff grades'!$A$2:$J$135,9,FALSE)</f>
        <v>88.2</v>
      </c>
      <c r="V95">
        <f>VLOOKUP(AE95,'pff grades'!$A$2:$M$135,12,FALSE)</f>
        <v>46.8</v>
      </c>
      <c r="W95">
        <f>VLOOKUP(AE95,'pff grades'!$A$2:$M$135,10,FALSE)</f>
        <v>79.7</v>
      </c>
      <c r="X95">
        <f>VLOOKUP(AE95,'pff grades'!$A$2:$M$135,11,FALSE)</f>
        <v>64.2</v>
      </c>
      <c r="Z95">
        <v>30.5</v>
      </c>
      <c r="AA95">
        <v>0.25</v>
      </c>
      <c r="AB95">
        <v>0</v>
      </c>
      <c r="AC95">
        <v>0</v>
      </c>
      <c r="AD95">
        <v>0.25</v>
      </c>
      <c r="AE95" t="s">
        <v>408</v>
      </c>
    </row>
    <row r="96" spans="1:31" x14ac:dyDescent="0.25">
      <c r="A96" s="7" t="s">
        <v>164</v>
      </c>
      <c r="B96" s="7" t="s">
        <v>125</v>
      </c>
      <c r="C96" s="7"/>
      <c r="D96" s="7" t="s">
        <v>7</v>
      </c>
      <c r="E96" s="7" t="s">
        <v>377</v>
      </c>
      <c r="F96" s="7">
        <v>8.1</v>
      </c>
      <c r="G96" s="7"/>
      <c r="H96" s="2">
        <f>I96+J96</f>
        <v>5.5571428571428552</v>
      </c>
      <c r="I96" s="2">
        <f>R96+S96</f>
        <v>-3.9666666666666686</v>
      </c>
      <c r="J96" s="2">
        <f>L96+M96+N96+O96</f>
        <v>9.5238095238095237</v>
      </c>
      <c r="L96" s="2">
        <v>0</v>
      </c>
      <c r="M96" s="2">
        <v>0</v>
      </c>
      <c r="N96" s="2">
        <v>0</v>
      </c>
      <c r="O96" s="2">
        <f>100/10.5</f>
        <v>9.5238095238095237</v>
      </c>
      <c r="P96" s="2">
        <f>100/2.35</f>
        <v>42.553191489361701</v>
      </c>
      <c r="R96" s="2">
        <f>(76-((U96*0.1)+(V96*0.5)+(W96*0.35)+(X96*0.15)))/3</f>
        <v>-4.7166666666666686</v>
      </c>
      <c r="S96">
        <f>AA96+AB96+AC96+AD96</f>
        <v>0.75</v>
      </c>
      <c r="U96">
        <f>VLOOKUP(AE96,'pff grades'!$A$2:$J$135,9,FALSE)</f>
        <v>90.7</v>
      </c>
      <c r="V96">
        <f>VLOOKUP(AE96,'pff grades'!$A$2:$M$135,12,FALSE)</f>
        <v>84.7</v>
      </c>
      <c r="W96">
        <f>VLOOKUP(AE96,'pff grades'!$A$2:$M$135,10,FALSE)</f>
        <v>81.3</v>
      </c>
      <c r="X96">
        <f>VLOOKUP(AE96,'pff grades'!$A$2:$M$135,11,FALSE)</f>
        <v>68.5</v>
      </c>
      <c r="Z96">
        <v>36.5</v>
      </c>
      <c r="AA96">
        <v>0.5</v>
      </c>
      <c r="AB96">
        <v>0</v>
      </c>
      <c r="AC96">
        <v>0</v>
      </c>
      <c r="AD96">
        <v>0.25</v>
      </c>
      <c r="AE96" t="s">
        <v>295</v>
      </c>
    </row>
    <row r="97" spans="1:31" x14ac:dyDescent="0.25">
      <c r="A97" s="7" t="s">
        <v>70</v>
      </c>
      <c r="B97" s="7" t="s">
        <v>71</v>
      </c>
      <c r="C97" s="7">
        <v>32.799999999999997</v>
      </c>
      <c r="D97" s="7" t="s">
        <v>7</v>
      </c>
      <c r="E97" s="7" t="s">
        <v>391</v>
      </c>
      <c r="F97" s="7">
        <v>12.8</v>
      </c>
      <c r="G97" s="7"/>
      <c r="H97" s="2">
        <f>I97+J97</f>
        <v>5.0883333333333338</v>
      </c>
      <c r="I97" s="2">
        <f>R97+S97</f>
        <v>-4.9116666666666662</v>
      </c>
      <c r="J97" s="2">
        <f>L97+M97+N97+O97</f>
        <v>10</v>
      </c>
      <c r="L97" s="2">
        <v>0</v>
      </c>
      <c r="M97" s="2">
        <v>0</v>
      </c>
      <c r="N97" s="2">
        <v>0</v>
      </c>
      <c r="O97" s="2">
        <f>100/10</f>
        <v>10</v>
      </c>
      <c r="P97" s="2">
        <f>100/2.35</f>
        <v>42.553191489361701</v>
      </c>
      <c r="R97" s="2">
        <f>(76-((U97*0.1)+(V97*0.5)+(W97*0.35)+(X97*0.15)))/3</f>
        <v>-5.1616666666666662</v>
      </c>
      <c r="S97">
        <f>AA97+AB97+AC97+AD97</f>
        <v>0.25</v>
      </c>
      <c r="U97">
        <f>VLOOKUP(AE97,'pff grades'!$A$2:$J$135,9,FALSE)</f>
        <v>87.2</v>
      </c>
      <c r="V97">
        <f>VLOOKUP(AE97,'pff grades'!$A$2:$M$135,12,FALSE)</f>
        <v>90</v>
      </c>
      <c r="W97">
        <f>VLOOKUP(AE97,'pff grades'!$A$2:$M$135,10,FALSE)</f>
        <v>79.099999999999994</v>
      </c>
      <c r="X97">
        <f>VLOOKUP(AE97,'pff grades'!$A$2:$M$135,11,FALSE)</f>
        <v>67.2</v>
      </c>
      <c r="Z97">
        <v>29.5</v>
      </c>
      <c r="AA97">
        <v>0.25</v>
      </c>
      <c r="AB97">
        <v>0</v>
      </c>
      <c r="AC97">
        <v>-0.25</v>
      </c>
      <c r="AD97">
        <v>0.25</v>
      </c>
      <c r="AE97" t="s">
        <v>351</v>
      </c>
    </row>
    <row r="98" spans="1:31" x14ac:dyDescent="0.25">
      <c r="A98" s="5" t="s">
        <v>167</v>
      </c>
      <c r="B98" s="5" t="s">
        <v>168</v>
      </c>
      <c r="C98" s="5"/>
      <c r="D98" s="5" t="s">
        <v>2</v>
      </c>
      <c r="E98" s="5" t="s">
        <v>352</v>
      </c>
      <c r="F98" s="5">
        <v>7.8</v>
      </c>
      <c r="G98" s="5" t="s">
        <v>169</v>
      </c>
      <c r="H98" s="2">
        <f>I98+J98</f>
        <v>4.8685714285714266</v>
      </c>
      <c r="I98" s="2">
        <f>R98+S98</f>
        <v>0.10666666666666441</v>
      </c>
      <c r="J98" s="2">
        <f>L98+M98+N98+O98</f>
        <v>4.7619047619047619</v>
      </c>
      <c r="L98" s="2">
        <v>0</v>
      </c>
      <c r="M98" s="2">
        <v>0</v>
      </c>
      <c r="N98" s="2">
        <v>0</v>
      </c>
      <c r="O98" s="2">
        <f>100/21</f>
        <v>4.7619047619047619</v>
      </c>
      <c r="P98" s="2">
        <f>100/3.6</f>
        <v>27.777777777777779</v>
      </c>
      <c r="R98" s="2">
        <f>(76-((U98*0.4)+(V98*0.1)+(W98*0.25)+(X98*0.25)))/3</f>
        <v>0.35666666666666441</v>
      </c>
      <c r="S98">
        <f>AA98+AB98+AC98+AD98</f>
        <v>-0.25</v>
      </c>
      <c r="U98">
        <f>VLOOKUP(AE98,'pff grades'!$A$2:$J$135,9,FALSE)</f>
        <v>74.2</v>
      </c>
      <c r="V98">
        <f>VLOOKUP(AE98,'pff grades'!$A$2:$M$135,12,FALSE)</f>
        <v>78</v>
      </c>
      <c r="W98">
        <f>VLOOKUP(AE98,'pff grades'!$A$2:$M$135,10,FALSE)</f>
        <v>80.8</v>
      </c>
      <c r="X98">
        <f>VLOOKUP(AE98,'pff grades'!$A$2:$M$135,11,FALSE)</f>
        <v>69</v>
      </c>
      <c r="Z98">
        <v>20.5</v>
      </c>
      <c r="AA98">
        <v>0.25</v>
      </c>
      <c r="AB98">
        <v>-0.25</v>
      </c>
      <c r="AC98">
        <v>-0.5</v>
      </c>
      <c r="AD98">
        <v>0.25</v>
      </c>
      <c r="AE98" t="s">
        <v>397</v>
      </c>
    </row>
    <row r="99" spans="1:31" x14ac:dyDescent="0.25">
      <c r="A99" s="5" t="s">
        <v>245</v>
      </c>
      <c r="B99" s="5" t="s">
        <v>246</v>
      </c>
      <c r="C99" s="5"/>
      <c r="D99" s="5" t="s">
        <v>2</v>
      </c>
      <c r="E99" s="5" t="s">
        <v>303</v>
      </c>
      <c r="F99" s="5">
        <v>5</v>
      </c>
      <c r="G99" s="5"/>
      <c r="H99" s="2">
        <f>I99+J99</f>
        <v>4.2723529411764671</v>
      </c>
      <c r="I99" s="2">
        <f>R99+S99</f>
        <v>-1.6100000000000041</v>
      </c>
      <c r="J99" s="2">
        <f>L99+M99+N99+O99</f>
        <v>5.882352941176471</v>
      </c>
      <c r="L99" s="2">
        <v>0</v>
      </c>
      <c r="M99" s="2">
        <v>0</v>
      </c>
      <c r="N99" s="2">
        <v>0</v>
      </c>
      <c r="O99" s="2">
        <f>100/17</f>
        <v>5.882352941176471</v>
      </c>
      <c r="P99" s="2">
        <f>100/3.6</f>
        <v>27.777777777777779</v>
      </c>
      <c r="R99" s="2">
        <f>(76-((U99*0.4)+(V99*0.1)+(W99*0.25)+(X99*0.25)))/3</f>
        <v>-1.8600000000000041</v>
      </c>
      <c r="S99">
        <f>AA99+AB99+AC99+AD99</f>
        <v>0.25</v>
      </c>
      <c r="U99">
        <f>VLOOKUP(AE99,'pff grades'!$A$2:$J$135,9,FALSE)</f>
        <v>85.5</v>
      </c>
      <c r="V99">
        <f>VLOOKUP(AE99,'pff grades'!$A$2:$M$135,12,FALSE)</f>
        <v>83.8</v>
      </c>
      <c r="W99">
        <f>VLOOKUP(AE99,'pff grades'!$A$2:$M$135,10,FALSE)</f>
        <v>81.900000000000006</v>
      </c>
      <c r="X99">
        <f>VLOOKUP(AE99,'pff grades'!$A$2:$M$135,11,FALSE)</f>
        <v>74.099999999999994</v>
      </c>
      <c r="Z99">
        <v>31.5</v>
      </c>
      <c r="AA99">
        <v>0</v>
      </c>
      <c r="AB99">
        <v>0</v>
      </c>
      <c r="AC99">
        <v>0</v>
      </c>
      <c r="AD99">
        <v>0.25</v>
      </c>
      <c r="AE99" t="s">
        <v>370</v>
      </c>
    </row>
    <row r="100" spans="1:31" x14ac:dyDescent="0.25">
      <c r="A100" s="4" t="s">
        <v>131</v>
      </c>
      <c r="B100" s="4" t="s">
        <v>132</v>
      </c>
      <c r="C100" s="4"/>
      <c r="D100" s="4" t="s">
        <v>10</v>
      </c>
      <c r="E100" s="4" t="s">
        <v>352</v>
      </c>
      <c r="F100" s="4">
        <v>11.8</v>
      </c>
      <c r="G100" s="4" t="s">
        <v>413</v>
      </c>
      <c r="H100" s="2">
        <f>I100+J100</f>
        <v>3.862820512820512</v>
      </c>
      <c r="I100" s="2">
        <f>R100+S100</f>
        <v>1.6666666666665719E-2</v>
      </c>
      <c r="J100" s="2">
        <f>L100+M100+N100+O100</f>
        <v>3.8461538461538463</v>
      </c>
      <c r="L100" s="2">
        <v>0</v>
      </c>
      <c r="M100" s="2">
        <v>0</v>
      </c>
      <c r="N100" s="2">
        <v>0</v>
      </c>
      <c r="O100" s="2">
        <f>100/26</f>
        <v>3.8461538461538463</v>
      </c>
      <c r="P100" s="2">
        <f>100/4.1</f>
        <v>24.390243902439025</v>
      </c>
      <c r="R100" s="2">
        <f>(76-((U100*0.1)+(V100*0.5)+(W100*0.1)+(X100*0.3)))/3</f>
        <v>0.26666666666666572</v>
      </c>
      <c r="S100">
        <f>AA100+AB100+AC100+AD100</f>
        <v>-0.25</v>
      </c>
      <c r="U100">
        <f>VLOOKUP(AE100,'pff grades'!$A$2:$J$135,9,FALSE)</f>
        <v>74.2</v>
      </c>
      <c r="V100">
        <f>VLOOKUP(AE100,'pff grades'!$A$2:$M$135,12,FALSE)</f>
        <v>78</v>
      </c>
      <c r="W100">
        <f>VLOOKUP(AE100,'pff grades'!$A$2:$M$135,10,FALSE)</f>
        <v>80.8</v>
      </c>
      <c r="X100">
        <f>VLOOKUP(AE100,'pff grades'!$A$2:$M$135,11,FALSE)</f>
        <v>69</v>
      </c>
      <c r="Z100">
        <v>20.5</v>
      </c>
      <c r="AA100">
        <v>0.25</v>
      </c>
      <c r="AB100">
        <v>-0.25</v>
      </c>
      <c r="AC100">
        <v>-0.5</v>
      </c>
      <c r="AD100">
        <v>0.25</v>
      </c>
      <c r="AE100" t="s">
        <v>397</v>
      </c>
    </row>
    <row r="101" spans="1:31" x14ac:dyDescent="0.25">
      <c r="A101" s="6" t="s">
        <v>81</v>
      </c>
      <c r="B101" s="6" t="s">
        <v>82</v>
      </c>
      <c r="C101" s="6">
        <v>34.799999999999997</v>
      </c>
      <c r="D101" s="6" t="s">
        <v>21</v>
      </c>
      <c r="E101" s="6" t="s">
        <v>377</v>
      </c>
      <c r="F101" s="6">
        <v>6.7</v>
      </c>
      <c r="G101" s="6"/>
      <c r="H101" s="2">
        <f>I101+J101</f>
        <v>3.4311594202898545</v>
      </c>
      <c r="I101" s="2">
        <f>R101+S101</f>
        <v>-0.91666666666666674</v>
      </c>
      <c r="J101" s="2">
        <f>L101+M101+N101+O101</f>
        <v>4.3478260869565215</v>
      </c>
      <c r="L101" s="2">
        <v>0</v>
      </c>
      <c r="M101" s="2">
        <v>0</v>
      </c>
      <c r="N101" s="2">
        <v>0</v>
      </c>
      <c r="O101" s="2">
        <f>100/23</f>
        <v>4.3478260869565215</v>
      </c>
      <c r="P101" s="2">
        <f>100/3.6</f>
        <v>27.777777777777779</v>
      </c>
      <c r="R101" s="2">
        <f>(76-((U101*0.2)+(V101*0.3)+(W101*0.25)+(X101*0.25)))/3</f>
        <v>-1.6666666666666667</v>
      </c>
      <c r="S101">
        <f>AA101+AB101+AC101+AD101</f>
        <v>0.75</v>
      </c>
      <c r="U101">
        <f>VLOOKUP(AE101,'pff grades'!$A$2:$J$135,9,FALSE)</f>
        <v>90.7</v>
      </c>
      <c r="V101">
        <f>VLOOKUP(AE101,'pff grades'!$A$2:$M$135,12,FALSE)</f>
        <v>84.7</v>
      </c>
      <c r="W101">
        <f>VLOOKUP(AE101,'pff grades'!$A$2:$M$135,10,FALSE)</f>
        <v>81.3</v>
      </c>
      <c r="X101">
        <f>VLOOKUP(AE101,'pff grades'!$A$2:$M$135,11,FALSE)</f>
        <v>68.5</v>
      </c>
      <c r="Z101">
        <v>36.5</v>
      </c>
      <c r="AA101">
        <v>0.5</v>
      </c>
      <c r="AB101">
        <v>0</v>
      </c>
      <c r="AC101">
        <v>0</v>
      </c>
      <c r="AD101">
        <v>0.25</v>
      </c>
      <c r="AE101" t="s">
        <v>295</v>
      </c>
    </row>
    <row r="102" spans="1:31" x14ac:dyDescent="0.25">
      <c r="A102" s="5" t="s">
        <v>213</v>
      </c>
      <c r="B102" s="5" t="s">
        <v>214</v>
      </c>
      <c r="C102" s="5"/>
      <c r="D102" s="5" t="s">
        <v>2</v>
      </c>
      <c r="E102" s="5" t="s">
        <v>295</v>
      </c>
      <c r="F102" s="5">
        <v>6.1</v>
      </c>
      <c r="G102" s="5" t="s">
        <v>413</v>
      </c>
      <c r="H102" s="2">
        <f>I102+J102</f>
        <v>3.2255555555555522</v>
      </c>
      <c r="I102" s="2">
        <f>R102+S102</f>
        <v>-2.3300000000000032</v>
      </c>
      <c r="J102" s="2">
        <f>L102+M102+N102+O102</f>
        <v>5.5555555555555554</v>
      </c>
      <c r="L102" s="2">
        <v>0</v>
      </c>
      <c r="M102" s="2">
        <v>0</v>
      </c>
      <c r="N102" s="2">
        <v>0</v>
      </c>
      <c r="O102" s="2">
        <f>100/18</f>
        <v>5.5555555555555554</v>
      </c>
      <c r="P102" s="2">
        <f>100/3</f>
        <v>33.333333333333336</v>
      </c>
      <c r="R102" s="2">
        <f>(76-((U102*0.4)+(V102*0.1)+(W102*0.25)+(X102*0.25)))/3</f>
        <v>-2.5800000000000032</v>
      </c>
      <c r="S102">
        <f>AA102+AB102+AC102+AD102</f>
        <v>0.25</v>
      </c>
      <c r="U102">
        <f>VLOOKUP(AE102,'pff grades'!$A$2:$J$135,9,FALSE)</f>
        <v>93.7</v>
      </c>
      <c r="V102">
        <f>VLOOKUP(AE102,'pff grades'!$A$2:$M$135,12,FALSE)</f>
        <v>86.1</v>
      </c>
      <c r="W102">
        <f>VLOOKUP(AE102,'pff grades'!$A$2:$M$135,10,FALSE)</f>
        <v>70.8</v>
      </c>
      <c r="X102">
        <f>VLOOKUP(AE102,'pff grades'!$A$2:$M$135,11,FALSE)</f>
        <v>79.8</v>
      </c>
      <c r="Z102">
        <v>16.5</v>
      </c>
      <c r="AA102">
        <v>0.25</v>
      </c>
      <c r="AB102">
        <v>0</v>
      </c>
      <c r="AC102">
        <v>-0.25</v>
      </c>
      <c r="AD102">
        <v>0.25</v>
      </c>
      <c r="AE102" t="s">
        <v>377</v>
      </c>
    </row>
    <row r="103" spans="1:31" x14ac:dyDescent="0.25">
      <c r="A103" s="6" t="s">
        <v>66</v>
      </c>
      <c r="B103" s="6" t="s">
        <v>67</v>
      </c>
      <c r="C103" s="6">
        <v>31.8</v>
      </c>
      <c r="D103" s="6" t="s">
        <v>21</v>
      </c>
      <c r="E103" s="6" t="s">
        <v>299</v>
      </c>
      <c r="F103" s="6">
        <v>5.5</v>
      </c>
      <c r="G103" s="6"/>
      <c r="H103" s="2">
        <f>I103+J103</f>
        <v>2.7516666666666652</v>
      </c>
      <c r="I103" s="2">
        <f>R103+S103</f>
        <v>2.7516666666666652</v>
      </c>
      <c r="J103" s="2">
        <f>L103+M103+N103+O103</f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R103" s="2">
        <f>(76-((U103*0.2)+(V103*0.3)+(W103*0.25)+(X103*0.25)))/3</f>
        <v>2.5016666666666652</v>
      </c>
      <c r="S103">
        <f>AA103+AB103+AC103+AD103</f>
        <v>0.25</v>
      </c>
      <c r="U103">
        <f>VLOOKUP(AE103,'pff grades'!$A$2:$J$135,9,FALSE)</f>
        <v>76</v>
      </c>
      <c r="V103">
        <f>VLOOKUP(AE103,'pff grades'!$A$2:$M$135,12,FALSE)</f>
        <v>75.400000000000006</v>
      </c>
      <c r="W103">
        <f>VLOOKUP(AE103,'pff grades'!$A$2:$M$135,10,FALSE)</f>
        <v>50.4</v>
      </c>
      <c r="X103">
        <f>VLOOKUP(AE103,'pff grades'!$A$2:$M$135,11,FALSE)</f>
        <v>72.3</v>
      </c>
      <c r="Z103">
        <v>34.5</v>
      </c>
      <c r="AA103">
        <v>0.25</v>
      </c>
      <c r="AB103">
        <v>-0.25</v>
      </c>
      <c r="AC103">
        <v>0</v>
      </c>
      <c r="AD103">
        <v>0.25</v>
      </c>
      <c r="AE103" t="s">
        <v>382</v>
      </c>
    </row>
    <row r="104" spans="1:31" x14ac:dyDescent="0.25">
      <c r="A104" s="6" t="s">
        <v>224</v>
      </c>
      <c r="B104" s="6" t="s">
        <v>225</v>
      </c>
      <c r="C104" s="6"/>
      <c r="D104" s="6" t="s">
        <v>21</v>
      </c>
      <c r="E104" s="6" t="s">
        <v>299</v>
      </c>
      <c r="F104" s="6">
        <v>5.7</v>
      </c>
      <c r="G104" s="6"/>
      <c r="H104" s="2">
        <f>I104+J104</f>
        <v>2.7516666666666652</v>
      </c>
      <c r="I104" s="2">
        <f>R104+S104</f>
        <v>2.7516666666666652</v>
      </c>
      <c r="J104" s="2">
        <f>L104+M104+N104+O104</f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R104" s="2">
        <f>(76-((U104*0.2)+(V104*0.3)+(W104*0.25)+(X104*0.25)))/3</f>
        <v>2.5016666666666652</v>
      </c>
      <c r="S104">
        <f>AA104+AB104+AC104+AD104</f>
        <v>0.25</v>
      </c>
      <c r="U104">
        <f>VLOOKUP(AE104,'pff grades'!$A$2:$J$135,9,FALSE)</f>
        <v>76</v>
      </c>
      <c r="V104">
        <f>VLOOKUP(AE104,'pff grades'!$A$2:$M$135,12,FALSE)</f>
        <v>75.400000000000006</v>
      </c>
      <c r="W104">
        <f>VLOOKUP(AE104,'pff grades'!$A$2:$M$135,10,FALSE)</f>
        <v>50.4</v>
      </c>
      <c r="X104">
        <f>VLOOKUP(AE104,'pff grades'!$A$2:$M$135,11,FALSE)</f>
        <v>72.3</v>
      </c>
      <c r="Z104">
        <v>34.5</v>
      </c>
      <c r="AA104">
        <v>0.25</v>
      </c>
      <c r="AB104">
        <v>-0.25</v>
      </c>
      <c r="AC104">
        <v>0</v>
      </c>
      <c r="AD104">
        <v>0.25</v>
      </c>
      <c r="AE104" t="s">
        <v>382</v>
      </c>
    </row>
    <row r="105" spans="1:31" x14ac:dyDescent="0.25">
      <c r="A105" s="5" t="s">
        <v>26</v>
      </c>
      <c r="B105" s="5" t="s">
        <v>27</v>
      </c>
      <c r="C105" s="5">
        <v>12.8</v>
      </c>
      <c r="D105" s="5" t="s">
        <v>2</v>
      </c>
      <c r="E105" s="5" t="s">
        <v>299</v>
      </c>
      <c r="F105" s="5">
        <v>21.1</v>
      </c>
      <c r="G105" s="5"/>
      <c r="H105" s="2">
        <f>I105+J105</f>
        <v>2.7116666666666638</v>
      </c>
      <c r="I105" s="2">
        <f>R105+S105</f>
        <v>2.7116666666666638</v>
      </c>
      <c r="J105" s="2">
        <f>L105+M105+N105+O105</f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R105" s="2">
        <f>(76-((U105*0.4)+(V105*0.1)+(W105*0.25)+(X105*0.25)))/3</f>
        <v>2.4616666666666638</v>
      </c>
      <c r="S105">
        <f>AA105+AB105+AC105+AD105</f>
        <v>0.25</v>
      </c>
      <c r="U105">
        <f>VLOOKUP(AE105,'pff grades'!$A$2:$J$135,9,FALSE)</f>
        <v>76</v>
      </c>
      <c r="V105">
        <f>VLOOKUP(AE105,'pff grades'!$A$2:$M$135,12,FALSE)</f>
        <v>75.400000000000006</v>
      </c>
      <c r="W105">
        <f>VLOOKUP(AE105,'pff grades'!$A$2:$M$135,10,FALSE)</f>
        <v>50.4</v>
      </c>
      <c r="X105">
        <f>VLOOKUP(AE105,'pff grades'!$A$2:$M$135,11,FALSE)</f>
        <v>72.3</v>
      </c>
      <c r="Z105">
        <v>34.5</v>
      </c>
      <c r="AA105">
        <v>0.25</v>
      </c>
      <c r="AB105">
        <v>-0.25</v>
      </c>
      <c r="AD105">
        <v>0.25</v>
      </c>
      <c r="AE105" t="s">
        <v>382</v>
      </c>
    </row>
    <row r="106" spans="1:31" x14ac:dyDescent="0.25">
      <c r="A106" s="5" t="s">
        <v>235</v>
      </c>
      <c r="B106" s="5" t="s">
        <v>197</v>
      </c>
      <c r="C106" s="5"/>
      <c r="D106" s="5" t="s">
        <v>2</v>
      </c>
      <c r="E106" s="5" t="s">
        <v>299</v>
      </c>
      <c r="F106" s="5">
        <v>5.2</v>
      </c>
      <c r="G106" s="5"/>
      <c r="H106" s="2">
        <f>I106+J106</f>
        <v>2.7116666666666638</v>
      </c>
      <c r="I106" s="2">
        <f>R106+S106</f>
        <v>2.7116666666666638</v>
      </c>
      <c r="J106" s="2">
        <f>L106+M106+N106+O106</f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R106" s="2">
        <f>(76-((U106*0.4)+(V106*0.1)+(W106*0.25)+(X106*0.25)))/3</f>
        <v>2.4616666666666638</v>
      </c>
      <c r="S106">
        <f>AA106+AB106+AC106+AD106</f>
        <v>0.25</v>
      </c>
      <c r="U106">
        <f>VLOOKUP(AE106,'pff grades'!$A$2:$J$135,9,FALSE)</f>
        <v>76</v>
      </c>
      <c r="V106">
        <f>VLOOKUP(AE106,'pff grades'!$A$2:$M$135,12,FALSE)</f>
        <v>75.400000000000006</v>
      </c>
      <c r="W106">
        <f>VLOOKUP(AE106,'pff grades'!$A$2:$M$135,10,FALSE)</f>
        <v>50.4</v>
      </c>
      <c r="X106">
        <f>VLOOKUP(AE106,'pff grades'!$A$2:$M$135,11,FALSE)</f>
        <v>72.3</v>
      </c>
      <c r="Z106">
        <v>34.5</v>
      </c>
      <c r="AA106">
        <v>0.25</v>
      </c>
      <c r="AB106">
        <v>-0.25</v>
      </c>
      <c r="AC106">
        <v>0</v>
      </c>
      <c r="AD106">
        <v>0.25</v>
      </c>
      <c r="AE106" t="s">
        <v>382</v>
      </c>
    </row>
    <row r="107" spans="1:31" x14ac:dyDescent="0.25">
      <c r="A107" s="7" t="s">
        <v>184</v>
      </c>
      <c r="B107" s="7" t="s">
        <v>185</v>
      </c>
      <c r="C107" s="7"/>
      <c r="D107" s="7" t="s">
        <v>7</v>
      </c>
      <c r="E107" s="7" t="s">
        <v>377</v>
      </c>
      <c r="F107" s="7">
        <v>7</v>
      </c>
      <c r="G107" s="7"/>
      <c r="H107" s="2">
        <f>I107+J107</f>
        <v>2.6999999999999984</v>
      </c>
      <c r="I107" s="2">
        <f>R107+S107</f>
        <v>-3.9666666666666686</v>
      </c>
      <c r="J107" s="2">
        <f>L107+M107+N107+O107</f>
        <v>6.666666666666667</v>
      </c>
      <c r="L107" s="2">
        <v>0</v>
      </c>
      <c r="M107" s="2">
        <v>0</v>
      </c>
      <c r="N107" s="2">
        <v>0</v>
      </c>
      <c r="O107" s="2">
        <f>100/15</f>
        <v>6.666666666666667</v>
      </c>
      <c r="P107" s="2">
        <f>100/2.8</f>
        <v>35.714285714285715</v>
      </c>
      <c r="R107" s="2">
        <f>(76-((U107*0.1)+(V107*0.5)+(W107*0.35)+(X107*0.15)))/3</f>
        <v>-4.7166666666666686</v>
      </c>
      <c r="S107">
        <f>AA107+AB107+AC107+AD107</f>
        <v>0.75</v>
      </c>
      <c r="U107">
        <f>VLOOKUP(AE107,'pff grades'!$A$2:$J$135,9,FALSE)</f>
        <v>90.7</v>
      </c>
      <c r="V107">
        <f>VLOOKUP(AE107,'pff grades'!$A$2:$M$135,12,FALSE)</f>
        <v>84.7</v>
      </c>
      <c r="W107">
        <f>VLOOKUP(AE107,'pff grades'!$A$2:$M$135,10,FALSE)</f>
        <v>81.3</v>
      </c>
      <c r="X107">
        <f>VLOOKUP(AE107,'pff grades'!$A$2:$M$135,11,FALSE)</f>
        <v>68.5</v>
      </c>
      <c r="Z107">
        <v>36.5</v>
      </c>
      <c r="AA107">
        <v>0.5</v>
      </c>
      <c r="AB107">
        <v>0</v>
      </c>
      <c r="AC107">
        <v>0</v>
      </c>
      <c r="AD107">
        <v>0.25</v>
      </c>
      <c r="AE107" t="s">
        <v>295</v>
      </c>
    </row>
    <row r="108" spans="1:31" x14ac:dyDescent="0.25">
      <c r="A108" s="6" t="s">
        <v>201</v>
      </c>
      <c r="B108" s="6" t="s">
        <v>202</v>
      </c>
      <c r="C108" s="6"/>
      <c r="D108" s="6" t="s">
        <v>21</v>
      </c>
      <c r="E108" s="6" t="s">
        <v>381</v>
      </c>
      <c r="F108" s="6">
        <v>6.7</v>
      </c>
      <c r="G108" s="6"/>
      <c r="H108" s="2">
        <f>I108+J108</f>
        <v>2.5994871794871766</v>
      </c>
      <c r="I108" s="2">
        <f>R108+S108</f>
        <v>-1.2466666666666697</v>
      </c>
      <c r="J108" s="2">
        <f>L108+M108+N108+O108</f>
        <v>3.8461538461538463</v>
      </c>
      <c r="L108" s="2">
        <v>0</v>
      </c>
      <c r="M108" s="2">
        <v>0</v>
      </c>
      <c r="N108" s="2">
        <v>0</v>
      </c>
      <c r="O108" s="2">
        <f>100/26</f>
        <v>3.8461538461538463</v>
      </c>
      <c r="P108" s="2">
        <f>100/3.5</f>
        <v>28.571428571428573</v>
      </c>
      <c r="R108" s="2">
        <f>(76-((U108*0.2)+(V108*0.3)+(W108*0.25)+(X108*0.25)))/3</f>
        <v>-1.2466666666666697</v>
      </c>
      <c r="S108">
        <f>AA108+AB108+AC108+AD108</f>
        <v>0</v>
      </c>
      <c r="U108">
        <f>VLOOKUP(AE108,'pff grades'!$A$2:$J$135,9,FALSE)</f>
        <v>91.4</v>
      </c>
      <c r="V108">
        <f>VLOOKUP(AE108,'pff grades'!$A$2:$M$135,12,FALSE)</f>
        <v>78.7</v>
      </c>
      <c r="W108">
        <f>VLOOKUP(AE108,'pff grades'!$A$2:$M$135,10,FALSE)</f>
        <v>73.5</v>
      </c>
      <c r="X108">
        <f>VLOOKUP(AE108,'pff grades'!$A$2:$M$135,11,FALSE)</f>
        <v>77.900000000000006</v>
      </c>
      <c r="Z108">
        <v>18.5</v>
      </c>
      <c r="AA108">
        <v>0.25</v>
      </c>
      <c r="AB108">
        <v>-0.25</v>
      </c>
      <c r="AC108">
        <v>0</v>
      </c>
      <c r="AD108">
        <v>0</v>
      </c>
      <c r="AE108" t="s">
        <v>337</v>
      </c>
    </row>
    <row r="109" spans="1:31" x14ac:dyDescent="0.25">
      <c r="A109" s="7" t="s">
        <v>48</v>
      </c>
      <c r="B109" s="7" t="s">
        <v>149</v>
      </c>
      <c r="C109" s="7"/>
      <c r="D109" s="7" t="s">
        <v>7</v>
      </c>
      <c r="E109" s="7" t="s">
        <v>397</v>
      </c>
      <c r="F109" s="7">
        <v>8.9</v>
      </c>
      <c r="G109" s="7"/>
      <c r="H109" s="2">
        <f>I109+J109</f>
        <v>1.7856862745098017</v>
      </c>
      <c r="I109" s="2">
        <f>R109+S109</f>
        <v>-4.0966666666666693</v>
      </c>
      <c r="J109" s="2">
        <f>L109+M109+N109+O109</f>
        <v>5.882352941176471</v>
      </c>
      <c r="L109" s="2">
        <v>0</v>
      </c>
      <c r="M109" s="2">
        <v>0</v>
      </c>
      <c r="N109" s="2">
        <v>0</v>
      </c>
      <c r="O109" s="2">
        <f>100/17</f>
        <v>5.882352941176471</v>
      </c>
      <c r="P109" s="2">
        <f>100/3.29</f>
        <v>30.3951367781155</v>
      </c>
      <c r="R109" s="2">
        <f>(76-((U109*0.1)+(V109*0.5)+(W109*0.35)+(X109*0.15)))/3</f>
        <v>-3.8466666666666689</v>
      </c>
      <c r="S109">
        <f>AA109+AB109+AC109+AD109</f>
        <v>-0.25</v>
      </c>
      <c r="U109">
        <f>VLOOKUP(AE109,'pff grades'!$A$2:$J$135,9,FALSE)</f>
        <v>79.599999999999994</v>
      </c>
      <c r="V109">
        <f>VLOOKUP(AE109,'pff grades'!$A$2:$M$135,12,FALSE)</f>
        <v>80.2</v>
      </c>
      <c r="W109">
        <f>VLOOKUP(AE109,'pff grades'!$A$2:$M$135,10,FALSE)</f>
        <v>78.900000000000006</v>
      </c>
      <c r="X109">
        <f>VLOOKUP(AE109,'pff grades'!$A$2:$M$135,11,FALSE)</f>
        <v>79.099999999999994</v>
      </c>
      <c r="Z109">
        <v>29.5</v>
      </c>
      <c r="AA109">
        <v>0</v>
      </c>
      <c r="AB109">
        <v>-0.25</v>
      </c>
      <c r="AC109">
        <v>0</v>
      </c>
      <c r="AD109">
        <v>0</v>
      </c>
      <c r="AE109" t="s">
        <v>352</v>
      </c>
    </row>
    <row r="110" spans="1:31" x14ac:dyDescent="0.25">
      <c r="A110" s="6" t="s">
        <v>197</v>
      </c>
      <c r="B110" s="6" t="s">
        <v>198</v>
      </c>
      <c r="C110" s="6"/>
      <c r="D110" s="6" t="s">
        <v>21</v>
      </c>
      <c r="E110" s="6" t="s">
        <v>352</v>
      </c>
      <c r="F110" s="6">
        <v>6.7</v>
      </c>
      <c r="G110" s="6"/>
      <c r="H110" s="2">
        <f>I110+J110</f>
        <v>1.63904761904762</v>
      </c>
      <c r="I110" s="2">
        <f>R110+S110</f>
        <v>-0.14666666666666589</v>
      </c>
      <c r="J110" s="2">
        <f>L110+M110+N110+O110</f>
        <v>1.7857142857142858</v>
      </c>
      <c r="L110" s="2">
        <v>0</v>
      </c>
      <c r="M110" s="2">
        <v>0</v>
      </c>
      <c r="N110" s="2">
        <v>0</v>
      </c>
      <c r="O110" s="2">
        <f>100/56</f>
        <v>1.7857142857142858</v>
      </c>
      <c r="P110" s="2">
        <f>100/5.25</f>
        <v>19.047619047619047</v>
      </c>
      <c r="R110" s="2">
        <f>(76-((U110*0.2)+(V110*0.3)+(W110*0.25)+(X110*0.25)))/3</f>
        <v>0.1033333333333341</v>
      </c>
      <c r="S110">
        <f>AA110+AB110+AC110+AD110</f>
        <v>-0.25</v>
      </c>
      <c r="U110">
        <f>VLOOKUP(AE110,'pff grades'!$A$2:$J$135,9,FALSE)</f>
        <v>74.2</v>
      </c>
      <c r="V110">
        <f>VLOOKUP(AE110,'pff grades'!$A$2:$M$135,12,FALSE)</f>
        <v>78</v>
      </c>
      <c r="W110">
        <f>VLOOKUP(AE110,'pff grades'!$A$2:$M$135,10,FALSE)</f>
        <v>80.8</v>
      </c>
      <c r="X110">
        <f>VLOOKUP(AE110,'pff grades'!$A$2:$M$135,11,FALSE)</f>
        <v>69</v>
      </c>
      <c r="Z110">
        <v>20.5</v>
      </c>
      <c r="AA110">
        <v>0.25</v>
      </c>
      <c r="AB110">
        <v>-0.25</v>
      </c>
      <c r="AC110">
        <v>-0.5</v>
      </c>
      <c r="AD110">
        <v>0.25</v>
      </c>
      <c r="AE110" t="s">
        <v>397</v>
      </c>
    </row>
    <row r="111" spans="1:31" x14ac:dyDescent="0.25">
      <c r="A111" s="7" t="s">
        <v>238</v>
      </c>
      <c r="B111" s="7" t="s">
        <v>239</v>
      </c>
      <c r="C111" s="7"/>
      <c r="D111" s="7" t="s">
        <v>7</v>
      </c>
      <c r="E111" s="7" t="s">
        <v>303</v>
      </c>
      <c r="F111" s="7">
        <v>5.2</v>
      </c>
      <c r="G111" s="7"/>
      <c r="H111" s="2">
        <f>I111+J111</f>
        <v>1.3890196078431361</v>
      </c>
      <c r="I111" s="2">
        <f>R111+S111</f>
        <v>-4.493333333333335</v>
      </c>
      <c r="J111" s="2">
        <f>L111+M111+N111+O111</f>
        <v>5.882352941176471</v>
      </c>
      <c r="L111" s="2">
        <v>0</v>
      </c>
      <c r="M111" s="2">
        <v>0</v>
      </c>
      <c r="N111" s="2">
        <v>0</v>
      </c>
      <c r="O111" s="2">
        <f>100/17</f>
        <v>5.882352941176471</v>
      </c>
      <c r="P111" s="2">
        <f>100/3.55</f>
        <v>28.169014084507044</v>
      </c>
      <c r="R111" s="2">
        <f>(76-((U111*0.1)+(V111*0.5)+(W111*0.35)+(X111*0.15)))/3</f>
        <v>-4.743333333333335</v>
      </c>
      <c r="S111">
        <f>AA111+AB111+AC111+AD111</f>
        <v>0.25</v>
      </c>
      <c r="U111">
        <f>VLOOKUP(AE111,'pff grades'!$A$2:$J$135,9,FALSE)</f>
        <v>85.5</v>
      </c>
      <c r="V111">
        <f>VLOOKUP(AE111,'pff grades'!$A$2:$M$135,12,FALSE)</f>
        <v>83.8</v>
      </c>
      <c r="W111">
        <f>VLOOKUP(AE111,'pff grades'!$A$2:$M$135,10,FALSE)</f>
        <v>81.900000000000006</v>
      </c>
      <c r="X111">
        <f>VLOOKUP(AE111,'pff grades'!$A$2:$M$135,11,FALSE)</f>
        <v>74.099999999999994</v>
      </c>
      <c r="Z111">
        <v>31.5</v>
      </c>
      <c r="AA111">
        <v>0</v>
      </c>
      <c r="AB111">
        <v>0</v>
      </c>
      <c r="AC111">
        <v>0</v>
      </c>
      <c r="AD111">
        <v>0.25</v>
      </c>
      <c r="AE111" t="s">
        <v>370</v>
      </c>
    </row>
    <row r="112" spans="1:31" x14ac:dyDescent="0.25">
      <c r="A112" s="7" t="s">
        <v>140</v>
      </c>
      <c r="B112" s="7" t="s">
        <v>6</v>
      </c>
      <c r="C112" s="7"/>
      <c r="D112" s="7" t="s">
        <v>7</v>
      </c>
      <c r="E112" s="7" t="s">
        <v>299</v>
      </c>
      <c r="F112" s="7">
        <v>9.9</v>
      </c>
      <c r="G112" s="7"/>
      <c r="H112" s="2">
        <f>I112+J112</f>
        <v>0.98833333333333451</v>
      </c>
      <c r="I112" s="2">
        <f>R112+S112</f>
        <v>0.98833333333333451</v>
      </c>
      <c r="J112" s="2">
        <f>L112+M112+N112+O112</f>
        <v>0</v>
      </c>
      <c r="L112" s="2">
        <v>0</v>
      </c>
      <c r="M112" s="2">
        <v>0</v>
      </c>
      <c r="N112" s="2">
        <v>0</v>
      </c>
      <c r="O112" s="2">
        <v>0</v>
      </c>
      <c r="P112" s="2">
        <f>100/2.8</f>
        <v>35.714285714285715</v>
      </c>
      <c r="R112" s="2">
        <f>(76-((U112*0.1)+(V112*0.5)+(W112*0.35)+(X112*0.15)))/3</f>
        <v>0.73833333333333451</v>
      </c>
      <c r="S112">
        <f>AA112+AB112+AC112+AD112</f>
        <v>0.25</v>
      </c>
      <c r="U112">
        <f>VLOOKUP(AE112,'pff grades'!$A$2:$J$135,9,FALSE)</f>
        <v>76</v>
      </c>
      <c r="V112">
        <f>VLOOKUP(AE112,'pff grades'!$A$2:$M$135,12,FALSE)</f>
        <v>75.400000000000006</v>
      </c>
      <c r="W112">
        <f>VLOOKUP(AE112,'pff grades'!$A$2:$M$135,10,FALSE)</f>
        <v>50.4</v>
      </c>
      <c r="X112">
        <f>VLOOKUP(AE112,'pff grades'!$A$2:$M$135,11,FALSE)</f>
        <v>72.3</v>
      </c>
      <c r="Z112">
        <v>34.5</v>
      </c>
      <c r="AA112">
        <v>0.25</v>
      </c>
      <c r="AB112">
        <v>-0.25</v>
      </c>
      <c r="AC112">
        <v>0</v>
      </c>
      <c r="AD112">
        <v>0.25</v>
      </c>
      <c r="AE112" t="s">
        <v>382</v>
      </c>
    </row>
    <row r="113" spans="1:31" x14ac:dyDescent="0.25">
      <c r="A113" s="5" t="s">
        <v>159</v>
      </c>
      <c r="B113" s="5" t="s">
        <v>160</v>
      </c>
      <c r="C113" s="5"/>
      <c r="D113" s="5" t="s">
        <v>2</v>
      </c>
      <c r="E113" s="5" t="s">
        <v>381</v>
      </c>
      <c r="F113" s="5">
        <v>8.3000000000000007</v>
      </c>
      <c r="G113" s="5"/>
      <c r="H113" s="2">
        <f>I113+J113</f>
        <v>0.68444444444444397</v>
      </c>
      <c r="I113" s="2">
        <f>R113+S113</f>
        <v>-2.0933333333333337</v>
      </c>
      <c r="J113" s="2">
        <f>L113+M113+N113+O113</f>
        <v>2.7777777777777777</v>
      </c>
      <c r="L113" s="2">
        <v>0</v>
      </c>
      <c r="M113" s="2">
        <v>0</v>
      </c>
      <c r="N113" s="2">
        <v>0</v>
      </c>
      <c r="O113" s="2">
        <f>100/36</f>
        <v>2.7777777777777777</v>
      </c>
      <c r="P113" s="2">
        <f>100/4.5</f>
        <v>22.222222222222221</v>
      </c>
      <c r="R113" s="2">
        <f>(76-((U113*0.4)+(V113*0.1)+(W113*0.25)+(X113*0.25)))/3</f>
        <v>-2.0933333333333337</v>
      </c>
      <c r="S113">
        <f>AA113+AB113+AC113+AD113</f>
        <v>0</v>
      </c>
      <c r="U113">
        <f>VLOOKUP(AE113,'pff grades'!$A$2:$J$135,9,FALSE)</f>
        <v>91.4</v>
      </c>
      <c r="V113">
        <f>VLOOKUP(AE113,'pff grades'!$A$2:$M$135,12,FALSE)</f>
        <v>78.7</v>
      </c>
      <c r="W113">
        <f>VLOOKUP(AE113,'pff grades'!$A$2:$M$135,10,FALSE)</f>
        <v>73.5</v>
      </c>
      <c r="X113">
        <f>VLOOKUP(AE113,'pff grades'!$A$2:$M$135,11,FALSE)</f>
        <v>77.900000000000006</v>
      </c>
      <c r="Z113">
        <v>18.5</v>
      </c>
      <c r="AA113">
        <v>0.25</v>
      </c>
      <c r="AB113">
        <v>-0.25</v>
      </c>
      <c r="AC113">
        <v>0</v>
      </c>
      <c r="AD113">
        <v>0</v>
      </c>
      <c r="AE113" t="s">
        <v>337</v>
      </c>
    </row>
    <row r="114" spans="1:31" x14ac:dyDescent="0.25">
      <c r="A114" s="7" t="s">
        <v>226</v>
      </c>
      <c r="B114" s="7" t="s">
        <v>227</v>
      </c>
      <c r="C114" s="7"/>
      <c r="D114" s="7" t="s">
        <v>7</v>
      </c>
      <c r="E114" s="7" t="s">
        <v>381</v>
      </c>
      <c r="F114" s="7">
        <v>5.7</v>
      </c>
      <c r="G114" s="7"/>
      <c r="H114" s="2">
        <f>I114+J114</f>
        <v>0.54615384615384421</v>
      </c>
      <c r="I114" s="2">
        <f>R114+S114</f>
        <v>-3.300000000000002</v>
      </c>
      <c r="J114" s="2">
        <f>L114+M114+N114+O114</f>
        <v>3.8461538461538463</v>
      </c>
      <c r="L114" s="2">
        <v>0</v>
      </c>
      <c r="M114" s="2">
        <v>0</v>
      </c>
      <c r="N114" s="2">
        <v>0</v>
      </c>
      <c r="O114" s="2">
        <f>100/26</f>
        <v>3.8461538461538463</v>
      </c>
      <c r="P114" s="2">
        <f>100/3.55</f>
        <v>28.169014084507044</v>
      </c>
      <c r="R114" s="2">
        <f>(76-((U114*0.1)+(V114*0.5)+(W114*0.35)+(X114*0.15)))/3</f>
        <v>-3.300000000000002</v>
      </c>
      <c r="S114">
        <f>AA114+AB114+AC114+AD114</f>
        <v>0</v>
      </c>
      <c r="U114">
        <f>VLOOKUP(AE114,'pff grades'!$A$2:$J$135,9,FALSE)</f>
        <v>91.4</v>
      </c>
      <c r="V114">
        <f>VLOOKUP(AE114,'pff grades'!$A$2:$M$135,12,FALSE)</f>
        <v>78.7</v>
      </c>
      <c r="W114">
        <f>VLOOKUP(AE114,'pff grades'!$A$2:$M$135,10,FALSE)</f>
        <v>73.5</v>
      </c>
      <c r="X114">
        <f>VLOOKUP(AE114,'pff grades'!$A$2:$M$135,11,FALSE)</f>
        <v>77.900000000000006</v>
      </c>
      <c r="Z114">
        <v>18.5</v>
      </c>
      <c r="AA114">
        <v>0.25</v>
      </c>
      <c r="AB114">
        <v>-0.25</v>
      </c>
      <c r="AC114">
        <v>0</v>
      </c>
      <c r="AD114">
        <v>0</v>
      </c>
      <c r="AE114" t="s">
        <v>337</v>
      </c>
    </row>
    <row r="115" spans="1:31" x14ac:dyDescent="0.25">
      <c r="A115" s="7" t="s">
        <v>73</v>
      </c>
      <c r="B115" s="7" t="s">
        <v>74</v>
      </c>
      <c r="C115" s="7">
        <v>33.9</v>
      </c>
      <c r="D115" s="7" t="s">
        <v>7</v>
      </c>
      <c r="E115" s="7" t="s">
        <v>397</v>
      </c>
      <c r="F115" s="7">
        <v>11.2</v>
      </c>
      <c r="G115" s="7"/>
      <c r="H115" s="2">
        <f>I115+J115</f>
        <v>0.25115942028985216</v>
      </c>
      <c r="I115" s="2">
        <f>R115+S115</f>
        <v>-4.0966666666666693</v>
      </c>
      <c r="J115" s="2">
        <f>L115+M115+N115+O115</f>
        <v>4.3478260869565215</v>
      </c>
      <c r="L115" s="2">
        <v>0</v>
      </c>
      <c r="M115" s="2">
        <v>0</v>
      </c>
      <c r="N115" s="2">
        <v>0</v>
      </c>
      <c r="O115" s="2">
        <f>100/23</f>
        <v>4.3478260869565215</v>
      </c>
      <c r="P115" s="2">
        <f>100/3.45</f>
        <v>28.985507246376809</v>
      </c>
      <c r="R115" s="2">
        <f>(76-((U115*0.1)+(V115*0.5)+(W115*0.35)+(X115*0.15)))/3</f>
        <v>-3.8466666666666689</v>
      </c>
      <c r="S115">
        <f>AA115+AB115+AC115+AD115</f>
        <v>-0.25</v>
      </c>
      <c r="U115">
        <f>VLOOKUP(AE115,'pff grades'!$A$2:$J$135,9,FALSE)</f>
        <v>79.599999999999994</v>
      </c>
      <c r="V115">
        <f>VLOOKUP(AE115,'pff grades'!$A$2:$M$135,12,FALSE)</f>
        <v>80.2</v>
      </c>
      <c r="W115">
        <f>VLOOKUP(AE115,'pff grades'!$A$2:$M$135,10,FALSE)</f>
        <v>78.900000000000006</v>
      </c>
      <c r="X115">
        <f>VLOOKUP(AE115,'pff grades'!$A$2:$M$135,11,FALSE)</f>
        <v>79.099999999999994</v>
      </c>
      <c r="Z115">
        <v>29.5</v>
      </c>
      <c r="AA115">
        <v>0</v>
      </c>
      <c r="AB115">
        <v>-0.25</v>
      </c>
      <c r="AC115">
        <v>0</v>
      </c>
      <c r="AD115">
        <v>0</v>
      </c>
      <c r="AE115" t="s">
        <v>352</v>
      </c>
    </row>
    <row r="116" spans="1:31" x14ac:dyDescent="0.25">
      <c r="A116" s="6" t="s">
        <v>96</v>
      </c>
      <c r="B116" s="6" t="s">
        <v>97</v>
      </c>
      <c r="C116" s="6">
        <v>35.6</v>
      </c>
      <c r="D116" s="6" t="s">
        <v>21</v>
      </c>
      <c r="E116" s="6" t="s">
        <v>288</v>
      </c>
      <c r="F116" s="6">
        <v>4.0999999999999996</v>
      </c>
      <c r="G116" s="6"/>
      <c r="H116" s="2">
        <f>I116+J116</f>
        <v>0.12111111111111139</v>
      </c>
      <c r="I116" s="2">
        <f>R116+S116</f>
        <v>-2.6566666666666663</v>
      </c>
      <c r="J116" s="2">
        <f>L116+M116+N116+O116</f>
        <v>2.7777777777777777</v>
      </c>
      <c r="L116" s="2">
        <v>0</v>
      </c>
      <c r="M116" s="2">
        <v>0</v>
      </c>
      <c r="N116" s="2">
        <v>0</v>
      </c>
      <c r="O116" s="2">
        <f>100/36</f>
        <v>2.7777777777777777</v>
      </c>
      <c r="P116" s="2">
        <f>100/3.95</f>
        <v>25.316455696202532</v>
      </c>
      <c r="R116" s="2">
        <f>(76-((U116*0.2)+(V116*0.3)+(W116*0.25)+(X116*0.25)))/3</f>
        <v>-3.1566666666666663</v>
      </c>
      <c r="S116">
        <f>AA116+AB116+AC116+AD116</f>
        <v>0.5</v>
      </c>
      <c r="U116">
        <f>VLOOKUP(AE116,'pff grades'!$A$2:$J$135,9,FALSE)</f>
        <v>87.7</v>
      </c>
      <c r="V116">
        <f>VLOOKUP(AE116,'pff grades'!$A$2:$M$135,12,FALSE)</f>
        <v>94.1</v>
      </c>
      <c r="W116">
        <f>VLOOKUP(AE116,'pff grades'!$A$2:$M$135,10,FALSE)</f>
        <v>74.7</v>
      </c>
      <c r="X116">
        <f>VLOOKUP(AE116,'pff grades'!$A$2:$M$135,11,FALSE)</f>
        <v>84.1</v>
      </c>
      <c r="Z116">
        <v>21.5</v>
      </c>
      <c r="AA116">
        <v>0.25</v>
      </c>
      <c r="AB116">
        <v>0</v>
      </c>
      <c r="AC116">
        <v>0</v>
      </c>
      <c r="AD116">
        <v>0.25</v>
      </c>
      <c r="AE116" t="s">
        <v>386</v>
      </c>
    </row>
    <row r="117" spans="1:31" x14ac:dyDescent="0.25">
      <c r="A117" s="7" t="s">
        <v>182</v>
      </c>
      <c r="B117" s="7" t="s">
        <v>183</v>
      </c>
      <c r="C117" s="7"/>
      <c r="D117" s="7" t="s">
        <v>7</v>
      </c>
      <c r="E117" s="7" t="s">
        <v>352</v>
      </c>
      <c r="F117" s="7">
        <v>7</v>
      </c>
      <c r="G117" s="7"/>
      <c r="H117" s="2">
        <f>I117+J117</f>
        <v>-4.0860215053762694E-2</v>
      </c>
      <c r="I117" s="2">
        <f>R117+S117</f>
        <v>-3.2666666666666657</v>
      </c>
      <c r="J117" s="2">
        <f>L117+M117+N117+O117</f>
        <v>3.225806451612903</v>
      </c>
      <c r="L117" s="2">
        <v>0</v>
      </c>
      <c r="M117" s="2">
        <v>0</v>
      </c>
      <c r="N117" s="2">
        <v>0</v>
      </c>
      <c r="O117" s="2">
        <f>100/31</f>
        <v>3.225806451612903</v>
      </c>
      <c r="P117" s="2">
        <f>100/4.1</f>
        <v>24.390243902439025</v>
      </c>
      <c r="R117" s="2">
        <f>(76-((U117*0.1)+(V117*0.5)+(W117*0.35)+(X117*0.15)))/3</f>
        <v>-3.0166666666666657</v>
      </c>
      <c r="S117">
        <f>AA117+AB117+AC117+AD117</f>
        <v>-0.25</v>
      </c>
      <c r="U117">
        <f>VLOOKUP(AE117,'pff grades'!$A$2:$J$135,9,FALSE)</f>
        <v>74.2</v>
      </c>
      <c r="V117">
        <f>VLOOKUP(AE117,'pff grades'!$A$2:$M$135,12,FALSE)</f>
        <v>78</v>
      </c>
      <c r="W117">
        <f>VLOOKUP(AE117,'pff grades'!$A$2:$M$135,10,FALSE)</f>
        <v>80.8</v>
      </c>
      <c r="X117">
        <f>VLOOKUP(AE117,'pff grades'!$A$2:$M$135,11,FALSE)</f>
        <v>69</v>
      </c>
      <c r="Z117">
        <v>20.5</v>
      </c>
      <c r="AA117">
        <v>0.25</v>
      </c>
      <c r="AB117">
        <v>-0.25</v>
      </c>
      <c r="AC117">
        <v>-0.5</v>
      </c>
      <c r="AD117">
        <v>0.25</v>
      </c>
      <c r="AE117" t="s">
        <v>397</v>
      </c>
    </row>
    <row r="118" spans="1:31" x14ac:dyDescent="0.25">
      <c r="A118" s="4" t="s">
        <v>133</v>
      </c>
      <c r="B118" s="4" t="s">
        <v>134</v>
      </c>
      <c r="C118" s="4"/>
      <c r="D118" s="4" t="s">
        <v>10</v>
      </c>
      <c r="E118" s="4" t="s">
        <v>295</v>
      </c>
      <c r="F118" s="4">
        <v>11.7</v>
      </c>
      <c r="G118" s="4"/>
      <c r="H118" s="2">
        <f>I118+J118</f>
        <v>-0.26921568627450898</v>
      </c>
      <c r="I118" s="2">
        <f>R118+S118</f>
        <v>-2.2299999999999991</v>
      </c>
      <c r="J118" s="2">
        <f>L118+M118+N118+O118</f>
        <v>1.9607843137254901</v>
      </c>
      <c r="L118" s="2">
        <v>0</v>
      </c>
      <c r="M118" s="2">
        <v>0</v>
      </c>
      <c r="N118" s="2">
        <v>0</v>
      </c>
      <c r="O118" s="2">
        <f>100/51</f>
        <v>1.9607843137254901</v>
      </c>
      <c r="P118" s="2">
        <f>100/6</f>
        <v>16.666666666666668</v>
      </c>
      <c r="R118" s="2">
        <f>(76-((U118*0.1)+(V118*0.5)+(W118*0.1)+(X118*0.3)))/3</f>
        <v>-2.4799999999999991</v>
      </c>
      <c r="S118">
        <f>AA118+AB118+AC118+AD118</f>
        <v>0.25</v>
      </c>
      <c r="U118">
        <f>VLOOKUP(AE118,'pff grades'!$A$2:$J$135,9,FALSE)</f>
        <v>93.7</v>
      </c>
      <c r="V118">
        <f>VLOOKUP(AE118,'pff grades'!$A$2:$M$135,12,FALSE)</f>
        <v>86.1</v>
      </c>
      <c r="W118">
        <f>VLOOKUP(AE118,'pff grades'!$A$2:$M$135,10,FALSE)</f>
        <v>70.8</v>
      </c>
      <c r="X118">
        <f>VLOOKUP(AE118,'pff grades'!$A$2:$M$135,11,FALSE)</f>
        <v>79.8</v>
      </c>
      <c r="Z118">
        <v>16.5</v>
      </c>
      <c r="AA118">
        <v>0.25</v>
      </c>
      <c r="AB118">
        <v>0</v>
      </c>
      <c r="AC118">
        <v>-0.25</v>
      </c>
      <c r="AD118">
        <v>0.25</v>
      </c>
      <c r="AE118" t="s">
        <v>377</v>
      </c>
    </row>
    <row r="119" spans="1:31" x14ac:dyDescent="0.25">
      <c r="A119" s="5" t="s">
        <v>58</v>
      </c>
      <c r="B119" s="5" t="s">
        <v>59</v>
      </c>
      <c r="C119" s="5">
        <v>30.8</v>
      </c>
      <c r="D119" s="5" t="s">
        <v>2</v>
      </c>
      <c r="E119" s="5" t="s">
        <v>351</v>
      </c>
      <c r="F119" s="5">
        <v>18.100000000000001</v>
      </c>
      <c r="G119" s="5"/>
      <c r="H119" s="2">
        <f>I119+J119</f>
        <v>-0.65833333333333144</v>
      </c>
      <c r="I119" s="2">
        <f>R119+S119</f>
        <v>-0.65833333333333144</v>
      </c>
      <c r="J119" s="2">
        <f>L119+M119+N119+O119</f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R119" s="2">
        <f>(76-((U119*0.4)+(V119*0.1)+(W119*0.25)+(X119*0.25)))/3</f>
        <v>-0.90833333333333144</v>
      </c>
      <c r="S119">
        <f>AA119+AB119+AC119+AD119</f>
        <v>0.25</v>
      </c>
      <c r="U119">
        <f>VLOOKUP(AE119,'pff grades'!$A$2:$J$135,9,FALSE)</f>
        <v>81.099999999999994</v>
      </c>
      <c r="V119">
        <f>VLOOKUP(AE119,'pff grades'!$A$2:$M$135,12,FALSE)</f>
        <v>87.6</v>
      </c>
      <c r="W119">
        <f>VLOOKUP(AE119,'pff grades'!$A$2:$M$135,10,FALSE)</f>
        <v>62.2</v>
      </c>
      <c r="X119">
        <f>VLOOKUP(AE119,'pff grades'!$A$2:$M$135,11,FALSE)</f>
        <v>87.9</v>
      </c>
      <c r="Z119">
        <v>22.5</v>
      </c>
      <c r="AA119">
        <v>0</v>
      </c>
      <c r="AB119">
        <v>0</v>
      </c>
      <c r="AC119">
        <v>0</v>
      </c>
      <c r="AD119">
        <v>0.25</v>
      </c>
      <c r="AE119" t="s">
        <v>391</v>
      </c>
    </row>
    <row r="120" spans="1:31" x14ac:dyDescent="0.25">
      <c r="A120" s="5" t="s">
        <v>113</v>
      </c>
      <c r="B120" s="5" t="s">
        <v>114</v>
      </c>
      <c r="C120" s="5"/>
      <c r="D120" s="5" t="s">
        <v>2</v>
      </c>
      <c r="E120" s="5" t="s">
        <v>351</v>
      </c>
      <c r="F120" s="5">
        <v>17</v>
      </c>
      <c r="G120" s="5"/>
      <c r="H120" s="2">
        <f>I120+J120</f>
        <v>-0.65833333333333144</v>
      </c>
      <c r="I120" s="2">
        <f>R120+S120</f>
        <v>-0.65833333333333144</v>
      </c>
      <c r="J120" s="2">
        <f>L120+M120+N120+O120</f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R120" s="2">
        <f>(76-((U120*0.4)+(V120*0.1)+(W120*0.25)+(X120*0.25)))/3</f>
        <v>-0.90833333333333144</v>
      </c>
      <c r="S120">
        <f>AA120+AB120+AC120+AD120</f>
        <v>0.25</v>
      </c>
      <c r="U120">
        <f>VLOOKUP(AE120,'pff grades'!$A$2:$J$135,9,FALSE)</f>
        <v>81.099999999999994</v>
      </c>
      <c r="V120">
        <f>VLOOKUP(AE120,'pff grades'!$A$2:$M$135,12,FALSE)</f>
        <v>87.6</v>
      </c>
      <c r="W120">
        <f>VLOOKUP(AE120,'pff grades'!$A$2:$M$135,10,FALSE)</f>
        <v>62.2</v>
      </c>
      <c r="X120">
        <f>VLOOKUP(AE120,'pff grades'!$A$2:$M$135,11,FALSE)</f>
        <v>87.9</v>
      </c>
      <c r="Z120">
        <v>22.5</v>
      </c>
      <c r="AA120">
        <v>0</v>
      </c>
      <c r="AB120">
        <v>0</v>
      </c>
      <c r="AC120">
        <v>0</v>
      </c>
      <c r="AD120">
        <v>0.25</v>
      </c>
      <c r="AE120" t="s">
        <v>391</v>
      </c>
    </row>
    <row r="121" spans="1:31" x14ac:dyDescent="0.25">
      <c r="A121" s="5" t="s">
        <v>141</v>
      </c>
      <c r="B121" s="5" t="s">
        <v>142</v>
      </c>
      <c r="C121" s="5"/>
      <c r="D121" s="5" t="s">
        <v>2</v>
      </c>
      <c r="E121" s="5" t="s">
        <v>351</v>
      </c>
      <c r="F121" s="5">
        <v>9.9</v>
      </c>
      <c r="G121" s="5"/>
      <c r="H121" s="2">
        <f>I121+J121</f>
        <v>-0.65833333333333144</v>
      </c>
      <c r="I121" s="2">
        <f>R121+S121</f>
        <v>-0.65833333333333144</v>
      </c>
      <c r="J121" s="2">
        <f>L121+M121+N121+O121</f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R121" s="2">
        <f>(76-((U121*0.4)+(V121*0.1)+(W121*0.25)+(X121*0.25)))/3</f>
        <v>-0.90833333333333144</v>
      </c>
      <c r="S121">
        <f>AA121+AB121+AC121+AD121</f>
        <v>0.25</v>
      </c>
      <c r="U121">
        <f>VLOOKUP(AE121,'pff grades'!$A$2:$J$135,9,FALSE)</f>
        <v>81.099999999999994</v>
      </c>
      <c r="V121">
        <f>VLOOKUP(AE121,'pff grades'!$A$2:$M$135,12,FALSE)</f>
        <v>87.6</v>
      </c>
      <c r="W121">
        <f>VLOOKUP(AE121,'pff grades'!$A$2:$M$135,10,FALSE)</f>
        <v>62.2</v>
      </c>
      <c r="X121">
        <f>VLOOKUP(AE121,'pff grades'!$A$2:$M$135,11,FALSE)</f>
        <v>87.9</v>
      </c>
      <c r="Z121">
        <v>22.5</v>
      </c>
      <c r="AA121">
        <v>0</v>
      </c>
      <c r="AB121">
        <v>0</v>
      </c>
      <c r="AC121">
        <v>0</v>
      </c>
      <c r="AD121">
        <v>0.25</v>
      </c>
      <c r="AE121" t="s">
        <v>391</v>
      </c>
    </row>
    <row r="122" spans="1:31" x14ac:dyDescent="0.25">
      <c r="A122" s="4" t="s">
        <v>3</v>
      </c>
      <c r="B122" s="4" t="s">
        <v>128</v>
      </c>
      <c r="C122" s="4"/>
      <c r="D122" s="4" t="s">
        <v>10</v>
      </c>
      <c r="E122" s="4" t="s">
        <v>399</v>
      </c>
      <c r="F122" s="4">
        <v>12.1</v>
      </c>
      <c r="G122" s="4"/>
      <c r="H122" s="2">
        <f>I122+J122</f>
        <v>-0.83151515151514888</v>
      </c>
      <c r="I122" s="2">
        <f>R122+S122</f>
        <v>-2.346666666666664</v>
      </c>
      <c r="J122" s="2">
        <f>L122+M122+N122+O122</f>
        <v>1.5151515151515151</v>
      </c>
      <c r="L122" s="2">
        <v>0</v>
      </c>
      <c r="M122" s="2">
        <v>0</v>
      </c>
      <c r="N122" s="2">
        <v>0</v>
      </c>
      <c r="O122" s="2">
        <f>100/66</f>
        <v>1.5151515151515151</v>
      </c>
      <c r="P122" s="2">
        <f>100/5</f>
        <v>20</v>
      </c>
      <c r="R122" s="2">
        <f>(76-((U122*0.1)+(V122*0.5)+(W122*0.1)+(X122*0.3)))/3</f>
        <v>-2.096666666666664</v>
      </c>
      <c r="S122">
        <f>AA122+AB122+AC122+AD122</f>
        <v>-0.25</v>
      </c>
      <c r="U122">
        <f>VLOOKUP(AE122,'pff grades'!$A$2:$J$135,9,FALSE)</f>
        <v>85.1</v>
      </c>
      <c r="V122">
        <f>VLOOKUP(AE122,'pff grades'!$A$2:$M$135,12,FALSE)</f>
        <v>90</v>
      </c>
      <c r="W122">
        <f>VLOOKUP(AE122,'pff grades'!$A$2:$M$135,10,FALSE)</f>
        <v>69.7</v>
      </c>
      <c r="X122">
        <f>VLOOKUP(AE122,'pff grades'!$A$2:$M$135,11,FALSE)</f>
        <v>72.7</v>
      </c>
      <c r="Z122">
        <v>16.5</v>
      </c>
      <c r="AA122">
        <v>0</v>
      </c>
      <c r="AB122">
        <v>0</v>
      </c>
      <c r="AC122">
        <v>0</v>
      </c>
      <c r="AD122">
        <v>-0.25</v>
      </c>
      <c r="AE122" t="s">
        <v>305</v>
      </c>
    </row>
    <row r="123" spans="1:31" x14ac:dyDescent="0.25">
      <c r="A123" s="6" t="s">
        <v>243</v>
      </c>
      <c r="B123" s="6" t="s">
        <v>244</v>
      </c>
      <c r="C123" s="6"/>
      <c r="D123" s="6" t="s">
        <v>21</v>
      </c>
      <c r="E123" s="6" t="s">
        <v>370</v>
      </c>
      <c r="F123" s="6">
        <v>5</v>
      </c>
      <c r="G123" s="6"/>
      <c r="H123" s="2">
        <f>I123+J123</f>
        <v>-1.0216666666666661</v>
      </c>
      <c r="I123" s="2">
        <f>R123+S123</f>
        <v>-1.0216666666666661</v>
      </c>
      <c r="J123" s="2">
        <f>L123+M123+N123+O123</f>
        <v>0</v>
      </c>
      <c r="L123" s="2">
        <v>0</v>
      </c>
      <c r="M123" s="2">
        <v>0</v>
      </c>
      <c r="N123" s="2">
        <v>0</v>
      </c>
      <c r="O123" s="2">
        <v>0</v>
      </c>
      <c r="P123" s="2">
        <f>100/4.1</f>
        <v>24.390243902439025</v>
      </c>
      <c r="R123" s="2">
        <f>(76-((U123*0.2)+(V123*0.3)+(W123*0.25)+(X123*0.25)))/3</f>
        <v>-0.52166666666666595</v>
      </c>
      <c r="S123">
        <f>AA123+AB123+AC123+AD123</f>
        <v>-0.5</v>
      </c>
      <c r="U123">
        <f>VLOOKUP(AE123,'pff grades'!$A$2:$J$135,9,FALSE)</f>
        <v>80.599999999999994</v>
      </c>
      <c r="V123">
        <f>VLOOKUP(AE123,'pff grades'!$A$2:$M$135,12,FALSE)</f>
        <v>89.4</v>
      </c>
      <c r="W123">
        <f>VLOOKUP(AE123,'pff grades'!$A$2:$M$135,10,FALSE)</f>
        <v>71.7</v>
      </c>
      <c r="X123">
        <f>VLOOKUP(AE123,'pff grades'!$A$2:$M$135,11,FALSE)</f>
        <v>66.8</v>
      </c>
      <c r="Z123">
        <v>20.5</v>
      </c>
      <c r="AA123">
        <v>-0.25</v>
      </c>
      <c r="AB123">
        <v>-0.25</v>
      </c>
      <c r="AC123">
        <v>0</v>
      </c>
      <c r="AD123">
        <v>0</v>
      </c>
      <c r="AE123" t="s">
        <v>303</v>
      </c>
    </row>
    <row r="124" spans="1:31" x14ac:dyDescent="0.25">
      <c r="A124" s="6" t="s">
        <v>210</v>
      </c>
      <c r="B124" s="6" t="s">
        <v>50</v>
      </c>
      <c r="C124" s="6"/>
      <c r="D124" s="6" t="s">
        <v>21</v>
      </c>
      <c r="E124" s="6" t="s">
        <v>351</v>
      </c>
      <c r="F124" s="6">
        <v>6.3</v>
      </c>
      <c r="G124" s="6"/>
      <c r="H124" s="2">
        <f>I124+J124</f>
        <v>-1.0916666666666686</v>
      </c>
      <c r="I124" s="2">
        <f>R124+S124</f>
        <v>-1.0916666666666686</v>
      </c>
      <c r="J124" s="2">
        <f>L124+M124+N124+O124</f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R124" s="2">
        <f>(76-((U124*0.2)+(V124*0.3)+(W124*0.25)+(X124*0.25)))/3</f>
        <v>-1.3416666666666686</v>
      </c>
      <c r="S124">
        <f>AA124+AB124+AC124+AD124</f>
        <v>0.25</v>
      </c>
      <c r="U124">
        <f>VLOOKUP(AE124,'pff grades'!$A$2:$J$135,9,FALSE)</f>
        <v>81.099999999999994</v>
      </c>
      <c r="V124">
        <f>VLOOKUP(AE124,'pff grades'!$A$2:$M$135,12,FALSE)</f>
        <v>87.6</v>
      </c>
      <c r="W124">
        <f>VLOOKUP(AE124,'pff grades'!$A$2:$M$135,10,FALSE)</f>
        <v>62.2</v>
      </c>
      <c r="X124">
        <f>VLOOKUP(AE124,'pff grades'!$A$2:$M$135,11,FALSE)</f>
        <v>87.9</v>
      </c>
      <c r="Z124">
        <v>22.5</v>
      </c>
      <c r="AA124">
        <v>0</v>
      </c>
      <c r="AB124">
        <v>0</v>
      </c>
      <c r="AC124">
        <v>0</v>
      </c>
      <c r="AD124">
        <v>0.25</v>
      </c>
      <c r="AE124" t="s">
        <v>391</v>
      </c>
    </row>
    <row r="125" spans="1:31" x14ac:dyDescent="0.25">
      <c r="A125" s="5" t="s">
        <v>222</v>
      </c>
      <c r="B125" s="5" t="s">
        <v>223</v>
      </c>
      <c r="C125" s="5"/>
      <c r="D125" s="5" t="s">
        <v>2</v>
      </c>
      <c r="E125" s="5" t="s">
        <v>391</v>
      </c>
      <c r="F125" s="5">
        <v>5.8</v>
      </c>
      <c r="G125" s="5" t="s">
        <v>413</v>
      </c>
      <c r="H125" s="2">
        <f>I125+J125</f>
        <v>-1.2349999999999994</v>
      </c>
      <c r="I125" s="2">
        <f>R125+S125</f>
        <v>-1.2349999999999994</v>
      </c>
      <c r="J125" s="2">
        <f>L125+M125+N125+O125</f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R125" s="2">
        <f>(76-((U125*0.4)+(V125*0.1)+(W125*0.25)+(X125*0.25)))/3</f>
        <v>-1.4849999999999994</v>
      </c>
      <c r="S125">
        <f>AA125+AB125+AC125+AD125</f>
        <v>0.25</v>
      </c>
      <c r="U125">
        <f>VLOOKUP(AE125,'pff grades'!$A$2:$J$135,9,FALSE)</f>
        <v>87.2</v>
      </c>
      <c r="V125">
        <f>VLOOKUP(AE125,'pff grades'!$A$2:$M$135,12,FALSE)</f>
        <v>90</v>
      </c>
      <c r="W125">
        <f>VLOOKUP(AE125,'pff grades'!$A$2:$M$135,10,FALSE)</f>
        <v>79.099999999999994</v>
      </c>
      <c r="X125">
        <f>VLOOKUP(AE125,'pff grades'!$A$2:$M$135,11,FALSE)</f>
        <v>67.2</v>
      </c>
      <c r="Z125">
        <v>29.5</v>
      </c>
      <c r="AA125">
        <v>0.25</v>
      </c>
      <c r="AB125">
        <v>0</v>
      </c>
      <c r="AC125">
        <v>-0.25</v>
      </c>
      <c r="AD125">
        <v>0.25</v>
      </c>
      <c r="AE125" t="s">
        <v>351</v>
      </c>
    </row>
    <row r="126" spans="1:31" x14ac:dyDescent="0.25">
      <c r="A126" s="7" t="s">
        <v>106</v>
      </c>
      <c r="B126" s="7" t="s">
        <v>217</v>
      </c>
      <c r="C126" s="7"/>
      <c r="D126" s="7" t="s">
        <v>7</v>
      </c>
      <c r="E126" s="7" t="s">
        <v>397</v>
      </c>
      <c r="F126" s="7">
        <v>6</v>
      </c>
      <c r="G126" s="7"/>
      <c r="H126" s="2">
        <f>I126+J126</f>
        <v>-1.657642276422767</v>
      </c>
      <c r="I126" s="2">
        <f>R126+S126</f>
        <v>-4.0966666666666693</v>
      </c>
      <c r="J126" s="2">
        <f>L126+M126+N126+O126</f>
        <v>2.4390243902439024</v>
      </c>
      <c r="L126" s="2">
        <v>0</v>
      </c>
      <c r="M126" s="2">
        <v>0</v>
      </c>
      <c r="N126" s="2">
        <v>0</v>
      </c>
      <c r="O126" s="2">
        <f>100/41</f>
        <v>2.4390243902439024</v>
      </c>
      <c r="P126" s="2">
        <f>100/4.5</f>
        <v>22.222222222222221</v>
      </c>
      <c r="R126" s="2">
        <f>(76-((U126*0.1)+(V126*0.5)+(W126*0.35)+(X126*0.15)))/3</f>
        <v>-3.8466666666666689</v>
      </c>
      <c r="S126">
        <f>AA126+AB126+AC126+AD126</f>
        <v>-0.25</v>
      </c>
      <c r="U126">
        <f>VLOOKUP(AE126,'pff grades'!$A$2:$J$135,9,FALSE)</f>
        <v>79.599999999999994</v>
      </c>
      <c r="V126">
        <f>VLOOKUP(AE126,'pff grades'!$A$2:$M$135,12,FALSE)</f>
        <v>80.2</v>
      </c>
      <c r="W126">
        <f>VLOOKUP(AE126,'pff grades'!$A$2:$M$135,10,FALSE)</f>
        <v>78.900000000000006</v>
      </c>
      <c r="X126">
        <f>VLOOKUP(AE126,'pff grades'!$A$2:$M$135,11,FALSE)</f>
        <v>79.099999999999994</v>
      </c>
      <c r="Z126">
        <v>29.5</v>
      </c>
      <c r="AA126">
        <v>0</v>
      </c>
      <c r="AB126">
        <v>-0.25</v>
      </c>
      <c r="AC126">
        <v>0</v>
      </c>
      <c r="AD126">
        <v>0</v>
      </c>
      <c r="AE126" t="s">
        <v>352</v>
      </c>
    </row>
    <row r="127" spans="1:31" x14ac:dyDescent="0.25">
      <c r="A127" s="4" t="s">
        <v>119</v>
      </c>
      <c r="B127" s="4" t="s">
        <v>120</v>
      </c>
      <c r="C127" s="4"/>
      <c r="D127" s="4" t="s">
        <v>10</v>
      </c>
      <c r="E127" s="4" t="s">
        <v>391</v>
      </c>
      <c r="F127" s="4">
        <v>14.3</v>
      </c>
      <c r="G127" s="4"/>
      <c r="H127" s="2">
        <f>I127+J127</f>
        <v>-1.6799999999999973</v>
      </c>
      <c r="I127" s="2">
        <f>R127+S127</f>
        <v>-1.6799999999999973</v>
      </c>
      <c r="J127" s="2">
        <f>L127+M127+N127+O127</f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R127" s="2">
        <f>(76-((U127*0.1)+(V127*0.5)+(W127*0.1)+(X127*0.3)))/3</f>
        <v>-1.9299999999999973</v>
      </c>
      <c r="S127">
        <f>AA127+AB127+AC127+AD127</f>
        <v>0.25</v>
      </c>
      <c r="U127">
        <f>VLOOKUP(AE127,'pff grades'!$A$2:$J$135,9,FALSE)</f>
        <v>87.2</v>
      </c>
      <c r="V127">
        <f>VLOOKUP(AE127,'pff grades'!$A$2:$M$135,12,FALSE)</f>
        <v>90</v>
      </c>
      <c r="W127">
        <f>VLOOKUP(AE127,'pff grades'!$A$2:$M$135,10,FALSE)</f>
        <v>79.099999999999994</v>
      </c>
      <c r="X127">
        <f>VLOOKUP(AE127,'pff grades'!$A$2:$M$135,11,FALSE)</f>
        <v>67.2</v>
      </c>
      <c r="Z127">
        <v>29.5</v>
      </c>
      <c r="AA127">
        <v>0.25</v>
      </c>
      <c r="AB127">
        <v>0</v>
      </c>
      <c r="AC127">
        <v>-0.25</v>
      </c>
      <c r="AD127">
        <v>0.25</v>
      </c>
      <c r="AE127" t="s">
        <v>351</v>
      </c>
    </row>
    <row r="128" spans="1:31" x14ac:dyDescent="0.25">
      <c r="A128" s="7" t="s">
        <v>228</v>
      </c>
      <c r="B128" s="7" t="s">
        <v>229</v>
      </c>
      <c r="C128" s="7"/>
      <c r="D128" s="7" t="s">
        <v>7</v>
      </c>
      <c r="E128" s="7" t="s">
        <v>397</v>
      </c>
      <c r="F128" s="7">
        <v>5.5</v>
      </c>
      <c r="G128" s="7"/>
      <c r="H128" s="2">
        <f>I128+J128</f>
        <v>-1.9227536231884086</v>
      </c>
      <c r="I128" s="2">
        <f>R128+S128</f>
        <v>-4.0966666666666693</v>
      </c>
      <c r="J128" s="2">
        <f>L128+M128+N128+O128</f>
        <v>2.1739130434782608</v>
      </c>
      <c r="L128" s="2">
        <v>0</v>
      </c>
      <c r="M128" s="2">
        <v>0</v>
      </c>
      <c r="N128" s="2">
        <v>0</v>
      </c>
      <c r="O128" s="2">
        <f>100/46</f>
        <v>2.1739130434782608</v>
      </c>
      <c r="P128" s="2">
        <f>100/4.5</f>
        <v>22.222222222222221</v>
      </c>
      <c r="R128" s="2">
        <f>(76-((U128*0.1)+(V128*0.5)+(W128*0.35)+(X128*0.15)))/3</f>
        <v>-3.8466666666666689</v>
      </c>
      <c r="S128">
        <f>AA128+AB128+AC128+AD128</f>
        <v>-0.25</v>
      </c>
      <c r="U128">
        <f>VLOOKUP(AE128,'pff grades'!$A$2:$J$135,9,FALSE)</f>
        <v>79.599999999999994</v>
      </c>
      <c r="V128">
        <f>VLOOKUP(AE128,'pff grades'!$A$2:$M$135,12,FALSE)</f>
        <v>80.2</v>
      </c>
      <c r="W128">
        <f>VLOOKUP(AE128,'pff grades'!$A$2:$M$135,10,FALSE)</f>
        <v>78.900000000000006</v>
      </c>
      <c r="X128">
        <f>VLOOKUP(AE128,'pff grades'!$A$2:$M$135,11,FALSE)</f>
        <v>79.099999999999994</v>
      </c>
      <c r="Z128">
        <v>29.5</v>
      </c>
      <c r="AA128">
        <v>0</v>
      </c>
      <c r="AB128">
        <v>-0.25</v>
      </c>
      <c r="AC128">
        <v>0</v>
      </c>
      <c r="AD128">
        <v>0</v>
      </c>
      <c r="AE128" t="s">
        <v>352</v>
      </c>
    </row>
    <row r="129" spans="1:31" x14ac:dyDescent="0.25">
      <c r="A129" s="4" t="s">
        <v>60</v>
      </c>
      <c r="B129" s="4" t="s">
        <v>61</v>
      </c>
      <c r="C129" s="4">
        <v>31</v>
      </c>
      <c r="D129" s="4" t="s">
        <v>10</v>
      </c>
      <c r="E129" s="4" t="s">
        <v>351</v>
      </c>
      <c r="F129" s="4">
        <v>28.6</v>
      </c>
      <c r="G129" s="4" t="s">
        <v>413</v>
      </c>
      <c r="H129" s="2">
        <f>I129+J129</f>
        <v>-2.5833333333333335</v>
      </c>
      <c r="I129" s="2">
        <f>R129+S129</f>
        <v>-2.5833333333333335</v>
      </c>
      <c r="J129" s="2">
        <f>L129+M129+N129+O129</f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R129" s="2">
        <f>(76-((U129*0.1)+(V129*0.5)+(W129*0.1)+(X129*0.3)))/3</f>
        <v>-2.8333333333333335</v>
      </c>
      <c r="S129">
        <f>AA129+AB129+AC129+AD129</f>
        <v>0.25</v>
      </c>
      <c r="U129">
        <f>VLOOKUP(AE129,'pff grades'!$A$2:$J$135,9,FALSE)</f>
        <v>81.099999999999994</v>
      </c>
      <c r="V129">
        <f>VLOOKUP(AE129,'pff grades'!$A$2:$M$135,12,FALSE)</f>
        <v>87.6</v>
      </c>
      <c r="W129">
        <f>VLOOKUP(AE129,'pff grades'!$A$2:$M$135,10,FALSE)</f>
        <v>62.2</v>
      </c>
      <c r="X129">
        <f>VLOOKUP(AE129,'pff grades'!$A$2:$M$135,11,FALSE)</f>
        <v>87.9</v>
      </c>
      <c r="Z129">
        <v>22.5</v>
      </c>
      <c r="AA129">
        <v>0</v>
      </c>
      <c r="AB129">
        <v>0</v>
      </c>
      <c r="AC129">
        <v>0</v>
      </c>
      <c r="AD129">
        <v>0.25</v>
      </c>
      <c r="AE129" t="s">
        <v>391</v>
      </c>
    </row>
    <row r="130" spans="1:31" x14ac:dyDescent="0.25">
      <c r="A130" s="4" t="s">
        <v>77</v>
      </c>
      <c r="B130" s="4" t="s">
        <v>78</v>
      </c>
      <c r="C130" s="4">
        <v>34.299999999999997</v>
      </c>
      <c r="D130" s="4" t="s">
        <v>10</v>
      </c>
      <c r="E130" s="4" t="s">
        <v>351</v>
      </c>
      <c r="F130" s="4">
        <v>23.9</v>
      </c>
      <c r="G130" s="4"/>
      <c r="H130" s="2">
        <f>I130+J130</f>
        <v>-2.5833333333333335</v>
      </c>
      <c r="I130" s="2">
        <f>R130+S130</f>
        <v>-2.5833333333333335</v>
      </c>
      <c r="J130" s="2">
        <f>L130+M130+N130+O130</f>
        <v>0</v>
      </c>
      <c r="L130" s="2">
        <v>0</v>
      </c>
      <c r="M130" s="2">
        <v>0</v>
      </c>
      <c r="N130" s="2">
        <v>0</v>
      </c>
      <c r="O130" s="2">
        <v>0</v>
      </c>
      <c r="P130" s="2">
        <v>61.5</v>
      </c>
      <c r="R130" s="2">
        <f>(76-((U130*0.1)+(V130*0.5)+(W130*0.1)+(X130*0.3)))/3</f>
        <v>-2.8333333333333335</v>
      </c>
      <c r="S130">
        <f>AA130+AB130+AC130+AD130</f>
        <v>0.25</v>
      </c>
      <c r="U130">
        <f>VLOOKUP(AE130,'pff grades'!$A$2:$J$135,9,FALSE)</f>
        <v>81.099999999999994</v>
      </c>
      <c r="V130">
        <f>VLOOKUP(AE130,'pff grades'!$A$2:$M$135,12,FALSE)</f>
        <v>87.6</v>
      </c>
      <c r="W130">
        <f>VLOOKUP(AE130,'pff grades'!$A$2:$M$135,10,FALSE)</f>
        <v>62.2</v>
      </c>
      <c r="X130">
        <f>VLOOKUP(AE130,'pff grades'!$A$2:$M$135,11,FALSE)</f>
        <v>87.9</v>
      </c>
      <c r="Z130">
        <v>22.5</v>
      </c>
      <c r="AA130">
        <v>0</v>
      </c>
      <c r="AB130">
        <v>0</v>
      </c>
      <c r="AC130">
        <v>0</v>
      </c>
      <c r="AD130">
        <v>0.25</v>
      </c>
      <c r="AE130" t="s">
        <v>391</v>
      </c>
    </row>
    <row r="131" spans="1:31" x14ac:dyDescent="0.25">
      <c r="A131" s="4" t="s">
        <v>125</v>
      </c>
      <c r="B131" s="4" t="s">
        <v>126</v>
      </c>
      <c r="C131" s="4"/>
      <c r="D131" s="4" t="s">
        <v>10</v>
      </c>
      <c r="E131" s="4" t="s">
        <v>371</v>
      </c>
      <c r="F131" s="4">
        <v>12.5</v>
      </c>
      <c r="G131" s="4"/>
      <c r="H131" s="2">
        <f>I131+J131</f>
        <v>-2.8020987654320937</v>
      </c>
      <c r="I131" s="2">
        <f>R131+S131</f>
        <v>-4.0366666666666617</v>
      </c>
      <c r="J131" s="2">
        <f>L131+M131+N131+O131</f>
        <v>1.2345679012345678</v>
      </c>
      <c r="L131" s="2">
        <v>0</v>
      </c>
      <c r="M131" s="2">
        <v>0</v>
      </c>
      <c r="N131" s="2">
        <v>0</v>
      </c>
      <c r="O131" s="2">
        <f>100/81</f>
        <v>1.2345679012345678</v>
      </c>
      <c r="P131" s="2">
        <f>100/15</f>
        <v>6.666666666666667</v>
      </c>
      <c r="R131" s="2">
        <f>(76-((U131*0.1)+(V131*0.5)+(W131*0.1)+(X131*0.3)))/3</f>
        <v>-3.7866666666666617</v>
      </c>
      <c r="S131">
        <f>AA131+AB131+AC131+AD131</f>
        <v>-0.25</v>
      </c>
      <c r="U131">
        <f>VLOOKUP(AE131,'pff grades'!$A$2:$J$135,9,FALSE)</f>
        <v>90.8</v>
      </c>
      <c r="V131">
        <f>VLOOKUP(AE131,'pff grades'!$A$2:$M$135,12,FALSE)</f>
        <v>90.6</v>
      </c>
      <c r="W131">
        <f>VLOOKUP(AE131,'pff grades'!$A$2:$M$135,10,FALSE)</f>
        <v>76.599999999999994</v>
      </c>
      <c r="X131">
        <f>VLOOKUP(AE131,'pff grades'!$A$2:$M$135,11,FALSE)</f>
        <v>84.4</v>
      </c>
      <c r="Z131">
        <v>10.5</v>
      </c>
      <c r="AA131">
        <v>-0.25</v>
      </c>
      <c r="AB131">
        <v>0</v>
      </c>
      <c r="AC131">
        <v>0</v>
      </c>
      <c r="AD131">
        <v>0</v>
      </c>
      <c r="AE131" t="s">
        <v>369</v>
      </c>
    </row>
    <row r="132" spans="1:31" x14ac:dyDescent="0.25">
      <c r="A132" s="7" t="s">
        <v>195</v>
      </c>
      <c r="B132" s="7" t="s">
        <v>196</v>
      </c>
      <c r="C132" s="7"/>
      <c r="D132" s="7" t="s">
        <v>7</v>
      </c>
      <c r="E132" s="7" t="s">
        <v>288</v>
      </c>
      <c r="F132" s="7">
        <v>6.7</v>
      </c>
      <c r="G132" s="7"/>
      <c r="H132" s="2">
        <f>I132+J132</f>
        <v>-3.3123809523809515</v>
      </c>
      <c r="I132" s="2">
        <f>R132+S132</f>
        <v>-5.6933333333333325</v>
      </c>
      <c r="J132" s="2">
        <f>L132+M132+N132+O132</f>
        <v>2.3809523809523809</v>
      </c>
      <c r="L132" s="2">
        <v>0</v>
      </c>
      <c r="M132" s="2">
        <v>0</v>
      </c>
      <c r="N132" s="2">
        <v>0</v>
      </c>
      <c r="O132" s="2">
        <f>100/42</f>
        <v>2.3809523809523809</v>
      </c>
      <c r="P132" s="2">
        <f>100/5</f>
        <v>20</v>
      </c>
      <c r="R132" s="2">
        <f>(76-((U132*0.1)+(V132*0.5)+(W132*0.35)+(X132*0.15)))/3</f>
        <v>-6.1933333333333325</v>
      </c>
      <c r="S132">
        <f>AA132+AB132+AC132+AD132</f>
        <v>0.5</v>
      </c>
      <c r="U132">
        <f>VLOOKUP(AE132,'pff grades'!$A$2:$J$135,9,FALSE)</f>
        <v>87.7</v>
      </c>
      <c r="V132">
        <f>VLOOKUP(AE132,'pff grades'!$A$2:$M$135,12,FALSE)</f>
        <v>94.1</v>
      </c>
      <c r="W132">
        <f>VLOOKUP(AE132,'pff grades'!$A$2:$M$135,10,FALSE)</f>
        <v>74.7</v>
      </c>
      <c r="X132">
        <f>VLOOKUP(AE132,'pff grades'!$A$2:$M$135,11,FALSE)</f>
        <v>84.1</v>
      </c>
      <c r="Z132">
        <v>21.5</v>
      </c>
      <c r="AA132">
        <v>0.25</v>
      </c>
      <c r="AB132">
        <v>0</v>
      </c>
      <c r="AC132">
        <v>0</v>
      </c>
      <c r="AD132">
        <v>0.25</v>
      </c>
      <c r="AE132" t="s">
        <v>386</v>
      </c>
    </row>
    <row r="133" spans="1:31" x14ac:dyDescent="0.25">
      <c r="A133" s="7" t="s">
        <v>125</v>
      </c>
      <c r="B133" s="7" t="s">
        <v>135</v>
      </c>
      <c r="C133" s="7"/>
      <c r="D133" s="7" t="s">
        <v>7</v>
      </c>
      <c r="E133" s="7" t="s">
        <v>351</v>
      </c>
      <c r="F133" s="7">
        <v>11</v>
      </c>
      <c r="G133" s="7" t="s">
        <v>413</v>
      </c>
      <c r="H133" s="2">
        <f>I133+J133</f>
        <v>-3.3716666666666648</v>
      </c>
      <c r="I133" s="2">
        <f>R133+S133</f>
        <v>-3.3716666666666648</v>
      </c>
      <c r="J133" s="2">
        <f>L133+M133+N133+O133</f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R133" s="2">
        <f>(76-((U133*0.1)+(V133*0.5)+(W133*0.35)+(X133*0.15)))/3</f>
        <v>-3.6216666666666648</v>
      </c>
      <c r="S133">
        <f>AA133+AB133+AC133+AD133</f>
        <v>0.25</v>
      </c>
      <c r="U133">
        <f>VLOOKUP(AE133,'pff grades'!$A$2:$J$135,9,FALSE)</f>
        <v>81.099999999999994</v>
      </c>
      <c r="V133">
        <f>VLOOKUP(AE133,'pff grades'!$A$2:$M$135,12,FALSE)</f>
        <v>87.6</v>
      </c>
      <c r="W133">
        <f>VLOOKUP(AE133,'pff grades'!$A$2:$M$135,10,FALSE)</f>
        <v>62.2</v>
      </c>
      <c r="X133">
        <f>VLOOKUP(AE133,'pff grades'!$A$2:$M$135,11,FALSE)</f>
        <v>87.9</v>
      </c>
      <c r="Z133">
        <v>22.5</v>
      </c>
      <c r="AA133">
        <v>0</v>
      </c>
      <c r="AB133">
        <v>0</v>
      </c>
      <c r="AC133">
        <v>0</v>
      </c>
      <c r="AD133">
        <v>0.25</v>
      </c>
      <c r="AE133" t="s">
        <v>391</v>
      </c>
    </row>
    <row r="134" spans="1:31" x14ac:dyDescent="0.25">
      <c r="A134" s="7" t="s">
        <v>143</v>
      </c>
      <c r="B134" s="7" t="s">
        <v>144</v>
      </c>
      <c r="C134" s="7"/>
      <c r="D134" s="7" t="s">
        <v>7</v>
      </c>
      <c r="E134" s="7" t="s">
        <v>351</v>
      </c>
      <c r="F134" s="7">
        <v>9.6999999999999993</v>
      </c>
      <c r="G134" s="7"/>
      <c r="H134" s="2">
        <f>I134+J134</f>
        <v>-3.3716666666666648</v>
      </c>
      <c r="I134" s="2">
        <f>R134+S134</f>
        <v>-3.3716666666666648</v>
      </c>
      <c r="J134" s="2">
        <f>L134+M134+N134+O134</f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R134" s="2">
        <f>(76-((U134*0.1)+(V134*0.5)+(W134*0.35)+(X134*0.15)))/3</f>
        <v>-3.6216666666666648</v>
      </c>
      <c r="S134">
        <f>AA134+AB134+AC134+AD134</f>
        <v>0.25</v>
      </c>
      <c r="U134">
        <f>VLOOKUP(AE134,'pff grades'!$A$2:$J$135,9,FALSE)</f>
        <v>81.099999999999994</v>
      </c>
      <c r="V134">
        <f>VLOOKUP(AE134,'pff grades'!$A$2:$M$135,12,FALSE)</f>
        <v>87.6</v>
      </c>
      <c r="W134">
        <f>VLOOKUP(AE134,'pff grades'!$A$2:$M$135,10,FALSE)</f>
        <v>62.2</v>
      </c>
      <c r="X134">
        <f>VLOOKUP(AE134,'pff grades'!$A$2:$M$135,11,FALSE)</f>
        <v>87.9</v>
      </c>
      <c r="Z134">
        <v>22.5</v>
      </c>
      <c r="AA134">
        <v>0</v>
      </c>
      <c r="AB134">
        <v>0</v>
      </c>
      <c r="AC134">
        <v>0</v>
      </c>
      <c r="AD134">
        <v>0.25</v>
      </c>
      <c r="AE134" t="s">
        <v>391</v>
      </c>
    </row>
    <row r="135" spans="1:31" x14ac:dyDescent="0.25">
      <c r="A135" s="7" t="s">
        <v>182</v>
      </c>
      <c r="B135" s="7" t="s">
        <v>211</v>
      </c>
      <c r="C135" s="7"/>
      <c r="D135" s="7" t="s">
        <v>7</v>
      </c>
      <c r="E135" s="7" t="s">
        <v>371</v>
      </c>
      <c r="F135" s="7">
        <v>6.2</v>
      </c>
      <c r="G135" s="7"/>
      <c r="H135" s="2">
        <f>I135+J135</f>
        <v>-3.760975609756096</v>
      </c>
      <c r="I135" s="2">
        <f>R135+S135</f>
        <v>-6.1999999999999984</v>
      </c>
      <c r="J135" s="2">
        <f>L135+M135+N135+O135</f>
        <v>2.4390243902439024</v>
      </c>
      <c r="L135" s="2">
        <v>0</v>
      </c>
      <c r="M135" s="2">
        <v>0</v>
      </c>
      <c r="N135" s="2">
        <v>0</v>
      </c>
      <c r="O135" s="2">
        <f>100/41</f>
        <v>2.4390243902439024</v>
      </c>
      <c r="P135" s="2">
        <f>100/5.5</f>
        <v>18.181818181818183</v>
      </c>
      <c r="R135" s="2">
        <f>(76-((U135*0.1)+(V135*0.5)+(W135*0.35)+(X135*0.15)))/3</f>
        <v>-5.9499999999999984</v>
      </c>
      <c r="S135">
        <f>AA135+AB135+AC135+AD135</f>
        <v>-0.25</v>
      </c>
      <c r="U135">
        <f>VLOOKUP(AE135,'pff grades'!$A$2:$J$135,9,FALSE)</f>
        <v>90.8</v>
      </c>
      <c r="V135">
        <f>VLOOKUP(AE135,'pff grades'!$A$2:$M$135,12,FALSE)</f>
        <v>90.6</v>
      </c>
      <c r="W135">
        <f>VLOOKUP(AE135,'pff grades'!$A$2:$M$135,10,FALSE)</f>
        <v>76.599999999999994</v>
      </c>
      <c r="X135">
        <f>VLOOKUP(AE135,'pff grades'!$A$2:$M$135,11,FALSE)</f>
        <v>84.4</v>
      </c>
      <c r="Z135">
        <v>10.5</v>
      </c>
      <c r="AA135">
        <v>-0.25</v>
      </c>
      <c r="AB135">
        <v>0</v>
      </c>
      <c r="AC135">
        <v>0</v>
      </c>
      <c r="AD135">
        <v>0</v>
      </c>
      <c r="AE135" t="s">
        <v>369</v>
      </c>
    </row>
    <row r="136" spans="1:31" x14ac:dyDescent="0.25">
      <c r="A136" s="7" t="s">
        <v>163</v>
      </c>
      <c r="B136" s="7" t="s">
        <v>71</v>
      </c>
      <c r="C136" s="7"/>
      <c r="D136" s="7" t="s">
        <v>7</v>
      </c>
      <c r="E136" s="7" t="s">
        <v>370</v>
      </c>
      <c r="F136" s="7">
        <v>8.1</v>
      </c>
      <c r="G136" s="7"/>
      <c r="H136" s="2">
        <f>I136+J136</f>
        <v>-4.4583333333333339</v>
      </c>
      <c r="I136" s="2">
        <f>R136+S136</f>
        <v>-4.4583333333333339</v>
      </c>
      <c r="J136" s="2">
        <f>L136+M136+N136+O136</f>
        <v>0</v>
      </c>
      <c r="L136" s="2">
        <v>0</v>
      </c>
      <c r="M136" s="2">
        <v>0</v>
      </c>
      <c r="N136" s="2">
        <v>0</v>
      </c>
      <c r="O136" s="2">
        <v>0</v>
      </c>
      <c r="P136" s="2">
        <f>100/3.6</f>
        <v>27.777777777777779</v>
      </c>
      <c r="R136" s="2">
        <f>(76-((U136*0.1)+(V136*0.5)+(W136*0.35)+(X136*0.15)))/3</f>
        <v>-3.9583333333333335</v>
      </c>
      <c r="S136">
        <f>AA136+AB136+AC136+AD136</f>
        <v>-0.5</v>
      </c>
      <c r="U136">
        <f>VLOOKUP(AE136,'pff grades'!$A$2:$J$135,9,FALSE)</f>
        <v>80.599999999999994</v>
      </c>
      <c r="V136">
        <f>VLOOKUP(AE136,'pff grades'!$A$2:$M$135,12,FALSE)</f>
        <v>89.4</v>
      </c>
      <c r="W136">
        <f>VLOOKUP(AE136,'pff grades'!$A$2:$M$135,10,FALSE)</f>
        <v>71.7</v>
      </c>
      <c r="X136">
        <f>VLOOKUP(AE136,'pff grades'!$A$2:$M$135,11,FALSE)</f>
        <v>66.8</v>
      </c>
      <c r="Z136">
        <v>20.5</v>
      </c>
      <c r="AA136">
        <v>-0.25</v>
      </c>
      <c r="AB136">
        <v>-0.25</v>
      </c>
      <c r="AC136">
        <v>0</v>
      </c>
      <c r="AD136">
        <v>0</v>
      </c>
      <c r="AE136" t="s">
        <v>303</v>
      </c>
    </row>
    <row r="137" spans="1:31" x14ac:dyDescent="0.25">
      <c r="A137" s="7" t="s">
        <v>176</v>
      </c>
      <c r="B137" s="7" t="s">
        <v>177</v>
      </c>
      <c r="C137" s="7"/>
      <c r="D137" s="7" t="s">
        <v>7</v>
      </c>
      <c r="E137" s="7" t="s">
        <v>370</v>
      </c>
      <c r="F137" s="7">
        <v>7.3</v>
      </c>
      <c r="G137" s="7" t="s">
        <v>413</v>
      </c>
      <c r="H137" s="2">
        <f>I137+J137</f>
        <v>-4.4583333333333339</v>
      </c>
      <c r="I137" s="2">
        <f>R137+S137</f>
        <v>-4.4583333333333339</v>
      </c>
      <c r="J137" s="2">
        <f>L137+M137+N137+O137</f>
        <v>0</v>
      </c>
      <c r="L137" s="2">
        <v>0</v>
      </c>
      <c r="M137" s="2">
        <v>0</v>
      </c>
      <c r="N137" s="2">
        <v>0</v>
      </c>
      <c r="O137" s="2">
        <v>0</v>
      </c>
      <c r="P137" s="2">
        <f>100/2.8</f>
        <v>35.714285714285715</v>
      </c>
      <c r="R137" s="2">
        <f>(76-((U137*0.1)+(V137*0.5)+(W137*0.35)+(X137*0.15)))/3</f>
        <v>-3.9583333333333335</v>
      </c>
      <c r="S137">
        <f>AA137+AB137+AC137+AD137</f>
        <v>-0.5</v>
      </c>
      <c r="U137">
        <f>VLOOKUP(AE137,'pff grades'!$A$2:$J$135,9,FALSE)</f>
        <v>80.599999999999994</v>
      </c>
      <c r="V137">
        <f>VLOOKUP(AE137,'pff grades'!$A$2:$M$135,12,FALSE)</f>
        <v>89.4</v>
      </c>
      <c r="W137">
        <f>VLOOKUP(AE137,'pff grades'!$A$2:$M$135,10,FALSE)</f>
        <v>71.7</v>
      </c>
      <c r="X137">
        <f>VLOOKUP(AE137,'pff grades'!$A$2:$M$135,11,FALSE)</f>
        <v>66.8</v>
      </c>
      <c r="Z137">
        <v>20.5</v>
      </c>
      <c r="AA137">
        <v>-0.25</v>
      </c>
      <c r="AB137">
        <v>-0.25</v>
      </c>
      <c r="AC137">
        <v>0</v>
      </c>
      <c r="AD137">
        <v>0</v>
      </c>
      <c r="AE137" t="s">
        <v>303</v>
      </c>
    </row>
    <row r="138" spans="1:31" x14ac:dyDescent="0.25">
      <c r="A138" s="7" t="s">
        <v>181</v>
      </c>
      <c r="B138" s="7" t="s">
        <v>168</v>
      </c>
      <c r="C138" s="7"/>
      <c r="D138" s="7" t="s">
        <v>7</v>
      </c>
      <c r="E138" s="7" t="s">
        <v>370</v>
      </c>
      <c r="F138" s="7">
        <v>7.1</v>
      </c>
      <c r="G138" s="7"/>
      <c r="H138" s="2">
        <f>I138+J138</f>
        <v>-4.4583333333333339</v>
      </c>
      <c r="I138" s="2">
        <f>R138+S138</f>
        <v>-4.4583333333333339</v>
      </c>
      <c r="J138" s="2">
        <f>L138+M138+N138+O138</f>
        <v>0</v>
      </c>
      <c r="L138" s="2">
        <v>0</v>
      </c>
      <c r="M138" s="2">
        <v>0</v>
      </c>
      <c r="N138" s="2">
        <v>0</v>
      </c>
      <c r="O138" s="2">
        <v>0</v>
      </c>
      <c r="P138" s="2">
        <f>100/3.25</f>
        <v>30.76923076923077</v>
      </c>
      <c r="R138" s="2">
        <f>(76-((U138*0.1)+(V138*0.5)+(W138*0.35)+(X138*0.15)))/3</f>
        <v>-3.9583333333333335</v>
      </c>
      <c r="S138">
        <f>AA138+AB138+AC138+AD138</f>
        <v>-0.5</v>
      </c>
      <c r="U138">
        <f>VLOOKUP(AE138,'pff grades'!$A$2:$J$135,9,FALSE)</f>
        <v>80.599999999999994</v>
      </c>
      <c r="V138">
        <f>VLOOKUP(AE138,'pff grades'!$A$2:$M$135,12,FALSE)</f>
        <v>89.4</v>
      </c>
      <c r="W138">
        <f>VLOOKUP(AE138,'pff grades'!$A$2:$M$135,10,FALSE)</f>
        <v>71.7</v>
      </c>
      <c r="X138">
        <f>VLOOKUP(AE138,'pff grades'!$A$2:$M$135,11,FALSE)</f>
        <v>66.8</v>
      </c>
      <c r="Z138">
        <v>20.5</v>
      </c>
      <c r="AA138">
        <v>-0.25</v>
      </c>
      <c r="AB138">
        <v>-0.25</v>
      </c>
      <c r="AC138">
        <v>0</v>
      </c>
      <c r="AD138">
        <v>0</v>
      </c>
      <c r="AE138" t="s">
        <v>303</v>
      </c>
    </row>
    <row r="139" spans="1:31" x14ac:dyDescent="0.25">
      <c r="A139" s="7" t="s">
        <v>192</v>
      </c>
      <c r="B139" s="7" t="s">
        <v>193</v>
      </c>
      <c r="C139" s="7"/>
      <c r="D139" s="7" t="s">
        <v>7</v>
      </c>
      <c r="E139" s="7" t="s">
        <v>370</v>
      </c>
      <c r="F139" s="7">
        <v>6.8</v>
      </c>
      <c r="G139" s="7"/>
      <c r="H139" s="2">
        <f>I139+J139</f>
        <v>-4.4583333333333339</v>
      </c>
      <c r="I139" s="2">
        <f>R139+S139</f>
        <v>-4.4583333333333339</v>
      </c>
      <c r="J139" s="2">
        <f>L139+M139+N139+O139</f>
        <v>0</v>
      </c>
      <c r="L139" s="2">
        <v>0</v>
      </c>
      <c r="M139" s="2">
        <v>0</v>
      </c>
      <c r="N139" s="2">
        <v>0</v>
      </c>
      <c r="O139" s="2">
        <v>0</v>
      </c>
      <c r="P139" s="2">
        <f>100/3.65</f>
        <v>27.397260273972602</v>
      </c>
      <c r="R139" s="2">
        <f>(76-((U139*0.1)+(V139*0.5)+(W139*0.35)+(X139*0.15)))/3</f>
        <v>-3.9583333333333335</v>
      </c>
      <c r="S139">
        <f>AA139+AB139+AC139+AD139</f>
        <v>-0.5</v>
      </c>
      <c r="U139">
        <f>VLOOKUP(AE139,'pff grades'!$A$2:$J$135,9,FALSE)</f>
        <v>80.599999999999994</v>
      </c>
      <c r="V139">
        <f>VLOOKUP(AE139,'pff grades'!$A$2:$M$135,12,FALSE)</f>
        <v>89.4</v>
      </c>
      <c r="W139">
        <f>VLOOKUP(AE139,'pff grades'!$A$2:$M$135,10,FALSE)</f>
        <v>71.7</v>
      </c>
      <c r="X139">
        <f>VLOOKUP(AE139,'pff grades'!$A$2:$M$135,11,FALSE)</f>
        <v>66.8</v>
      </c>
      <c r="Z139">
        <v>20.5</v>
      </c>
      <c r="AA139">
        <v>-0.25</v>
      </c>
      <c r="AB139">
        <v>-0.25</v>
      </c>
      <c r="AC139">
        <v>0</v>
      </c>
      <c r="AD139">
        <v>0</v>
      </c>
      <c r="AE139" t="s">
        <v>303</v>
      </c>
    </row>
    <row r="140" spans="1:31" x14ac:dyDescent="0.25">
      <c r="A140" s="7" t="s">
        <v>178</v>
      </c>
      <c r="B140" s="7" t="s">
        <v>179</v>
      </c>
      <c r="C140" s="7"/>
      <c r="D140" s="7" t="s">
        <v>7</v>
      </c>
      <c r="E140" s="7" t="s">
        <v>303</v>
      </c>
      <c r="F140" s="7">
        <v>7.3</v>
      </c>
      <c r="G140" s="7"/>
      <c r="H140" s="2">
        <f>I140+J140</f>
        <v>-4.493333333333335</v>
      </c>
      <c r="I140" s="2">
        <f>R140+S140</f>
        <v>-4.493333333333335</v>
      </c>
      <c r="J140" s="2">
        <f>L140+M140+N140+O140</f>
        <v>0</v>
      </c>
      <c r="L140" s="2">
        <v>0</v>
      </c>
      <c r="M140" s="2">
        <v>0</v>
      </c>
      <c r="N140" s="2">
        <v>0</v>
      </c>
      <c r="O140" s="2">
        <v>0</v>
      </c>
      <c r="P140" s="2">
        <f>100/2.6</f>
        <v>38.46153846153846</v>
      </c>
      <c r="R140" s="2">
        <f>(76-((U140*0.1)+(V140*0.5)+(W140*0.35)+(X140*0.15)))/3</f>
        <v>-4.743333333333335</v>
      </c>
      <c r="S140">
        <f>AA140+AB140+AC140+AD140</f>
        <v>0.25</v>
      </c>
      <c r="U140">
        <f>VLOOKUP(AE140,'pff grades'!$A$2:$J$135,9,FALSE)</f>
        <v>85.5</v>
      </c>
      <c r="V140">
        <f>VLOOKUP(AE140,'pff grades'!$A$2:$M$135,12,FALSE)</f>
        <v>83.8</v>
      </c>
      <c r="W140">
        <f>VLOOKUP(AE140,'pff grades'!$A$2:$M$135,10,FALSE)</f>
        <v>81.900000000000006</v>
      </c>
      <c r="X140">
        <f>VLOOKUP(AE140,'pff grades'!$A$2:$M$135,11,FALSE)</f>
        <v>74.099999999999994</v>
      </c>
      <c r="Z140">
        <v>31.5</v>
      </c>
      <c r="AA140">
        <v>0</v>
      </c>
      <c r="AB140">
        <v>0</v>
      </c>
      <c r="AC140">
        <v>0</v>
      </c>
      <c r="AD140">
        <v>0.25</v>
      </c>
      <c r="AE140" t="s">
        <v>370</v>
      </c>
    </row>
    <row r="141" spans="1:31" x14ac:dyDescent="0.25">
      <c r="A141" s="7" t="s">
        <v>212</v>
      </c>
      <c r="B141" s="7" t="s">
        <v>194</v>
      </c>
      <c r="C141" s="7"/>
      <c r="D141" s="7" t="s">
        <v>7</v>
      </c>
      <c r="E141" s="7" t="s">
        <v>391</v>
      </c>
      <c r="F141" s="7">
        <v>6.1</v>
      </c>
      <c r="G141" s="7"/>
      <c r="H141" s="2">
        <f>I141+J141</f>
        <v>-4.9116666666666662</v>
      </c>
      <c r="I141" s="2">
        <f>R141+S141</f>
        <v>-4.9116666666666662</v>
      </c>
      <c r="J141" s="2">
        <f>L141+M141+N141+O141</f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R141" s="2">
        <f>(76-((U141*0.1)+(V141*0.5)+(W141*0.35)+(X141*0.15)))/3</f>
        <v>-5.1616666666666662</v>
      </c>
      <c r="S141">
        <f>AA141+AB141+AC141+AD141</f>
        <v>0.25</v>
      </c>
      <c r="U141">
        <f>VLOOKUP(AE141,'pff grades'!$A$2:$J$135,9,FALSE)</f>
        <v>87.2</v>
      </c>
      <c r="V141">
        <f>VLOOKUP(AE141,'pff grades'!$A$2:$M$135,12,FALSE)</f>
        <v>90</v>
      </c>
      <c r="W141">
        <f>VLOOKUP(AE141,'pff grades'!$A$2:$M$135,10,FALSE)</f>
        <v>79.099999999999994</v>
      </c>
      <c r="X141">
        <f>VLOOKUP(AE141,'pff grades'!$A$2:$M$135,11,FALSE)</f>
        <v>67.2</v>
      </c>
      <c r="Z141">
        <v>29.5</v>
      </c>
      <c r="AA141">
        <v>0.25</v>
      </c>
      <c r="AB141">
        <v>0</v>
      </c>
      <c r="AC141">
        <v>-0.25</v>
      </c>
      <c r="AD141">
        <v>0.25</v>
      </c>
      <c r="AE141" t="s">
        <v>351</v>
      </c>
    </row>
    <row r="142" spans="1:31" x14ac:dyDescent="0.25">
      <c r="A142" s="7" t="s">
        <v>247</v>
      </c>
      <c r="B142" s="7" t="s">
        <v>4</v>
      </c>
      <c r="C142" s="7"/>
      <c r="D142" s="7" t="s">
        <v>7</v>
      </c>
      <c r="E142" s="7" t="s">
        <v>391</v>
      </c>
      <c r="F142" s="7">
        <v>5</v>
      </c>
      <c r="G142" s="7"/>
      <c r="H142" s="2">
        <f>I142+J142</f>
        <v>-4.9116666666666662</v>
      </c>
      <c r="I142" s="2">
        <f>R142+S142</f>
        <v>-4.9116666666666662</v>
      </c>
      <c r="J142" s="2">
        <f>L142+M142+N142+O142</f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R142" s="2">
        <f>(76-((U142*0.1)+(V142*0.5)+(W142*0.35)+(X142*0.15)))/3</f>
        <v>-5.1616666666666662</v>
      </c>
      <c r="S142">
        <f>AA142+AB142+AC142+AD142</f>
        <v>0.25</v>
      </c>
      <c r="U142">
        <f>VLOOKUP(AE142,'pff grades'!$A$2:$J$135,9,FALSE)</f>
        <v>87.2</v>
      </c>
      <c r="V142">
        <f>VLOOKUP(AE142,'pff grades'!$A$2:$M$135,12,FALSE)</f>
        <v>90</v>
      </c>
      <c r="W142">
        <f>VLOOKUP(AE142,'pff grades'!$A$2:$M$135,10,FALSE)</f>
        <v>79.099999999999994</v>
      </c>
      <c r="X142">
        <f>VLOOKUP(AE142,'pff grades'!$A$2:$M$135,11,FALSE)</f>
        <v>67.2</v>
      </c>
      <c r="Z142">
        <v>29.5</v>
      </c>
      <c r="AA142">
        <v>0.25</v>
      </c>
      <c r="AB142">
        <v>0</v>
      </c>
      <c r="AC142">
        <v>-0.25</v>
      </c>
      <c r="AD142">
        <v>0.25</v>
      </c>
      <c r="AE142" t="s">
        <v>351</v>
      </c>
    </row>
  </sheetData>
  <sortState xmlns:xlrd2="http://schemas.microsoft.com/office/spreadsheetml/2017/richdata2" ref="A2:AE142">
    <sortCondition descending="1" ref="H2:H142"/>
  </sortState>
  <conditionalFormatting sqref="Z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:O1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:X1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1:P1">
    <cfRule type="colorScale" priority="29">
      <colorScale>
        <cfvo type="min"/>
        <cfvo type="max"/>
        <color rgb="FFFCFCFF"/>
        <color rgb="FF63BE7B"/>
      </colorScale>
    </cfRule>
  </conditionalFormatting>
  <conditionalFormatting sqref="Z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3:O1048576 L1:O6 L113:O120 L121:P142 L7:P112">
    <cfRule type="colorScale" priority="16">
      <colorScale>
        <cfvo type="min"/>
        <cfvo type="max"/>
        <color rgb="FFFCFCFF"/>
        <color rgb="FF63BE7B"/>
      </colorScale>
    </cfRule>
  </conditionalFormatting>
  <conditionalFormatting sqref="P143:P1048576 P1:P6 P113:P120">
    <cfRule type="colorScale" priority="15">
      <colorScale>
        <cfvo type="min"/>
        <cfvo type="max"/>
        <color rgb="FFFCFCFF"/>
        <color rgb="FF63BE7B"/>
      </colorScale>
    </cfRule>
  </conditionalFormatting>
  <conditionalFormatting sqref="J1:J1048576">
    <cfRule type="colorScale" priority="14">
      <colorScale>
        <cfvo type="min"/>
        <cfvo type="max"/>
        <color rgb="FFFCFCFF"/>
        <color rgb="FF63BE7B"/>
      </colorScale>
    </cfRule>
  </conditionalFormatting>
  <conditionalFormatting sqref="I1:I104857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7">
      <colorScale>
        <cfvo type="min"/>
        <cfvo type="max"/>
        <color rgb="FFFCFCFF"/>
        <color rgb="FF63BE7B"/>
      </colorScale>
    </cfRule>
  </conditionalFormatting>
  <conditionalFormatting sqref="H1:H1048576">
    <cfRule type="colorScale" priority="12">
      <colorScale>
        <cfvo type="min"/>
        <cfvo type="max"/>
        <color rgb="FFFCFCFF"/>
        <color rgb="FF63BE7B"/>
      </colorScale>
    </cfRule>
  </conditionalFormatting>
  <conditionalFormatting sqref="R1:R104857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4:R66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67:R82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23">
    <cfRule type="colorScale" priority="2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3:R142">
    <cfRule type="colorScale" priority="3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2:AD142">
    <cfRule type="colorScale" priority="3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:U142">
    <cfRule type="colorScale" priority="30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2:V142">
    <cfRule type="colorScale" priority="30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2:W142">
    <cfRule type="colorScale" priority="3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2:X142">
    <cfRule type="colorScale" priority="3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2:S142">
    <cfRule type="colorScale" priority="3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1:Z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46F48-517A-45F1-8A7C-A710DAAED845}">
  <dimension ref="A1:M136"/>
  <sheetViews>
    <sheetView workbookViewId="0">
      <selection activeCell="B7" sqref="B7"/>
    </sheetView>
  </sheetViews>
  <sheetFormatPr defaultRowHeight="15" x14ac:dyDescent="0.25"/>
  <cols>
    <col min="1" max="1" width="19.42578125" bestFit="1" customWidth="1"/>
  </cols>
  <sheetData>
    <row r="1" spans="1:13" x14ac:dyDescent="0.25">
      <c r="B1" t="s">
        <v>270</v>
      </c>
      <c r="C1" t="s">
        <v>271</v>
      </c>
      <c r="D1" t="s">
        <v>272</v>
      </c>
      <c r="E1" t="s">
        <v>273</v>
      </c>
      <c r="F1" t="s">
        <v>274</v>
      </c>
      <c r="G1" t="s">
        <v>275</v>
      </c>
      <c r="H1" t="s">
        <v>276</v>
      </c>
      <c r="I1" t="s">
        <v>277</v>
      </c>
      <c r="J1" t="s">
        <v>278</v>
      </c>
      <c r="K1" t="s">
        <v>279</v>
      </c>
      <c r="L1" t="s">
        <v>280</v>
      </c>
      <c r="M1" t="s">
        <v>281</v>
      </c>
    </row>
    <row r="2" spans="1:13" x14ac:dyDescent="0.25">
      <c r="A2" t="s">
        <v>282</v>
      </c>
      <c r="B2">
        <v>65.599999999999994</v>
      </c>
      <c r="C2">
        <v>53.2</v>
      </c>
      <c r="D2">
        <v>37</v>
      </c>
      <c r="E2">
        <v>57.7</v>
      </c>
      <c r="F2">
        <v>67.099999999999994</v>
      </c>
      <c r="G2">
        <v>71.099999999999994</v>
      </c>
      <c r="H2">
        <v>74.5</v>
      </c>
      <c r="I2">
        <v>73.099999999999994</v>
      </c>
      <c r="J2">
        <v>70.599999999999994</v>
      </c>
      <c r="K2">
        <v>71.900000000000006</v>
      </c>
      <c r="L2">
        <v>62.7</v>
      </c>
      <c r="M2">
        <v>65.2</v>
      </c>
    </row>
    <row r="3" spans="1:13" x14ac:dyDescent="0.25">
      <c r="A3" t="s">
        <v>283</v>
      </c>
      <c r="B3">
        <v>61.3</v>
      </c>
      <c r="C3">
        <v>67.3</v>
      </c>
      <c r="D3">
        <v>48.6</v>
      </c>
      <c r="E3">
        <v>64.400000000000006</v>
      </c>
      <c r="F3">
        <v>73.599999999999994</v>
      </c>
      <c r="G3">
        <v>45.8</v>
      </c>
      <c r="H3">
        <v>58.6</v>
      </c>
      <c r="I3">
        <v>62.4</v>
      </c>
      <c r="J3">
        <v>40.1</v>
      </c>
      <c r="K3">
        <v>65</v>
      </c>
      <c r="L3">
        <v>46.8</v>
      </c>
      <c r="M3">
        <v>61.4</v>
      </c>
    </row>
    <row r="4" spans="1:13" x14ac:dyDescent="0.25">
      <c r="A4" t="s">
        <v>284</v>
      </c>
      <c r="B4">
        <v>81.8</v>
      </c>
      <c r="C4">
        <v>78.5</v>
      </c>
      <c r="D4">
        <v>72.5</v>
      </c>
      <c r="E4">
        <v>76.5</v>
      </c>
      <c r="F4">
        <v>87.6</v>
      </c>
      <c r="G4">
        <v>65.8</v>
      </c>
      <c r="H4">
        <v>92.4</v>
      </c>
      <c r="I4">
        <v>92.5</v>
      </c>
      <c r="J4">
        <v>89.7</v>
      </c>
      <c r="K4">
        <v>78.7</v>
      </c>
      <c r="L4">
        <v>89.9</v>
      </c>
      <c r="M4">
        <v>75.5</v>
      </c>
    </row>
    <row r="5" spans="1:13" x14ac:dyDescent="0.25">
      <c r="A5" t="s">
        <v>285</v>
      </c>
      <c r="B5">
        <v>74</v>
      </c>
      <c r="C5">
        <v>64.400000000000006</v>
      </c>
      <c r="D5">
        <v>73.8</v>
      </c>
      <c r="E5">
        <v>69.400000000000006</v>
      </c>
      <c r="F5">
        <v>83.3</v>
      </c>
      <c r="G5">
        <v>64</v>
      </c>
      <c r="H5">
        <v>75.900000000000006</v>
      </c>
      <c r="I5">
        <v>74</v>
      </c>
      <c r="J5">
        <v>57.9</v>
      </c>
      <c r="K5">
        <v>74.900000000000006</v>
      </c>
      <c r="L5">
        <v>67.400000000000006</v>
      </c>
      <c r="M5">
        <v>73.900000000000006</v>
      </c>
    </row>
    <row r="6" spans="1:13" x14ac:dyDescent="0.25">
      <c r="A6" t="s">
        <v>286</v>
      </c>
      <c r="B6">
        <v>73.599999999999994</v>
      </c>
      <c r="C6">
        <v>73</v>
      </c>
      <c r="D6">
        <v>77.599999999999994</v>
      </c>
      <c r="E6">
        <v>69.7</v>
      </c>
      <c r="F6">
        <v>76.3</v>
      </c>
      <c r="G6">
        <v>57.8</v>
      </c>
      <c r="H6">
        <v>71.900000000000006</v>
      </c>
      <c r="I6">
        <v>72.599999999999994</v>
      </c>
      <c r="J6">
        <v>50.7</v>
      </c>
      <c r="K6">
        <v>69.900000000000006</v>
      </c>
      <c r="L6">
        <v>70.599999999999994</v>
      </c>
      <c r="M6">
        <v>74.400000000000006</v>
      </c>
    </row>
    <row r="7" spans="1:13" x14ac:dyDescent="0.25">
      <c r="A7" t="s">
        <v>287</v>
      </c>
      <c r="B7">
        <v>75.2</v>
      </c>
      <c r="C7">
        <v>75.5</v>
      </c>
      <c r="D7">
        <v>81.599999999999994</v>
      </c>
      <c r="E7">
        <v>64.099999999999994</v>
      </c>
      <c r="F7">
        <v>88.4</v>
      </c>
      <c r="G7">
        <v>57.4</v>
      </c>
      <c r="H7">
        <v>77.8</v>
      </c>
      <c r="I7">
        <v>76.7</v>
      </c>
      <c r="J7">
        <v>65.400000000000006</v>
      </c>
      <c r="K7">
        <v>57.5</v>
      </c>
      <c r="L7">
        <v>82.9</v>
      </c>
      <c r="M7">
        <v>66.8</v>
      </c>
    </row>
    <row r="8" spans="1:13" x14ac:dyDescent="0.25">
      <c r="A8" t="s">
        <v>288</v>
      </c>
      <c r="B8">
        <v>83.4</v>
      </c>
      <c r="C8">
        <v>84.7</v>
      </c>
      <c r="D8">
        <v>66.599999999999994</v>
      </c>
      <c r="E8">
        <v>78.900000000000006</v>
      </c>
      <c r="F8">
        <v>87.3</v>
      </c>
      <c r="G8">
        <v>64.400000000000006</v>
      </c>
      <c r="H8">
        <v>75.2</v>
      </c>
      <c r="I8">
        <v>91.7</v>
      </c>
      <c r="J8">
        <v>71.3</v>
      </c>
      <c r="K8">
        <v>71.599999999999994</v>
      </c>
      <c r="L8">
        <v>47.3</v>
      </c>
      <c r="M8">
        <v>76.400000000000006</v>
      </c>
    </row>
    <row r="9" spans="1:13" x14ac:dyDescent="0.25">
      <c r="A9" t="s">
        <v>289</v>
      </c>
      <c r="B9">
        <v>69.400000000000006</v>
      </c>
      <c r="C9">
        <v>68</v>
      </c>
      <c r="D9">
        <v>58.8</v>
      </c>
      <c r="E9">
        <v>65.099999999999994</v>
      </c>
      <c r="F9">
        <v>74</v>
      </c>
      <c r="G9">
        <v>64</v>
      </c>
      <c r="H9">
        <v>61.8</v>
      </c>
      <c r="I9">
        <v>60.6</v>
      </c>
      <c r="J9">
        <v>47.6</v>
      </c>
      <c r="K9">
        <v>64</v>
      </c>
      <c r="L9">
        <v>61.4</v>
      </c>
      <c r="M9">
        <v>71.900000000000006</v>
      </c>
    </row>
    <row r="10" spans="1:13" x14ac:dyDescent="0.25">
      <c r="A10" t="s">
        <v>290</v>
      </c>
      <c r="B10">
        <v>95.7</v>
      </c>
      <c r="C10">
        <v>84.4</v>
      </c>
      <c r="D10">
        <v>69.400000000000006</v>
      </c>
      <c r="E10">
        <v>90.6</v>
      </c>
      <c r="F10">
        <v>92</v>
      </c>
      <c r="G10">
        <v>88.3</v>
      </c>
      <c r="H10">
        <v>87.5</v>
      </c>
      <c r="I10">
        <v>81</v>
      </c>
      <c r="J10">
        <v>73.900000000000006</v>
      </c>
      <c r="K10">
        <v>66.3</v>
      </c>
      <c r="L10">
        <v>87.3</v>
      </c>
      <c r="M10">
        <v>72.900000000000006</v>
      </c>
    </row>
    <row r="11" spans="1:13" x14ac:dyDescent="0.25">
      <c r="A11" t="s">
        <v>291</v>
      </c>
      <c r="B11">
        <v>76.3</v>
      </c>
      <c r="C11">
        <v>73.3</v>
      </c>
      <c r="D11">
        <v>64.900000000000006</v>
      </c>
      <c r="E11">
        <v>71</v>
      </c>
      <c r="F11">
        <v>79</v>
      </c>
      <c r="G11">
        <v>65.599999999999994</v>
      </c>
      <c r="H11">
        <v>91.2</v>
      </c>
      <c r="I11">
        <v>91.3</v>
      </c>
      <c r="J11">
        <v>71.3</v>
      </c>
      <c r="K11">
        <v>77</v>
      </c>
      <c r="L11">
        <v>80.599999999999994</v>
      </c>
      <c r="M11">
        <v>73.099999999999994</v>
      </c>
    </row>
    <row r="12" spans="1:13" x14ac:dyDescent="0.25">
      <c r="A12" t="s">
        <v>292</v>
      </c>
      <c r="B12">
        <v>74.099999999999994</v>
      </c>
      <c r="C12">
        <v>67.3</v>
      </c>
      <c r="D12">
        <v>74.400000000000006</v>
      </c>
      <c r="E12">
        <v>72.2</v>
      </c>
      <c r="F12">
        <v>72.2</v>
      </c>
      <c r="G12">
        <v>64.7</v>
      </c>
      <c r="H12">
        <v>59</v>
      </c>
      <c r="I12">
        <v>53.2</v>
      </c>
      <c r="J12">
        <v>55.1</v>
      </c>
      <c r="K12">
        <v>72.2</v>
      </c>
      <c r="L12">
        <v>54.1</v>
      </c>
      <c r="M12">
        <v>65.900000000000006</v>
      </c>
    </row>
    <row r="13" spans="1:13" x14ac:dyDescent="0.25">
      <c r="A13" t="s">
        <v>293</v>
      </c>
      <c r="B13">
        <v>76.7</v>
      </c>
      <c r="C13">
        <v>70.8</v>
      </c>
      <c r="D13">
        <v>73</v>
      </c>
      <c r="E13">
        <v>71.599999999999994</v>
      </c>
      <c r="F13">
        <v>80.7</v>
      </c>
      <c r="G13">
        <v>63.1</v>
      </c>
      <c r="H13">
        <v>70.599999999999994</v>
      </c>
      <c r="I13">
        <v>78.900000000000006</v>
      </c>
      <c r="J13">
        <v>67.2</v>
      </c>
      <c r="K13">
        <v>64.5</v>
      </c>
      <c r="L13">
        <v>57.3</v>
      </c>
      <c r="M13">
        <v>90.5</v>
      </c>
    </row>
    <row r="14" spans="1:13" x14ac:dyDescent="0.25">
      <c r="A14" t="s">
        <v>294</v>
      </c>
      <c r="B14">
        <v>86.3</v>
      </c>
      <c r="C14">
        <v>71.8</v>
      </c>
      <c r="D14">
        <v>73</v>
      </c>
      <c r="E14">
        <v>76.400000000000006</v>
      </c>
      <c r="F14">
        <v>95.8</v>
      </c>
      <c r="G14">
        <v>65.8</v>
      </c>
      <c r="H14">
        <v>87.5</v>
      </c>
      <c r="I14">
        <v>79.3</v>
      </c>
      <c r="J14">
        <v>45.5</v>
      </c>
      <c r="K14">
        <v>69</v>
      </c>
      <c r="L14">
        <v>89.8</v>
      </c>
      <c r="M14">
        <v>74.3</v>
      </c>
    </row>
    <row r="15" spans="1:13" x14ac:dyDescent="0.25">
      <c r="A15" t="s">
        <v>295</v>
      </c>
      <c r="B15">
        <v>75.7</v>
      </c>
      <c r="C15">
        <v>76.5</v>
      </c>
      <c r="D15">
        <v>77.2</v>
      </c>
      <c r="E15">
        <v>63.7</v>
      </c>
      <c r="F15">
        <v>73.2</v>
      </c>
      <c r="G15">
        <v>71</v>
      </c>
      <c r="H15">
        <v>90.4</v>
      </c>
      <c r="I15">
        <v>90.7</v>
      </c>
      <c r="J15">
        <v>81.3</v>
      </c>
      <c r="K15">
        <v>68.5</v>
      </c>
      <c r="L15">
        <v>84.7</v>
      </c>
      <c r="M15">
        <v>69.7</v>
      </c>
    </row>
    <row r="16" spans="1:13" x14ac:dyDescent="0.25">
      <c r="A16" t="s">
        <v>296</v>
      </c>
      <c r="B16">
        <v>77.599999999999994</v>
      </c>
      <c r="C16">
        <v>75.400000000000006</v>
      </c>
      <c r="D16">
        <v>66.8</v>
      </c>
      <c r="E16">
        <v>76</v>
      </c>
      <c r="F16">
        <v>85</v>
      </c>
      <c r="G16">
        <v>59.2</v>
      </c>
      <c r="H16">
        <v>86.9</v>
      </c>
      <c r="I16">
        <v>80.400000000000006</v>
      </c>
      <c r="J16">
        <v>78.099999999999994</v>
      </c>
      <c r="K16">
        <v>71.3</v>
      </c>
      <c r="L16">
        <v>83.1</v>
      </c>
      <c r="M16">
        <v>89.5</v>
      </c>
    </row>
    <row r="17" spans="1:13" x14ac:dyDescent="0.25">
      <c r="A17" t="s">
        <v>297</v>
      </c>
      <c r="B17">
        <v>69.400000000000006</v>
      </c>
      <c r="C17">
        <v>61.8</v>
      </c>
      <c r="D17">
        <v>62.8</v>
      </c>
      <c r="E17">
        <v>69.7</v>
      </c>
      <c r="F17">
        <v>74.2</v>
      </c>
      <c r="G17">
        <v>58.8</v>
      </c>
      <c r="H17">
        <v>85.8</v>
      </c>
      <c r="I17">
        <v>76.8</v>
      </c>
      <c r="J17">
        <v>84.3</v>
      </c>
      <c r="K17">
        <v>66.3</v>
      </c>
      <c r="L17">
        <v>90.1</v>
      </c>
      <c r="M17">
        <v>65.900000000000006</v>
      </c>
    </row>
    <row r="18" spans="1:13" x14ac:dyDescent="0.25">
      <c r="A18" t="s">
        <v>298</v>
      </c>
      <c r="B18">
        <v>79.900000000000006</v>
      </c>
      <c r="C18">
        <v>78.900000000000006</v>
      </c>
      <c r="D18">
        <v>73.400000000000006</v>
      </c>
      <c r="E18">
        <v>72.400000000000006</v>
      </c>
      <c r="F18">
        <v>80.599999999999994</v>
      </c>
      <c r="G18">
        <v>66.599999999999994</v>
      </c>
      <c r="H18">
        <v>86.6</v>
      </c>
      <c r="I18">
        <v>87.2</v>
      </c>
      <c r="J18">
        <v>69.900000000000006</v>
      </c>
      <c r="K18">
        <v>65.8</v>
      </c>
      <c r="L18">
        <v>83.5</v>
      </c>
      <c r="M18">
        <v>81.2</v>
      </c>
    </row>
    <row r="19" spans="1:13" x14ac:dyDescent="0.25">
      <c r="A19" t="s">
        <v>299</v>
      </c>
      <c r="B19">
        <v>70.8</v>
      </c>
      <c r="C19">
        <v>76.900000000000006</v>
      </c>
      <c r="D19">
        <v>62.7</v>
      </c>
      <c r="E19">
        <v>71.2</v>
      </c>
      <c r="F19">
        <v>75</v>
      </c>
      <c r="G19">
        <v>53.3</v>
      </c>
      <c r="H19">
        <v>87.6</v>
      </c>
      <c r="I19">
        <v>79.599999999999994</v>
      </c>
      <c r="J19">
        <v>71.099999999999994</v>
      </c>
      <c r="K19">
        <v>72</v>
      </c>
      <c r="L19">
        <v>88.1</v>
      </c>
      <c r="M19">
        <v>90.1</v>
      </c>
    </row>
    <row r="20" spans="1:13" x14ac:dyDescent="0.25">
      <c r="A20" t="s">
        <v>300</v>
      </c>
      <c r="B20">
        <v>61.5</v>
      </c>
      <c r="C20">
        <v>55.7</v>
      </c>
      <c r="D20">
        <v>50.9</v>
      </c>
      <c r="E20">
        <v>62.1</v>
      </c>
      <c r="F20">
        <v>75.900000000000006</v>
      </c>
      <c r="G20">
        <v>54.2</v>
      </c>
      <c r="H20">
        <v>79.7</v>
      </c>
      <c r="I20">
        <v>78</v>
      </c>
      <c r="J20">
        <v>71.8</v>
      </c>
      <c r="K20">
        <v>79.7</v>
      </c>
      <c r="L20">
        <v>68.8</v>
      </c>
      <c r="M20">
        <v>78.900000000000006</v>
      </c>
    </row>
    <row r="21" spans="1:13" x14ac:dyDescent="0.25">
      <c r="A21" t="s">
        <v>301</v>
      </c>
      <c r="B21">
        <v>65.900000000000006</v>
      </c>
      <c r="C21">
        <v>44.9</v>
      </c>
      <c r="D21">
        <v>76.099999999999994</v>
      </c>
      <c r="E21">
        <v>67.7</v>
      </c>
      <c r="F21">
        <v>78</v>
      </c>
      <c r="G21">
        <v>57.2</v>
      </c>
      <c r="H21">
        <v>71.3</v>
      </c>
      <c r="I21">
        <v>74</v>
      </c>
      <c r="J21">
        <v>65.099999999999994</v>
      </c>
      <c r="K21">
        <v>62.7</v>
      </c>
      <c r="L21">
        <v>66.7</v>
      </c>
      <c r="M21">
        <v>59.2</v>
      </c>
    </row>
    <row r="22" spans="1:13" x14ac:dyDescent="0.25">
      <c r="A22" t="s">
        <v>302</v>
      </c>
      <c r="B22">
        <v>77.599999999999994</v>
      </c>
      <c r="C22">
        <v>70.7</v>
      </c>
      <c r="D22">
        <v>75.5</v>
      </c>
      <c r="E22">
        <v>74.599999999999994</v>
      </c>
      <c r="F22">
        <v>83.7</v>
      </c>
      <c r="G22">
        <v>61.9</v>
      </c>
      <c r="H22">
        <v>85.4</v>
      </c>
      <c r="I22">
        <v>78.900000000000006</v>
      </c>
      <c r="J22">
        <v>64.7</v>
      </c>
      <c r="K22">
        <v>66.099999999999994</v>
      </c>
      <c r="L22">
        <v>89.2</v>
      </c>
      <c r="M22">
        <v>75.8</v>
      </c>
    </row>
    <row r="23" spans="1:13" x14ac:dyDescent="0.25">
      <c r="A23" t="s">
        <v>303</v>
      </c>
      <c r="B23">
        <v>80.7</v>
      </c>
      <c r="C23">
        <v>83.5</v>
      </c>
      <c r="D23">
        <v>76.3</v>
      </c>
      <c r="E23">
        <v>71</v>
      </c>
      <c r="F23">
        <v>86.9</v>
      </c>
      <c r="G23">
        <v>62.6</v>
      </c>
      <c r="H23">
        <v>86.1</v>
      </c>
      <c r="I23">
        <v>80.599999999999994</v>
      </c>
      <c r="J23">
        <v>71.7</v>
      </c>
      <c r="K23">
        <v>66.8</v>
      </c>
      <c r="L23">
        <v>89.4</v>
      </c>
      <c r="M23">
        <v>77.400000000000006</v>
      </c>
    </row>
    <row r="24" spans="1:13" x14ac:dyDescent="0.25">
      <c r="A24" t="s">
        <v>304</v>
      </c>
      <c r="B24">
        <v>76.2</v>
      </c>
      <c r="C24">
        <v>80.099999999999994</v>
      </c>
      <c r="D24">
        <v>77.5</v>
      </c>
      <c r="E24">
        <v>62.2</v>
      </c>
      <c r="F24">
        <v>85.6</v>
      </c>
      <c r="G24">
        <v>63.5</v>
      </c>
      <c r="H24">
        <v>64.2</v>
      </c>
      <c r="I24">
        <v>59.2</v>
      </c>
      <c r="J24">
        <v>54.6</v>
      </c>
      <c r="K24">
        <v>67.099999999999994</v>
      </c>
      <c r="L24">
        <v>65.900000000000006</v>
      </c>
      <c r="M24">
        <v>73.8</v>
      </c>
    </row>
    <row r="25" spans="1:13" x14ac:dyDescent="0.25">
      <c r="A25" t="s">
        <v>305</v>
      </c>
      <c r="B25">
        <v>81.400000000000006</v>
      </c>
      <c r="C25">
        <v>87.9</v>
      </c>
      <c r="D25">
        <v>74.8</v>
      </c>
      <c r="E25">
        <v>79</v>
      </c>
      <c r="F25">
        <v>76.400000000000006</v>
      </c>
      <c r="G25">
        <v>62.1</v>
      </c>
      <c r="H25">
        <v>89.6</v>
      </c>
      <c r="I25">
        <v>85.1</v>
      </c>
      <c r="J25">
        <v>69.7</v>
      </c>
      <c r="K25">
        <v>72.7</v>
      </c>
      <c r="L25">
        <v>90</v>
      </c>
      <c r="M25">
        <v>70.599999999999994</v>
      </c>
    </row>
    <row r="26" spans="1:13" x14ac:dyDescent="0.25">
      <c r="A26" t="s">
        <v>306</v>
      </c>
      <c r="B26">
        <v>78.3</v>
      </c>
      <c r="C26">
        <v>71.3</v>
      </c>
      <c r="D26">
        <v>82.1</v>
      </c>
      <c r="E26">
        <v>64.8</v>
      </c>
      <c r="F26">
        <v>76.8</v>
      </c>
      <c r="G26">
        <v>78.099999999999994</v>
      </c>
      <c r="H26">
        <v>87.1</v>
      </c>
      <c r="I26">
        <v>85.9</v>
      </c>
      <c r="J26">
        <v>72.900000000000006</v>
      </c>
      <c r="K26">
        <v>68.599999999999994</v>
      </c>
      <c r="L26">
        <v>81.3</v>
      </c>
      <c r="M26">
        <v>76.099999999999994</v>
      </c>
    </row>
    <row r="27" spans="1:13" x14ac:dyDescent="0.25">
      <c r="A27" t="s">
        <v>307</v>
      </c>
      <c r="B27">
        <v>76.900000000000006</v>
      </c>
      <c r="C27">
        <v>61</v>
      </c>
      <c r="D27">
        <v>73.7</v>
      </c>
      <c r="E27">
        <v>60.1</v>
      </c>
      <c r="F27">
        <v>78.5</v>
      </c>
      <c r="G27">
        <v>84.9</v>
      </c>
      <c r="H27">
        <v>81.099999999999994</v>
      </c>
      <c r="I27">
        <v>73.400000000000006</v>
      </c>
      <c r="J27">
        <v>74.7</v>
      </c>
      <c r="K27">
        <v>66.099999999999994</v>
      </c>
      <c r="L27">
        <v>88.5</v>
      </c>
      <c r="M27">
        <v>78.099999999999994</v>
      </c>
    </row>
    <row r="28" spans="1:13" x14ac:dyDescent="0.25">
      <c r="A28" t="s">
        <v>308</v>
      </c>
      <c r="B28">
        <v>74.400000000000006</v>
      </c>
      <c r="C28">
        <v>73.400000000000006</v>
      </c>
      <c r="D28">
        <v>77.099999999999994</v>
      </c>
      <c r="E28">
        <v>71</v>
      </c>
      <c r="F28">
        <v>75.5</v>
      </c>
      <c r="G28">
        <v>57.9</v>
      </c>
      <c r="H28">
        <v>91</v>
      </c>
      <c r="I28">
        <v>84.2</v>
      </c>
      <c r="J28">
        <v>65.900000000000006</v>
      </c>
      <c r="K28">
        <v>75.400000000000006</v>
      </c>
      <c r="L28">
        <v>91.5</v>
      </c>
      <c r="M28">
        <v>74.400000000000006</v>
      </c>
    </row>
    <row r="29" spans="1:13" x14ac:dyDescent="0.25">
      <c r="A29" t="s">
        <v>309</v>
      </c>
      <c r="B29">
        <v>73.5</v>
      </c>
      <c r="C29">
        <v>67.5</v>
      </c>
      <c r="D29">
        <v>65.3</v>
      </c>
      <c r="E29">
        <v>73.900000000000006</v>
      </c>
      <c r="F29">
        <v>78.599999999999994</v>
      </c>
      <c r="G29">
        <v>61.3</v>
      </c>
      <c r="H29">
        <v>90.4</v>
      </c>
      <c r="I29">
        <v>89.6</v>
      </c>
      <c r="J29">
        <v>69.3</v>
      </c>
      <c r="K29">
        <v>73.599999999999994</v>
      </c>
      <c r="L29">
        <v>86.1</v>
      </c>
      <c r="M29">
        <v>65.900000000000006</v>
      </c>
    </row>
    <row r="30" spans="1:13" x14ac:dyDescent="0.25">
      <c r="A30" t="s">
        <v>310</v>
      </c>
      <c r="B30">
        <v>72.2</v>
      </c>
      <c r="C30">
        <v>75.8</v>
      </c>
      <c r="D30">
        <v>66.7</v>
      </c>
      <c r="E30">
        <v>67.900000000000006</v>
      </c>
      <c r="F30">
        <v>70.599999999999994</v>
      </c>
      <c r="G30">
        <v>61</v>
      </c>
      <c r="H30">
        <v>78.7</v>
      </c>
      <c r="I30">
        <v>90.9</v>
      </c>
      <c r="J30">
        <v>75.900000000000006</v>
      </c>
      <c r="K30">
        <v>80.7</v>
      </c>
      <c r="L30">
        <v>46.5</v>
      </c>
      <c r="M30">
        <v>64.2</v>
      </c>
    </row>
    <row r="31" spans="1:13" x14ac:dyDescent="0.25">
      <c r="A31" t="s">
        <v>311</v>
      </c>
      <c r="B31">
        <v>77</v>
      </c>
      <c r="C31">
        <v>67.8</v>
      </c>
      <c r="D31">
        <v>83.3</v>
      </c>
      <c r="E31">
        <v>73</v>
      </c>
      <c r="F31">
        <v>77</v>
      </c>
      <c r="G31">
        <v>67.2</v>
      </c>
      <c r="H31">
        <v>80.900000000000006</v>
      </c>
      <c r="I31">
        <v>87.1</v>
      </c>
      <c r="J31">
        <v>60.9</v>
      </c>
      <c r="K31">
        <v>66</v>
      </c>
      <c r="L31">
        <v>65.3</v>
      </c>
      <c r="M31">
        <v>75.7</v>
      </c>
    </row>
    <row r="32" spans="1:13" x14ac:dyDescent="0.25">
      <c r="A32" t="s">
        <v>312</v>
      </c>
      <c r="B32">
        <v>71.3</v>
      </c>
      <c r="C32">
        <v>64.400000000000006</v>
      </c>
      <c r="D32">
        <v>73</v>
      </c>
      <c r="E32">
        <v>64.400000000000006</v>
      </c>
      <c r="F32">
        <v>76.400000000000006</v>
      </c>
      <c r="G32">
        <v>66.400000000000006</v>
      </c>
      <c r="H32">
        <v>74.5</v>
      </c>
      <c r="I32">
        <v>61.9</v>
      </c>
      <c r="J32">
        <v>59.7</v>
      </c>
      <c r="K32">
        <v>74.7</v>
      </c>
      <c r="L32">
        <v>81.8</v>
      </c>
      <c r="M32">
        <v>71.400000000000006</v>
      </c>
    </row>
    <row r="33" spans="1:13" x14ac:dyDescent="0.25">
      <c r="A33" t="s">
        <v>313</v>
      </c>
      <c r="B33">
        <v>68.7</v>
      </c>
      <c r="C33">
        <v>62.5</v>
      </c>
      <c r="D33">
        <v>51.5</v>
      </c>
      <c r="E33">
        <v>73.400000000000006</v>
      </c>
      <c r="F33">
        <v>75.5</v>
      </c>
      <c r="G33">
        <v>57.1</v>
      </c>
      <c r="H33">
        <v>89.2</v>
      </c>
      <c r="I33">
        <v>75.2</v>
      </c>
      <c r="J33">
        <v>79</v>
      </c>
      <c r="K33">
        <v>69.900000000000006</v>
      </c>
      <c r="L33">
        <v>91.5</v>
      </c>
      <c r="M33">
        <v>68.3</v>
      </c>
    </row>
    <row r="34" spans="1:13" x14ac:dyDescent="0.25">
      <c r="A34" t="s">
        <v>314</v>
      </c>
      <c r="B34">
        <v>61.2</v>
      </c>
      <c r="C34">
        <v>61.9</v>
      </c>
      <c r="D34">
        <v>66.5</v>
      </c>
      <c r="E34">
        <v>58.5</v>
      </c>
      <c r="F34">
        <v>68.8</v>
      </c>
      <c r="G34">
        <v>52</v>
      </c>
      <c r="H34">
        <v>74.2</v>
      </c>
      <c r="I34">
        <v>74.3</v>
      </c>
      <c r="J34">
        <v>76.8</v>
      </c>
      <c r="K34">
        <v>67.3</v>
      </c>
      <c r="L34">
        <v>69.8</v>
      </c>
      <c r="M34">
        <v>80.900000000000006</v>
      </c>
    </row>
    <row r="35" spans="1:13" x14ac:dyDescent="0.25">
      <c r="A35" t="s">
        <v>315</v>
      </c>
      <c r="B35">
        <v>76.599999999999994</v>
      </c>
      <c r="C35">
        <v>77.400000000000006</v>
      </c>
      <c r="D35">
        <v>61.4</v>
      </c>
      <c r="E35">
        <v>71.900000000000006</v>
      </c>
      <c r="F35">
        <v>74.900000000000006</v>
      </c>
      <c r="G35">
        <v>68.400000000000006</v>
      </c>
      <c r="H35">
        <v>80.900000000000006</v>
      </c>
      <c r="I35">
        <v>73.7</v>
      </c>
      <c r="J35">
        <v>65.8</v>
      </c>
      <c r="K35">
        <v>72.3</v>
      </c>
      <c r="L35">
        <v>83.7</v>
      </c>
      <c r="M35">
        <v>60.2</v>
      </c>
    </row>
    <row r="36" spans="1:13" x14ac:dyDescent="0.25">
      <c r="A36" t="s">
        <v>316</v>
      </c>
      <c r="B36">
        <v>78.3</v>
      </c>
      <c r="C36">
        <v>75.599999999999994</v>
      </c>
      <c r="D36">
        <v>80.8</v>
      </c>
      <c r="E36">
        <v>67.7</v>
      </c>
      <c r="F36">
        <v>90.5</v>
      </c>
      <c r="G36">
        <v>63.3</v>
      </c>
      <c r="H36">
        <v>90.1</v>
      </c>
      <c r="I36">
        <v>90.5</v>
      </c>
      <c r="J36">
        <v>84.7</v>
      </c>
      <c r="K36">
        <v>72</v>
      </c>
      <c r="L36">
        <v>84.1</v>
      </c>
      <c r="M36">
        <v>75.5</v>
      </c>
    </row>
    <row r="37" spans="1:13" x14ac:dyDescent="0.25">
      <c r="A37" t="s">
        <v>317</v>
      </c>
      <c r="B37">
        <v>71.7</v>
      </c>
      <c r="C37">
        <v>65.099999999999994</v>
      </c>
      <c r="D37">
        <v>80.099999999999994</v>
      </c>
      <c r="E37">
        <v>67.2</v>
      </c>
      <c r="F37">
        <v>77</v>
      </c>
      <c r="G37">
        <v>58.1</v>
      </c>
      <c r="H37">
        <v>77</v>
      </c>
      <c r="I37">
        <v>74</v>
      </c>
      <c r="J37">
        <v>69.3</v>
      </c>
      <c r="K37">
        <v>62.6</v>
      </c>
      <c r="L37">
        <v>80.8</v>
      </c>
      <c r="M37">
        <v>77.900000000000006</v>
      </c>
    </row>
    <row r="38" spans="1:13" x14ac:dyDescent="0.25">
      <c r="A38" t="s">
        <v>318</v>
      </c>
      <c r="B38">
        <v>65.099999999999994</v>
      </c>
      <c r="C38">
        <v>59.6</v>
      </c>
      <c r="D38">
        <v>66.400000000000006</v>
      </c>
      <c r="E38">
        <v>62.1</v>
      </c>
      <c r="F38">
        <v>80.400000000000006</v>
      </c>
      <c r="G38">
        <v>52.9</v>
      </c>
      <c r="H38">
        <v>65.2</v>
      </c>
      <c r="I38">
        <v>67</v>
      </c>
      <c r="J38">
        <v>75.900000000000006</v>
      </c>
      <c r="K38">
        <v>61.6</v>
      </c>
      <c r="L38">
        <v>61.2</v>
      </c>
      <c r="M38">
        <v>76</v>
      </c>
    </row>
    <row r="39" spans="1:13" x14ac:dyDescent="0.25">
      <c r="A39" t="s">
        <v>319</v>
      </c>
      <c r="B39">
        <v>80</v>
      </c>
      <c r="C39">
        <v>78.599999999999994</v>
      </c>
      <c r="D39">
        <v>78.5</v>
      </c>
      <c r="E39">
        <v>75.400000000000006</v>
      </c>
      <c r="F39">
        <v>79</v>
      </c>
      <c r="G39">
        <v>66.2</v>
      </c>
      <c r="H39">
        <v>76.5</v>
      </c>
      <c r="I39">
        <v>83.4</v>
      </c>
      <c r="J39">
        <v>52.2</v>
      </c>
      <c r="K39">
        <v>60.1</v>
      </c>
      <c r="L39">
        <v>67.8</v>
      </c>
      <c r="M39">
        <v>88.9</v>
      </c>
    </row>
    <row r="40" spans="1:13" x14ac:dyDescent="0.25">
      <c r="A40" t="s">
        <v>320</v>
      </c>
      <c r="B40">
        <v>69.2</v>
      </c>
      <c r="C40">
        <v>71.099999999999994</v>
      </c>
      <c r="D40">
        <v>65.400000000000006</v>
      </c>
      <c r="E40">
        <v>60.6</v>
      </c>
      <c r="F40">
        <v>82.2</v>
      </c>
      <c r="G40">
        <v>64.900000000000006</v>
      </c>
      <c r="H40">
        <v>87.5</v>
      </c>
      <c r="I40">
        <v>84.1</v>
      </c>
      <c r="J40">
        <v>70.599999999999994</v>
      </c>
      <c r="K40">
        <v>63.6</v>
      </c>
      <c r="L40">
        <v>90.1</v>
      </c>
      <c r="M40">
        <v>72.900000000000006</v>
      </c>
    </row>
    <row r="41" spans="1:13" x14ac:dyDescent="0.25">
      <c r="A41" t="s">
        <v>321</v>
      </c>
      <c r="B41">
        <v>65.599999999999994</v>
      </c>
      <c r="C41">
        <v>59.1</v>
      </c>
      <c r="D41">
        <v>78.2</v>
      </c>
      <c r="E41">
        <v>61.2</v>
      </c>
      <c r="F41">
        <v>72.7</v>
      </c>
      <c r="G41">
        <v>55.6</v>
      </c>
      <c r="H41">
        <v>77.2</v>
      </c>
      <c r="I41">
        <v>75</v>
      </c>
      <c r="J41">
        <v>67.7</v>
      </c>
      <c r="K41">
        <v>58.8</v>
      </c>
      <c r="L41">
        <v>79.7</v>
      </c>
      <c r="M41">
        <v>61.3</v>
      </c>
    </row>
    <row r="42" spans="1:13" x14ac:dyDescent="0.25">
      <c r="A42" t="s">
        <v>322</v>
      </c>
      <c r="B42">
        <v>75.900000000000006</v>
      </c>
      <c r="C42">
        <v>73.5</v>
      </c>
      <c r="D42">
        <v>61.8</v>
      </c>
      <c r="E42">
        <v>75.400000000000006</v>
      </c>
      <c r="F42">
        <v>81</v>
      </c>
      <c r="G42">
        <v>61.3</v>
      </c>
      <c r="H42">
        <v>78.8</v>
      </c>
      <c r="I42">
        <v>68.3</v>
      </c>
      <c r="J42">
        <v>82.5</v>
      </c>
      <c r="K42">
        <v>68.900000000000006</v>
      </c>
      <c r="L42">
        <v>83.3</v>
      </c>
      <c r="M42">
        <v>77.099999999999994</v>
      </c>
    </row>
    <row r="43" spans="1:13" x14ac:dyDescent="0.25">
      <c r="A43" t="s">
        <v>323</v>
      </c>
      <c r="B43">
        <v>93.7</v>
      </c>
      <c r="C43">
        <v>91.6</v>
      </c>
      <c r="D43">
        <v>78.7</v>
      </c>
      <c r="E43">
        <v>90.8</v>
      </c>
      <c r="F43">
        <v>87.5</v>
      </c>
      <c r="G43">
        <v>74.099999999999994</v>
      </c>
      <c r="H43">
        <v>94.1</v>
      </c>
      <c r="I43">
        <v>93.6</v>
      </c>
      <c r="J43">
        <v>77.2</v>
      </c>
      <c r="K43">
        <v>88.8</v>
      </c>
      <c r="L43">
        <v>90.5</v>
      </c>
      <c r="M43">
        <v>90.1</v>
      </c>
    </row>
    <row r="44" spans="1:13" x14ac:dyDescent="0.25">
      <c r="A44" t="s">
        <v>324</v>
      </c>
      <c r="B44">
        <v>81</v>
      </c>
      <c r="C44">
        <v>68.7</v>
      </c>
      <c r="D44">
        <v>82.9</v>
      </c>
      <c r="E44">
        <v>62</v>
      </c>
      <c r="F44">
        <v>83.5</v>
      </c>
      <c r="G44">
        <v>78.3</v>
      </c>
      <c r="H44">
        <v>92.3</v>
      </c>
      <c r="I44">
        <v>82.7</v>
      </c>
      <c r="J44">
        <v>80.099999999999994</v>
      </c>
      <c r="K44">
        <v>77</v>
      </c>
      <c r="L44">
        <v>92.2</v>
      </c>
      <c r="M44">
        <v>85.7</v>
      </c>
    </row>
    <row r="45" spans="1:13" x14ac:dyDescent="0.25">
      <c r="A45" t="s">
        <v>325</v>
      </c>
      <c r="B45">
        <v>78.3</v>
      </c>
      <c r="C45">
        <v>73.099999999999994</v>
      </c>
      <c r="D45">
        <v>57</v>
      </c>
      <c r="E45">
        <v>79.599999999999994</v>
      </c>
      <c r="F45">
        <v>84.9</v>
      </c>
      <c r="G45">
        <v>58.9</v>
      </c>
      <c r="H45">
        <v>81.400000000000006</v>
      </c>
      <c r="I45">
        <v>64.2</v>
      </c>
      <c r="J45">
        <v>48.8</v>
      </c>
      <c r="K45">
        <v>62.5</v>
      </c>
      <c r="L45">
        <v>90.7</v>
      </c>
      <c r="M45">
        <v>70.400000000000006</v>
      </c>
    </row>
    <row r="46" spans="1:13" x14ac:dyDescent="0.25">
      <c r="A46" t="s">
        <v>326</v>
      </c>
      <c r="B46">
        <v>79.3</v>
      </c>
      <c r="C46">
        <v>69.7</v>
      </c>
      <c r="D46">
        <v>59.7</v>
      </c>
      <c r="E46">
        <v>68.7</v>
      </c>
      <c r="F46">
        <v>91.2</v>
      </c>
      <c r="G46">
        <v>65.7</v>
      </c>
      <c r="H46">
        <v>84.7</v>
      </c>
      <c r="I46">
        <v>83.1</v>
      </c>
      <c r="J46">
        <v>76.599999999999994</v>
      </c>
      <c r="K46">
        <v>65.900000000000006</v>
      </c>
      <c r="L46">
        <v>85.5</v>
      </c>
      <c r="M46">
        <v>57.9</v>
      </c>
    </row>
    <row r="47" spans="1:13" x14ac:dyDescent="0.25">
      <c r="A47" t="s">
        <v>327</v>
      </c>
      <c r="B47">
        <v>77.5</v>
      </c>
      <c r="C47">
        <v>78.5</v>
      </c>
      <c r="D47">
        <v>75.2</v>
      </c>
      <c r="E47">
        <v>61.7</v>
      </c>
      <c r="F47">
        <v>81</v>
      </c>
      <c r="G47">
        <v>77.3</v>
      </c>
      <c r="H47">
        <v>91.4</v>
      </c>
      <c r="I47">
        <v>86.4</v>
      </c>
      <c r="J47">
        <v>70.400000000000006</v>
      </c>
      <c r="K47">
        <v>73.5</v>
      </c>
      <c r="L47">
        <v>90.9</v>
      </c>
      <c r="M47">
        <v>80.2</v>
      </c>
    </row>
    <row r="48" spans="1:13" x14ac:dyDescent="0.25">
      <c r="A48" t="s">
        <v>328</v>
      </c>
      <c r="B48">
        <v>86.3</v>
      </c>
      <c r="C48">
        <v>69.7</v>
      </c>
      <c r="D48">
        <v>76.400000000000006</v>
      </c>
      <c r="E48">
        <v>71.400000000000006</v>
      </c>
      <c r="F48">
        <v>88.9</v>
      </c>
      <c r="G48">
        <v>84.6</v>
      </c>
      <c r="H48">
        <v>77.099999999999994</v>
      </c>
      <c r="I48">
        <v>71.599999999999994</v>
      </c>
      <c r="J48">
        <v>61.8</v>
      </c>
      <c r="K48">
        <v>66.8</v>
      </c>
      <c r="L48">
        <v>75.2</v>
      </c>
      <c r="M48">
        <v>86.2</v>
      </c>
    </row>
    <row r="49" spans="1:13" x14ac:dyDescent="0.25">
      <c r="A49" t="s">
        <v>329</v>
      </c>
      <c r="B49">
        <v>75.900000000000006</v>
      </c>
      <c r="C49">
        <v>70.599999999999994</v>
      </c>
      <c r="D49">
        <v>73.3</v>
      </c>
      <c r="E49">
        <v>62.8</v>
      </c>
      <c r="F49">
        <v>87.6</v>
      </c>
      <c r="G49">
        <v>66.400000000000006</v>
      </c>
      <c r="H49">
        <v>78.900000000000006</v>
      </c>
      <c r="I49">
        <v>81.599999999999994</v>
      </c>
      <c r="J49">
        <v>74.7</v>
      </c>
      <c r="K49">
        <v>64.2</v>
      </c>
      <c r="L49">
        <v>74.2</v>
      </c>
      <c r="M49">
        <v>71.099999999999994</v>
      </c>
    </row>
    <row r="50" spans="1:13" x14ac:dyDescent="0.25">
      <c r="A50" t="s">
        <v>330</v>
      </c>
      <c r="B50">
        <v>52.9</v>
      </c>
      <c r="C50">
        <v>40.700000000000003</v>
      </c>
      <c r="D50">
        <v>46.6</v>
      </c>
      <c r="E50">
        <v>54.9</v>
      </c>
      <c r="F50">
        <v>67.3</v>
      </c>
      <c r="G50">
        <v>53.9</v>
      </c>
      <c r="H50">
        <v>83.8</v>
      </c>
      <c r="I50">
        <v>81.900000000000006</v>
      </c>
      <c r="J50">
        <v>72.599999999999994</v>
      </c>
      <c r="K50">
        <v>65.2</v>
      </c>
      <c r="L50">
        <v>79.7</v>
      </c>
      <c r="M50">
        <v>85.8</v>
      </c>
    </row>
    <row r="51" spans="1:13" x14ac:dyDescent="0.25">
      <c r="A51" t="s">
        <v>331</v>
      </c>
      <c r="B51">
        <v>57.5</v>
      </c>
      <c r="C51">
        <v>48</v>
      </c>
      <c r="D51">
        <v>52.7</v>
      </c>
      <c r="E51">
        <v>67.400000000000006</v>
      </c>
      <c r="F51">
        <v>68.3</v>
      </c>
      <c r="G51">
        <v>45.3</v>
      </c>
      <c r="H51">
        <v>63.1</v>
      </c>
      <c r="I51">
        <v>66</v>
      </c>
      <c r="J51">
        <v>58</v>
      </c>
      <c r="K51">
        <v>65.7</v>
      </c>
      <c r="L51">
        <v>53.4</v>
      </c>
      <c r="M51">
        <v>70</v>
      </c>
    </row>
    <row r="52" spans="1:13" x14ac:dyDescent="0.25">
      <c r="A52" t="s">
        <v>332</v>
      </c>
      <c r="B52">
        <v>68.2</v>
      </c>
      <c r="C52">
        <v>55</v>
      </c>
      <c r="D52">
        <v>56.7</v>
      </c>
      <c r="E52">
        <v>65.400000000000006</v>
      </c>
      <c r="F52">
        <v>84</v>
      </c>
      <c r="G52">
        <v>59.3</v>
      </c>
      <c r="H52">
        <v>84.9</v>
      </c>
      <c r="I52">
        <v>75.099999999999994</v>
      </c>
      <c r="J52">
        <v>74.099999999999994</v>
      </c>
      <c r="K52">
        <v>83.7</v>
      </c>
      <c r="L52">
        <v>78.5</v>
      </c>
      <c r="M52">
        <v>77.3</v>
      </c>
    </row>
    <row r="53" spans="1:13" x14ac:dyDescent="0.25">
      <c r="A53" t="s">
        <v>333</v>
      </c>
      <c r="B53">
        <v>80.599999999999994</v>
      </c>
      <c r="C53">
        <v>82.3</v>
      </c>
      <c r="D53">
        <v>61.3</v>
      </c>
      <c r="E53">
        <v>68.3</v>
      </c>
      <c r="F53">
        <v>79.099999999999994</v>
      </c>
      <c r="G53">
        <v>76.599999999999994</v>
      </c>
      <c r="H53">
        <v>88.7</v>
      </c>
      <c r="I53">
        <v>85.1</v>
      </c>
      <c r="J53">
        <v>80.900000000000006</v>
      </c>
      <c r="K53">
        <v>74.599999999999994</v>
      </c>
      <c r="L53">
        <v>82.6</v>
      </c>
      <c r="M53">
        <v>60.2</v>
      </c>
    </row>
    <row r="54" spans="1:13" x14ac:dyDescent="0.25">
      <c r="A54" t="s">
        <v>334</v>
      </c>
      <c r="B54">
        <v>84.8</v>
      </c>
      <c r="C54">
        <v>89.9</v>
      </c>
      <c r="D54">
        <v>70.599999999999994</v>
      </c>
      <c r="E54">
        <v>77</v>
      </c>
      <c r="F54">
        <v>82.4</v>
      </c>
      <c r="G54">
        <v>70.400000000000006</v>
      </c>
      <c r="H54">
        <v>79</v>
      </c>
      <c r="I54">
        <v>69.599999999999994</v>
      </c>
      <c r="J54">
        <v>55.1</v>
      </c>
      <c r="K54">
        <v>59.9</v>
      </c>
      <c r="L54">
        <v>90.5</v>
      </c>
      <c r="M54">
        <v>52.8</v>
      </c>
    </row>
    <row r="55" spans="1:13" x14ac:dyDescent="0.25">
      <c r="A55" t="s">
        <v>335</v>
      </c>
      <c r="B55">
        <v>68.3</v>
      </c>
      <c r="C55">
        <v>70.400000000000006</v>
      </c>
      <c r="D55">
        <v>70</v>
      </c>
      <c r="E55">
        <v>71.8</v>
      </c>
      <c r="F55">
        <v>73.3</v>
      </c>
      <c r="G55">
        <v>45.4</v>
      </c>
      <c r="H55">
        <v>76.400000000000006</v>
      </c>
      <c r="I55">
        <v>79.8</v>
      </c>
      <c r="J55">
        <v>62.6</v>
      </c>
      <c r="K55">
        <v>63.6</v>
      </c>
      <c r="L55">
        <v>72.7</v>
      </c>
      <c r="M55">
        <v>66.7</v>
      </c>
    </row>
    <row r="56" spans="1:13" x14ac:dyDescent="0.25">
      <c r="A56" t="s">
        <v>336</v>
      </c>
      <c r="B56">
        <v>66.099999999999994</v>
      </c>
      <c r="C56">
        <v>53.9</v>
      </c>
      <c r="D56">
        <v>66.3</v>
      </c>
      <c r="E56">
        <v>66.099999999999994</v>
      </c>
      <c r="F56">
        <v>88.1</v>
      </c>
      <c r="G56">
        <v>49.4</v>
      </c>
      <c r="H56">
        <v>76.7</v>
      </c>
      <c r="I56">
        <v>66.3</v>
      </c>
      <c r="J56">
        <v>62.5</v>
      </c>
      <c r="K56">
        <v>69.2</v>
      </c>
      <c r="L56">
        <v>85.4</v>
      </c>
      <c r="M56">
        <v>68.8</v>
      </c>
    </row>
    <row r="57" spans="1:13" x14ac:dyDescent="0.25">
      <c r="A57" t="s">
        <v>337</v>
      </c>
      <c r="B57">
        <v>83.8</v>
      </c>
      <c r="C57">
        <v>88.2</v>
      </c>
      <c r="D57">
        <v>67.3</v>
      </c>
      <c r="E57">
        <v>79.7</v>
      </c>
      <c r="F57">
        <v>85.3</v>
      </c>
      <c r="G57">
        <v>64.8</v>
      </c>
      <c r="H57">
        <v>90.8</v>
      </c>
      <c r="I57">
        <v>91.4</v>
      </c>
      <c r="J57">
        <v>73.5</v>
      </c>
      <c r="K57">
        <v>77.900000000000006</v>
      </c>
      <c r="L57">
        <v>78.7</v>
      </c>
      <c r="M57">
        <v>81.900000000000006</v>
      </c>
    </row>
    <row r="58" spans="1:13" x14ac:dyDescent="0.25">
      <c r="A58" t="s">
        <v>338</v>
      </c>
      <c r="B58">
        <v>77.3</v>
      </c>
      <c r="C58">
        <v>77.900000000000006</v>
      </c>
      <c r="D58">
        <v>77.7</v>
      </c>
      <c r="E58">
        <v>78.900000000000006</v>
      </c>
      <c r="F58">
        <v>75.5</v>
      </c>
      <c r="G58">
        <v>59.2</v>
      </c>
      <c r="H58">
        <v>81.5</v>
      </c>
      <c r="I58">
        <v>71.599999999999994</v>
      </c>
      <c r="J58">
        <v>69.5</v>
      </c>
      <c r="K58">
        <v>83.4</v>
      </c>
      <c r="L58">
        <v>73.099999999999994</v>
      </c>
      <c r="M58">
        <v>67</v>
      </c>
    </row>
    <row r="59" spans="1:13" x14ac:dyDescent="0.25">
      <c r="A59" t="s">
        <v>339</v>
      </c>
      <c r="B59">
        <v>71</v>
      </c>
      <c r="C59">
        <v>61.4</v>
      </c>
      <c r="D59">
        <v>77.3</v>
      </c>
      <c r="E59">
        <v>60.1</v>
      </c>
      <c r="F59">
        <v>83.2</v>
      </c>
      <c r="G59">
        <v>62.9</v>
      </c>
      <c r="H59">
        <v>90.8</v>
      </c>
      <c r="I59">
        <v>73</v>
      </c>
      <c r="J59">
        <v>78.5</v>
      </c>
      <c r="K59">
        <v>74.5</v>
      </c>
      <c r="L59">
        <v>92.8</v>
      </c>
      <c r="M59">
        <v>74.8</v>
      </c>
    </row>
    <row r="60" spans="1:13" x14ac:dyDescent="0.25">
      <c r="A60" t="s">
        <v>248</v>
      </c>
      <c r="B60">
        <v>69.599999999999994</v>
      </c>
      <c r="C60">
        <v>77.8</v>
      </c>
      <c r="D60">
        <v>49.2</v>
      </c>
      <c r="E60">
        <v>73.400000000000006</v>
      </c>
      <c r="F60">
        <v>79.3</v>
      </c>
      <c r="G60">
        <v>44.8</v>
      </c>
      <c r="H60">
        <v>76.3</v>
      </c>
      <c r="I60">
        <v>76.900000000000006</v>
      </c>
      <c r="J60">
        <v>66.900000000000006</v>
      </c>
      <c r="K60">
        <v>70.599999999999994</v>
      </c>
      <c r="L60">
        <v>67</v>
      </c>
      <c r="M60">
        <v>68.8</v>
      </c>
    </row>
    <row r="61" spans="1:13" x14ac:dyDescent="0.25">
      <c r="A61" t="s">
        <v>340</v>
      </c>
      <c r="B61">
        <v>65.099999999999994</v>
      </c>
      <c r="C61">
        <v>62</v>
      </c>
      <c r="D61">
        <v>67.900000000000006</v>
      </c>
      <c r="E61">
        <v>59.4</v>
      </c>
      <c r="F61">
        <v>70.7</v>
      </c>
      <c r="G61">
        <v>61.1</v>
      </c>
      <c r="H61">
        <v>75.599999999999994</v>
      </c>
      <c r="I61">
        <v>72.5</v>
      </c>
      <c r="J61">
        <v>82</v>
      </c>
      <c r="K61">
        <v>66.7</v>
      </c>
      <c r="L61">
        <v>78.599999999999994</v>
      </c>
      <c r="M61">
        <v>65.5</v>
      </c>
    </row>
    <row r="62" spans="1:13" x14ac:dyDescent="0.25">
      <c r="A62" t="s">
        <v>341</v>
      </c>
      <c r="B62">
        <v>78</v>
      </c>
      <c r="C62">
        <v>72.5</v>
      </c>
      <c r="D62">
        <v>87.7</v>
      </c>
      <c r="E62">
        <v>67.3</v>
      </c>
      <c r="F62">
        <v>84.1</v>
      </c>
      <c r="G62">
        <v>66.900000000000006</v>
      </c>
      <c r="H62">
        <v>85.4</v>
      </c>
      <c r="I62">
        <v>90.3</v>
      </c>
      <c r="J62">
        <v>63.8</v>
      </c>
      <c r="K62">
        <v>65.400000000000006</v>
      </c>
      <c r="L62">
        <v>76.3</v>
      </c>
      <c r="M62">
        <v>73.5</v>
      </c>
    </row>
    <row r="63" spans="1:13" x14ac:dyDescent="0.25">
      <c r="A63" t="s">
        <v>342</v>
      </c>
      <c r="B63">
        <v>92.5</v>
      </c>
      <c r="C63">
        <v>90.1</v>
      </c>
      <c r="D63">
        <v>75.7</v>
      </c>
      <c r="E63">
        <v>87.1</v>
      </c>
      <c r="F63">
        <v>94.9</v>
      </c>
      <c r="G63">
        <v>66.3</v>
      </c>
      <c r="H63">
        <v>90.8</v>
      </c>
      <c r="I63">
        <v>90.9</v>
      </c>
      <c r="J63">
        <v>59.9</v>
      </c>
      <c r="K63">
        <v>80.2</v>
      </c>
      <c r="L63">
        <v>83.9</v>
      </c>
      <c r="M63">
        <v>68.599999999999994</v>
      </c>
    </row>
    <row r="64" spans="1:13" x14ac:dyDescent="0.25">
      <c r="A64" t="s">
        <v>343</v>
      </c>
      <c r="B64">
        <v>73.400000000000006</v>
      </c>
      <c r="C64">
        <v>60.3</v>
      </c>
      <c r="D64">
        <v>61</v>
      </c>
      <c r="E64">
        <v>71.400000000000006</v>
      </c>
      <c r="F64">
        <v>77</v>
      </c>
      <c r="G64">
        <v>71.400000000000006</v>
      </c>
      <c r="H64">
        <v>77.2</v>
      </c>
      <c r="I64">
        <v>78.599999999999994</v>
      </c>
      <c r="J64">
        <v>59.1</v>
      </c>
      <c r="K64">
        <v>65.900000000000006</v>
      </c>
      <c r="L64">
        <v>72.3</v>
      </c>
      <c r="M64">
        <v>72.099999999999994</v>
      </c>
    </row>
    <row r="65" spans="1:13" x14ac:dyDescent="0.25">
      <c r="A65" t="s">
        <v>344</v>
      </c>
      <c r="B65">
        <v>70.099999999999994</v>
      </c>
      <c r="C65">
        <v>56.3</v>
      </c>
      <c r="D65">
        <v>61.5</v>
      </c>
      <c r="E65">
        <v>63.9</v>
      </c>
      <c r="F65">
        <v>81.099999999999994</v>
      </c>
      <c r="G65">
        <v>64.900000000000006</v>
      </c>
      <c r="H65">
        <v>92.2</v>
      </c>
      <c r="I65">
        <v>93.3</v>
      </c>
      <c r="J65">
        <v>76.3</v>
      </c>
      <c r="K65">
        <v>91.2</v>
      </c>
      <c r="L65">
        <v>74</v>
      </c>
      <c r="M65">
        <v>81.3</v>
      </c>
    </row>
    <row r="66" spans="1:13" x14ac:dyDescent="0.25">
      <c r="A66" t="s">
        <v>345</v>
      </c>
      <c r="B66">
        <v>70.599999999999994</v>
      </c>
      <c r="C66">
        <v>65.3</v>
      </c>
      <c r="D66">
        <v>47.2</v>
      </c>
      <c r="E66">
        <v>74.099999999999994</v>
      </c>
      <c r="F66">
        <v>83.7</v>
      </c>
      <c r="G66">
        <v>56.9</v>
      </c>
      <c r="H66">
        <v>70.8</v>
      </c>
      <c r="I66">
        <v>83</v>
      </c>
      <c r="J66">
        <v>71.099999999999994</v>
      </c>
      <c r="K66">
        <v>60</v>
      </c>
      <c r="L66">
        <v>57.6</v>
      </c>
      <c r="M66">
        <v>67.099999999999994</v>
      </c>
    </row>
    <row r="67" spans="1:13" x14ac:dyDescent="0.25">
      <c r="A67" t="s">
        <v>346</v>
      </c>
      <c r="B67">
        <v>63.8</v>
      </c>
      <c r="C67">
        <v>78.5</v>
      </c>
      <c r="D67">
        <v>38.9</v>
      </c>
      <c r="E67">
        <v>63.1</v>
      </c>
      <c r="F67">
        <v>74.2</v>
      </c>
      <c r="G67">
        <v>50.4</v>
      </c>
      <c r="H67">
        <v>64.099999999999994</v>
      </c>
      <c r="I67">
        <v>64.599999999999994</v>
      </c>
      <c r="J67">
        <v>64.2</v>
      </c>
      <c r="K67">
        <v>59.5</v>
      </c>
      <c r="L67">
        <v>64.400000000000006</v>
      </c>
      <c r="M67">
        <v>61.1</v>
      </c>
    </row>
    <row r="68" spans="1:13" x14ac:dyDescent="0.25">
      <c r="A68" t="s">
        <v>347</v>
      </c>
      <c r="B68">
        <v>79.099999999999994</v>
      </c>
      <c r="C68">
        <v>87.2</v>
      </c>
      <c r="D68">
        <v>72</v>
      </c>
      <c r="E68">
        <v>68.400000000000006</v>
      </c>
      <c r="F68">
        <v>79.400000000000006</v>
      </c>
      <c r="G68">
        <v>68.599999999999994</v>
      </c>
      <c r="H68">
        <v>91.1</v>
      </c>
      <c r="I68">
        <v>90.6</v>
      </c>
      <c r="J68">
        <v>64.7</v>
      </c>
      <c r="K68">
        <v>70.8</v>
      </c>
      <c r="L68">
        <v>89.6</v>
      </c>
      <c r="M68">
        <v>88</v>
      </c>
    </row>
    <row r="69" spans="1:13" x14ac:dyDescent="0.25">
      <c r="A69" t="s">
        <v>348</v>
      </c>
      <c r="B69">
        <v>86</v>
      </c>
      <c r="C69">
        <v>92.2</v>
      </c>
      <c r="D69">
        <v>64.400000000000006</v>
      </c>
      <c r="E69">
        <v>86.9</v>
      </c>
      <c r="F69">
        <v>80.599999999999994</v>
      </c>
      <c r="G69">
        <v>60</v>
      </c>
      <c r="H69">
        <v>93.7</v>
      </c>
      <c r="I69">
        <v>95.2</v>
      </c>
      <c r="J69">
        <v>88.4</v>
      </c>
      <c r="K69">
        <v>89.1</v>
      </c>
      <c r="L69">
        <v>89.5</v>
      </c>
      <c r="M69">
        <v>68.7</v>
      </c>
    </row>
    <row r="70" spans="1:13" x14ac:dyDescent="0.25">
      <c r="A70" t="s">
        <v>349</v>
      </c>
      <c r="B70">
        <v>68.3</v>
      </c>
      <c r="C70">
        <v>75.2</v>
      </c>
      <c r="D70">
        <v>60.5</v>
      </c>
      <c r="E70">
        <v>67.8</v>
      </c>
      <c r="F70">
        <v>75.400000000000006</v>
      </c>
      <c r="G70">
        <v>52.4</v>
      </c>
      <c r="H70">
        <v>63.5</v>
      </c>
      <c r="I70">
        <v>82.7</v>
      </c>
      <c r="J70">
        <v>59.6</v>
      </c>
      <c r="K70">
        <v>49.5</v>
      </c>
      <c r="L70">
        <v>44</v>
      </c>
      <c r="M70">
        <v>75.3</v>
      </c>
    </row>
    <row r="71" spans="1:13" x14ac:dyDescent="0.25">
      <c r="A71" t="s">
        <v>350</v>
      </c>
      <c r="B71">
        <v>76.3</v>
      </c>
      <c r="C71">
        <v>64.099999999999994</v>
      </c>
      <c r="D71">
        <v>72.900000000000006</v>
      </c>
      <c r="E71">
        <v>64.900000000000006</v>
      </c>
      <c r="F71">
        <v>82.6</v>
      </c>
      <c r="G71">
        <v>77.099999999999994</v>
      </c>
      <c r="H71">
        <v>90.8</v>
      </c>
      <c r="I71">
        <v>88.5</v>
      </c>
      <c r="J71">
        <v>78.2</v>
      </c>
      <c r="K71">
        <v>77.2</v>
      </c>
      <c r="L71">
        <v>84.1</v>
      </c>
      <c r="M71">
        <v>81.2</v>
      </c>
    </row>
    <row r="72" spans="1:13" x14ac:dyDescent="0.25">
      <c r="A72" t="s">
        <v>351</v>
      </c>
      <c r="B72">
        <v>84.2</v>
      </c>
      <c r="C72">
        <v>63</v>
      </c>
      <c r="D72">
        <v>78.400000000000006</v>
      </c>
      <c r="E72">
        <v>80.099999999999994</v>
      </c>
      <c r="F72">
        <v>86.2</v>
      </c>
      <c r="G72">
        <v>73.599999999999994</v>
      </c>
      <c r="H72">
        <v>90.3</v>
      </c>
      <c r="I72">
        <v>87.2</v>
      </c>
      <c r="J72">
        <v>79.099999999999994</v>
      </c>
      <c r="K72">
        <v>67.2</v>
      </c>
      <c r="L72">
        <v>90</v>
      </c>
      <c r="M72">
        <v>90.1</v>
      </c>
    </row>
    <row r="73" spans="1:13" x14ac:dyDescent="0.25">
      <c r="A73" t="s">
        <v>352</v>
      </c>
      <c r="B73">
        <v>73.900000000000006</v>
      </c>
      <c r="C73">
        <v>66.3</v>
      </c>
      <c r="D73">
        <v>69.5</v>
      </c>
      <c r="E73">
        <v>70.5</v>
      </c>
      <c r="F73">
        <v>80.2</v>
      </c>
      <c r="G73">
        <v>63.8</v>
      </c>
      <c r="H73">
        <v>86.2</v>
      </c>
      <c r="I73">
        <v>79.599999999999994</v>
      </c>
      <c r="J73">
        <v>78.900000000000006</v>
      </c>
      <c r="K73">
        <v>79.099999999999994</v>
      </c>
      <c r="L73">
        <v>80.2</v>
      </c>
      <c r="M73">
        <v>54.8</v>
      </c>
    </row>
    <row r="74" spans="1:13" x14ac:dyDescent="0.25">
      <c r="A74" t="s">
        <v>353</v>
      </c>
      <c r="B74">
        <v>78.900000000000006</v>
      </c>
      <c r="C74">
        <v>82.6</v>
      </c>
      <c r="D74">
        <v>71.599999999999994</v>
      </c>
      <c r="E74">
        <v>72.599999999999994</v>
      </c>
      <c r="F74">
        <v>80.3</v>
      </c>
      <c r="G74">
        <v>65.400000000000006</v>
      </c>
      <c r="H74">
        <v>73.400000000000006</v>
      </c>
      <c r="I74">
        <v>60.9</v>
      </c>
      <c r="J74">
        <v>46.6</v>
      </c>
      <c r="K74">
        <v>72.599999999999994</v>
      </c>
      <c r="L74">
        <v>85.7</v>
      </c>
      <c r="M74">
        <v>58.7</v>
      </c>
    </row>
    <row r="75" spans="1:13" x14ac:dyDescent="0.25">
      <c r="A75" t="s">
        <v>354</v>
      </c>
      <c r="B75">
        <v>84.7</v>
      </c>
      <c r="C75">
        <v>81.400000000000006</v>
      </c>
      <c r="D75">
        <v>74.099999999999994</v>
      </c>
      <c r="E75">
        <v>73.400000000000006</v>
      </c>
      <c r="F75">
        <v>90.5</v>
      </c>
      <c r="G75">
        <v>72.400000000000006</v>
      </c>
      <c r="H75">
        <v>61.4</v>
      </c>
      <c r="I75">
        <v>61.5</v>
      </c>
      <c r="J75">
        <v>55.4</v>
      </c>
      <c r="K75">
        <v>62.8</v>
      </c>
      <c r="L75">
        <v>64.5</v>
      </c>
      <c r="M75">
        <v>58.1</v>
      </c>
    </row>
    <row r="76" spans="1:13" x14ac:dyDescent="0.25">
      <c r="A76" t="s">
        <v>355</v>
      </c>
      <c r="B76">
        <v>59.4</v>
      </c>
      <c r="C76">
        <v>39.200000000000003</v>
      </c>
      <c r="D76">
        <v>55.9</v>
      </c>
      <c r="E76">
        <v>49.2</v>
      </c>
      <c r="F76">
        <v>77.099999999999994</v>
      </c>
      <c r="G76">
        <v>66.400000000000006</v>
      </c>
      <c r="H76">
        <v>72.400000000000006</v>
      </c>
      <c r="I76">
        <v>72.5</v>
      </c>
      <c r="J76">
        <v>71.8</v>
      </c>
      <c r="K76">
        <v>63.7</v>
      </c>
      <c r="L76">
        <v>69.099999999999994</v>
      </c>
      <c r="M76">
        <v>74.5</v>
      </c>
    </row>
    <row r="77" spans="1:13" x14ac:dyDescent="0.25">
      <c r="A77" t="s">
        <v>356</v>
      </c>
      <c r="B77">
        <v>75.099999999999994</v>
      </c>
      <c r="C77">
        <v>67</v>
      </c>
      <c r="D77">
        <v>66.900000000000006</v>
      </c>
      <c r="E77">
        <v>67.8</v>
      </c>
      <c r="F77">
        <v>81.900000000000006</v>
      </c>
      <c r="G77">
        <v>71.2</v>
      </c>
      <c r="H77">
        <v>79.400000000000006</v>
      </c>
      <c r="I77">
        <v>82.2</v>
      </c>
      <c r="J77">
        <v>79.599999999999994</v>
      </c>
      <c r="K77">
        <v>72.7</v>
      </c>
      <c r="L77">
        <v>69.099999999999994</v>
      </c>
      <c r="M77">
        <v>88.6</v>
      </c>
    </row>
    <row r="78" spans="1:13" x14ac:dyDescent="0.25">
      <c r="A78" t="s">
        <v>357</v>
      </c>
      <c r="B78">
        <v>76.099999999999994</v>
      </c>
      <c r="C78">
        <v>78.3</v>
      </c>
      <c r="D78">
        <v>83.2</v>
      </c>
      <c r="E78">
        <v>68.7</v>
      </c>
      <c r="F78">
        <v>69.3</v>
      </c>
      <c r="G78">
        <v>69.7</v>
      </c>
      <c r="H78">
        <v>84.6</v>
      </c>
      <c r="I78">
        <v>81.099999999999994</v>
      </c>
      <c r="J78">
        <v>72.599999999999994</v>
      </c>
      <c r="K78">
        <v>69</v>
      </c>
      <c r="L78">
        <v>83.6</v>
      </c>
      <c r="M78">
        <v>71.900000000000006</v>
      </c>
    </row>
    <row r="79" spans="1:13" x14ac:dyDescent="0.25">
      <c r="A79" t="s">
        <v>358</v>
      </c>
      <c r="B79">
        <v>73.900000000000006</v>
      </c>
      <c r="C79">
        <v>79.900000000000006</v>
      </c>
      <c r="D79">
        <v>62.5</v>
      </c>
      <c r="E79">
        <v>73.7</v>
      </c>
      <c r="F79">
        <v>83.7</v>
      </c>
      <c r="G79">
        <v>48.6</v>
      </c>
      <c r="H79">
        <v>76.2</v>
      </c>
      <c r="I79">
        <v>83.6</v>
      </c>
      <c r="J79">
        <v>66.2</v>
      </c>
      <c r="K79">
        <v>57</v>
      </c>
      <c r="L79">
        <v>65.900000000000006</v>
      </c>
      <c r="M79">
        <v>76.400000000000006</v>
      </c>
    </row>
    <row r="80" spans="1:13" x14ac:dyDescent="0.25">
      <c r="A80" t="s">
        <v>359</v>
      </c>
      <c r="B80">
        <v>77.7</v>
      </c>
      <c r="C80">
        <v>63.6</v>
      </c>
      <c r="D80">
        <v>75.400000000000006</v>
      </c>
      <c r="E80">
        <v>63</v>
      </c>
      <c r="F80">
        <v>80.3</v>
      </c>
      <c r="G80">
        <v>77.3</v>
      </c>
      <c r="H80">
        <v>90.3</v>
      </c>
      <c r="I80">
        <v>87.1</v>
      </c>
      <c r="J80">
        <v>88.2</v>
      </c>
      <c r="K80">
        <v>67.599999999999994</v>
      </c>
      <c r="L80">
        <v>90.1</v>
      </c>
      <c r="M80">
        <v>77.2</v>
      </c>
    </row>
    <row r="81" spans="1:13" x14ac:dyDescent="0.25">
      <c r="A81" t="s">
        <v>360</v>
      </c>
      <c r="B81">
        <v>66</v>
      </c>
      <c r="C81">
        <v>66</v>
      </c>
      <c r="D81">
        <v>76.2</v>
      </c>
      <c r="E81">
        <v>58.6</v>
      </c>
      <c r="F81">
        <v>70.3</v>
      </c>
      <c r="G81">
        <v>63.3</v>
      </c>
      <c r="H81">
        <v>85.3</v>
      </c>
      <c r="I81">
        <v>77.2</v>
      </c>
      <c r="J81">
        <v>61.7</v>
      </c>
      <c r="K81">
        <v>71.7</v>
      </c>
      <c r="L81">
        <v>84.9</v>
      </c>
      <c r="M81">
        <v>65.5</v>
      </c>
    </row>
    <row r="82" spans="1:13" x14ac:dyDescent="0.25">
      <c r="A82" t="s">
        <v>361</v>
      </c>
      <c r="B82">
        <v>81.2</v>
      </c>
      <c r="C82">
        <v>75.099999999999994</v>
      </c>
      <c r="D82">
        <v>67.5</v>
      </c>
      <c r="E82">
        <v>68.8</v>
      </c>
      <c r="F82">
        <v>91.6</v>
      </c>
      <c r="G82">
        <v>69.400000000000006</v>
      </c>
      <c r="H82">
        <v>92</v>
      </c>
      <c r="I82">
        <v>86.5</v>
      </c>
      <c r="J82">
        <v>80.3</v>
      </c>
      <c r="K82">
        <v>75</v>
      </c>
      <c r="L82">
        <v>92</v>
      </c>
      <c r="M82">
        <v>90.3</v>
      </c>
    </row>
    <row r="83" spans="1:13" x14ac:dyDescent="0.25">
      <c r="A83" t="s">
        <v>362</v>
      </c>
      <c r="B83">
        <v>72.400000000000006</v>
      </c>
      <c r="C83">
        <v>60.8</v>
      </c>
      <c r="D83">
        <v>61.3</v>
      </c>
      <c r="E83">
        <v>68</v>
      </c>
      <c r="F83">
        <v>82.6</v>
      </c>
      <c r="G83">
        <v>64.8</v>
      </c>
      <c r="H83">
        <v>83.8</v>
      </c>
      <c r="I83">
        <v>73</v>
      </c>
      <c r="J83">
        <v>51.1</v>
      </c>
      <c r="K83">
        <v>78.7</v>
      </c>
      <c r="L83">
        <v>81.900000000000006</v>
      </c>
      <c r="M83">
        <v>72.5</v>
      </c>
    </row>
    <row r="84" spans="1:13" x14ac:dyDescent="0.25">
      <c r="A84" t="s">
        <v>363</v>
      </c>
      <c r="B84">
        <v>87.9</v>
      </c>
      <c r="C84">
        <v>83.9</v>
      </c>
      <c r="D84">
        <v>69.400000000000006</v>
      </c>
      <c r="E84">
        <v>81.2</v>
      </c>
      <c r="F84">
        <v>87.9</v>
      </c>
      <c r="G84">
        <v>71.8</v>
      </c>
      <c r="H84">
        <v>93.8</v>
      </c>
      <c r="I84">
        <v>92.8</v>
      </c>
      <c r="J84">
        <v>74.099999999999994</v>
      </c>
      <c r="K84">
        <v>80.900000000000006</v>
      </c>
      <c r="L84">
        <v>91.4</v>
      </c>
      <c r="M84">
        <v>84.1</v>
      </c>
    </row>
    <row r="85" spans="1:13" x14ac:dyDescent="0.25">
      <c r="A85" t="s">
        <v>364</v>
      </c>
      <c r="B85">
        <v>56.9</v>
      </c>
      <c r="C85">
        <v>54.5</v>
      </c>
      <c r="D85">
        <v>66.8</v>
      </c>
      <c r="E85">
        <v>52.5</v>
      </c>
      <c r="F85">
        <v>67.599999999999994</v>
      </c>
      <c r="G85">
        <v>52.9</v>
      </c>
      <c r="H85">
        <v>92.1</v>
      </c>
      <c r="I85">
        <v>94.2</v>
      </c>
      <c r="J85">
        <v>78.7</v>
      </c>
      <c r="K85">
        <v>79.599999999999994</v>
      </c>
      <c r="L85">
        <v>76.099999999999994</v>
      </c>
      <c r="M85">
        <v>78.599999999999994</v>
      </c>
    </row>
    <row r="86" spans="1:13" x14ac:dyDescent="0.25">
      <c r="A86" t="s">
        <v>365</v>
      </c>
      <c r="B86">
        <v>77.400000000000006</v>
      </c>
      <c r="C86">
        <v>67.599999999999994</v>
      </c>
      <c r="D86">
        <v>88.8</v>
      </c>
      <c r="E86">
        <v>76.3</v>
      </c>
      <c r="F86">
        <v>75.400000000000006</v>
      </c>
      <c r="G86">
        <v>62.3</v>
      </c>
      <c r="H86">
        <v>60.7</v>
      </c>
      <c r="I86">
        <v>57.3</v>
      </c>
      <c r="J86">
        <v>40.9</v>
      </c>
      <c r="K86">
        <v>61.1</v>
      </c>
      <c r="L86">
        <v>61.5</v>
      </c>
      <c r="M86">
        <v>81</v>
      </c>
    </row>
    <row r="87" spans="1:13" x14ac:dyDescent="0.25">
      <c r="A87" t="s">
        <v>366</v>
      </c>
      <c r="B87">
        <v>63.3</v>
      </c>
      <c r="C87">
        <v>51.8</v>
      </c>
      <c r="D87">
        <v>52.4</v>
      </c>
      <c r="E87">
        <v>61</v>
      </c>
      <c r="F87">
        <v>84.8</v>
      </c>
      <c r="G87">
        <v>52.8</v>
      </c>
      <c r="H87">
        <v>82.5</v>
      </c>
      <c r="I87">
        <v>90.3</v>
      </c>
      <c r="J87">
        <v>56.1</v>
      </c>
      <c r="K87">
        <v>61.2</v>
      </c>
      <c r="L87">
        <v>71.8</v>
      </c>
      <c r="M87">
        <v>65.8</v>
      </c>
    </row>
    <row r="88" spans="1:13" x14ac:dyDescent="0.25">
      <c r="A88" t="s">
        <v>367</v>
      </c>
      <c r="B88">
        <v>84.3</v>
      </c>
      <c r="C88">
        <v>87.6</v>
      </c>
      <c r="D88">
        <v>73.400000000000006</v>
      </c>
      <c r="E88">
        <v>78.900000000000006</v>
      </c>
      <c r="F88">
        <v>88.1</v>
      </c>
      <c r="G88">
        <v>64.2</v>
      </c>
      <c r="H88">
        <v>92.9</v>
      </c>
      <c r="I88">
        <v>83.9</v>
      </c>
      <c r="J88">
        <v>79.599999999999994</v>
      </c>
      <c r="K88">
        <v>81.099999999999994</v>
      </c>
      <c r="L88">
        <v>92.5</v>
      </c>
      <c r="M88">
        <v>82.7</v>
      </c>
    </row>
    <row r="89" spans="1:13" x14ac:dyDescent="0.25">
      <c r="A89" t="s">
        <v>368</v>
      </c>
      <c r="B89">
        <v>79.099999999999994</v>
      </c>
      <c r="C89">
        <v>73.099999999999994</v>
      </c>
      <c r="D89">
        <v>75</v>
      </c>
      <c r="E89">
        <v>66</v>
      </c>
      <c r="F89">
        <v>81.599999999999994</v>
      </c>
      <c r="G89">
        <v>73.599999999999994</v>
      </c>
      <c r="H89">
        <v>68.5</v>
      </c>
      <c r="I89">
        <v>57.9</v>
      </c>
      <c r="J89">
        <v>69.3</v>
      </c>
      <c r="K89">
        <v>68.3</v>
      </c>
      <c r="L89">
        <v>75.099999999999994</v>
      </c>
      <c r="M89">
        <v>70.599999999999994</v>
      </c>
    </row>
    <row r="90" spans="1:13" x14ac:dyDescent="0.25">
      <c r="A90" t="s">
        <v>369</v>
      </c>
      <c r="B90">
        <v>86.9</v>
      </c>
      <c r="C90">
        <v>90</v>
      </c>
      <c r="D90">
        <v>67.3</v>
      </c>
      <c r="E90">
        <v>79.7</v>
      </c>
      <c r="F90">
        <v>90</v>
      </c>
      <c r="G90">
        <v>66.7</v>
      </c>
      <c r="H90">
        <v>92.6</v>
      </c>
      <c r="I90">
        <v>90.8</v>
      </c>
      <c r="J90">
        <v>76.599999999999994</v>
      </c>
      <c r="K90">
        <v>84.4</v>
      </c>
      <c r="L90">
        <v>90.6</v>
      </c>
      <c r="M90">
        <v>81.2</v>
      </c>
    </row>
    <row r="91" spans="1:13" x14ac:dyDescent="0.25">
      <c r="A91" t="s">
        <v>370</v>
      </c>
      <c r="B91">
        <v>66.8</v>
      </c>
      <c r="C91">
        <v>59.5</v>
      </c>
      <c r="D91">
        <v>65.400000000000006</v>
      </c>
      <c r="E91">
        <v>65.2</v>
      </c>
      <c r="F91">
        <v>80.5</v>
      </c>
      <c r="G91">
        <v>56.2</v>
      </c>
      <c r="H91">
        <v>88</v>
      </c>
      <c r="I91">
        <v>85.5</v>
      </c>
      <c r="J91">
        <v>81.900000000000006</v>
      </c>
      <c r="K91">
        <v>74.099999999999994</v>
      </c>
      <c r="L91">
        <v>83.8</v>
      </c>
      <c r="M91">
        <v>78.599999999999994</v>
      </c>
    </row>
    <row r="92" spans="1:13" x14ac:dyDescent="0.25">
      <c r="A92" t="s">
        <v>371</v>
      </c>
      <c r="B92">
        <v>78.400000000000006</v>
      </c>
      <c r="C92">
        <v>80.099999999999994</v>
      </c>
      <c r="D92">
        <v>73.3</v>
      </c>
      <c r="E92">
        <v>68</v>
      </c>
      <c r="F92">
        <v>83.7</v>
      </c>
      <c r="G92">
        <v>68.400000000000006</v>
      </c>
      <c r="H92">
        <v>65.3</v>
      </c>
      <c r="I92">
        <v>70.2</v>
      </c>
      <c r="J92">
        <v>56</v>
      </c>
      <c r="K92">
        <v>64.099999999999994</v>
      </c>
      <c r="L92">
        <v>51</v>
      </c>
      <c r="M92">
        <v>82.1</v>
      </c>
    </row>
    <row r="93" spans="1:13" x14ac:dyDescent="0.25">
      <c r="A93" t="s">
        <v>372</v>
      </c>
      <c r="B93">
        <v>67.599999999999994</v>
      </c>
      <c r="C93">
        <v>70.400000000000006</v>
      </c>
      <c r="D93">
        <v>74.599999999999994</v>
      </c>
      <c r="E93">
        <v>61.8</v>
      </c>
      <c r="F93">
        <v>76.099999999999994</v>
      </c>
      <c r="G93">
        <v>56.6</v>
      </c>
      <c r="H93">
        <v>89.3</v>
      </c>
      <c r="I93">
        <v>77.2</v>
      </c>
      <c r="J93">
        <v>79.5</v>
      </c>
      <c r="K93">
        <v>70</v>
      </c>
      <c r="L93">
        <v>91.1</v>
      </c>
      <c r="M93">
        <v>68.099999999999994</v>
      </c>
    </row>
    <row r="94" spans="1:13" x14ac:dyDescent="0.25">
      <c r="A94" t="s">
        <v>373</v>
      </c>
      <c r="B94">
        <v>82.5</v>
      </c>
      <c r="C94">
        <v>75.099999999999994</v>
      </c>
      <c r="D94">
        <v>68.2</v>
      </c>
      <c r="E94">
        <v>69.5</v>
      </c>
      <c r="F94">
        <v>82</v>
      </c>
      <c r="G94">
        <v>79</v>
      </c>
      <c r="H94">
        <v>84.5</v>
      </c>
      <c r="I94">
        <v>76.7</v>
      </c>
      <c r="J94">
        <v>77</v>
      </c>
      <c r="K94">
        <v>75.900000000000006</v>
      </c>
      <c r="L94">
        <v>78.5</v>
      </c>
      <c r="M94">
        <v>64.7</v>
      </c>
    </row>
    <row r="95" spans="1:13" x14ac:dyDescent="0.25">
      <c r="A95" t="s">
        <v>374</v>
      </c>
      <c r="B95">
        <v>71.400000000000006</v>
      </c>
      <c r="C95">
        <v>63</v>
      </c>
      <c r="D95">
        <v>64</v>
      </c>
      <c r="E95">
        <v>71</v>
      </c>
      <c r="F95">
        <v>76.5</v>
      </c>
      <c r="G95">
        <v>58.8</v>
      </c>
      <c r="H95">
        <v>80.400000000000006</v>
      </c>
      <c r="I95">
        <v>69.7</v>
      </c>
      <c r="J95">
        <v>71.900000000000006</v>
      </c>
      <c r="K95">
        <v>76.5</v>
      </c>
      <c r="L95">
        <v>79.3</v>
      </c>
      <c r="M95">
        <v>63.9</v>
      </c>
    </row>
    <row r="96" spans="1:13" x14ac:dyDescent="0.25">
      <c r="A96" t="s">
        <v>375</v>
      </c>
      <c r="B96">
        <v>70.900000000000006</v>
      </c>
      <c r="C96">
        <v>70.099999999999994</v>
      </c>
      <c r="D96">
        <v>71.5</v>
      </c>
      <c r="E96">
        <v>67</v>
      </c>
      <c r="F96">
        <v>72.7</v>
      </c>
      <c r="G96">
        <v>64.5</v>
      </c>
      <c r="H96">
        <v>74.2</v>
      </c>
      <c r="I96">
        <v>63.4</v>
      </c>
      <c r="J96">
        <v>54.4</v>
      </c>
      <c r="K96">
        <v>70.400000000000006</v>
      </c>
      <c r="L96">
        <v>79.3</v>
      </c>
      <c r="M96">
        <v>73.900000000000006</v>
      </c>
    </row>
    <row r="97" spans="1:13" x14ac:dyDescent="0.25">
      <c r="A97" t="s">
        <v>376</v>
      </c>
      <c r="B97">
        <v>74.5</v>
      </c>
      <c r="C97">
        <v>80.400000000000006</v>
      </c>
      <c r="D97">
        <v>48</v>
      </c>
      <c r="E97">
        <v>75.5</v>
      </c>
      <c r="F97">
        <v>79.2</v>
      </c>
      <c r="G97">
        <v>54</v>
      </c>
      <c r="H97">
        <v>77.099999999999994</v>
      </c>
      <c r="I97">
        <v>67.7</v>
      </c>
      <c r="J97">
        <v>59.2</v>
      </c>
      <c r="K97">
        <v>67.900000000000006</v>
      </c>
      <c r="L97">
        <v>84.6</v>
      </c>
      <c r="M97">
        <v>80</v>
      </c>
    </row>
    <row r="98" spans="1:13" x14ac:dyDescent="0.25">
      <c r="A98" t="s">
        <v>377</v>
      </c>
      <c r="B98">
        <v>81.099999999999994</v>
      </c>
      <c r="C98">
        <v>80.5</v>
      </c>
      <c r="D98">
        <v>76</v>
      </c>
      <c r="E98">
        <v>73.5</v>
      </c>
      <c r="F98">
        <v>81.5</v>
      </c>
      <c r="G98">
        <v>71.099999999999994</v>
      </c>
      <c r="H98">
        <v>92.3</v>
      </c>
      <c r="I98">
        <v>93.7</v>
      </c>
      <c r="J98">
        <v>70.8</v>
      </c>
      <c r="K98">
        <v>79.8</v>
      </c>
      <c r="L98">
        <v>86.1</v>
      </c>
      <c r="M98">
        <v>70</v>
      </c>
    </row>
    <row r="99" spans="1:13" x14ac:dyDescent="0.25">
      <c r="A99" t="s">
        <v>378</v>
      </c>
      <c r="B99">
        <v>77.099999999999994</v>
      </c>
      <c r="C99">
        <v>66.099999999999994</v>
      </c>
      <c r="D99">
        <v>73</v>
      </c>
      <c r="E99">
        <v>71.5</v>
      </c>
      <c r="F99">
        <v>95.9</v>
      </c>
      <c r="G99">
        <v>56.4</v>
      </c>
      <c r="H99">
        <v>80.3</v>
      </c>
      <c r="I99">
        <v>83.3</v>
      </c>
      <c r="J99">
        <v>54.5</v>
      </c>
      <c r="K99">
        <v>70.400000000000006</v>
      </c>
      <c r="L99">
        <v>70.400000000000006</v>
      </c>
      <c r="M99">
        <v>67</v>
      </c>
    </row>
    <row r="100" spans="1:13" x14ac:dyDescent="0.25">
      <c r="A100" t="s">
        <v>379</v>
      </c>
      <c r="B100">
        <v>68.599999999999994</v>
      </c>
      <c r="C100">
        <v>64.8</v>
      </c>
      <c r="D100">
        <v>58.1</v>
      </c>
      <c r="E100">
        <v>68.2</v>
      </c>
      <c r="F100">
        <v>82.8</v>
      </c>
      <c r="G100">
        <v>51.8</v>
      </c>
      <c r="H100">
        <v>94.3</v>
      </c>
      <c r="I100">
        <v>89.1</v>
      </c>
      <c r="J100">
        <v>76.8</v>
      </c>
      <c r="K100">
        <v>90.9</v>
      </c>
      <c r="L100">
        <v>93.1</v>
      </c>
      <c r="M100">
        <v>80.400000000000006</v>
      </c>
    </row>
    <row r="101" spans="1:13" x14ac:dyDescent="0.25">
      <c r="A101" t="s">
        <v>380</v>
      </c>
      <c r="B101">
        <v>62.1</v>
      </c>
      <c r="C101">
        <v>61</v>
      </c>
      <c r="D101">
        <v>59.4</v>
      </c>
      <c r="E101">
        <v>59.9</v>
      </c>
      <c r="F101">
        <v>76.5</v>
      </c>
      <c r="G101">
        <v>50.7</v>
      </c>
      <c r="H101">
        <v>68</v>
      </c>
      <c r="I101">
        <v>65.099999999999994</v>
      </c>
      <c r="J101">
        <v>43.8</v>
      </c>
      <c r="K101">
        <v>69.8</v>
      </c>
      <c r="L101">
        <v>65.900000000000006</v>
      </c>
      <c r="M101">
        <v>64.7</v>
      </c>
    </row>
    <row r="102" spans="1:13" x14ac:dyDescent="0.25">
      <c r="A102" t="s">
        <v>381</v>
      </c>
      <c r="B102">
        <v>61.5</v>
      </c>
      <c r="C102">
        <v>51</v>
      </c>
      <c r="D102">
        <v>61.4</v>
      </c>
      <c r="E102">
        <v>63.5</v>
      </c>
      <c r="F102">
        <v>73.400000000000006</v>
      </c>
      <c r="G102">
        <v>52.3</v>
      </c>
      <c r="H102">
        <v>72.3</v>
      </c>
      <c r="I102">
        <v>70.5</v>
      </c>
      <c r="J102">
        <v>64.2</v>
      </c>
      <c r="K102">
        <v>72.400000000000006</v>
      </c>
      <c r="L102">
        <v>64.3</v>
      </c>
      <c r="M102">
        <v>85.4</v>
      </c>
    </row>
    <row r="103" spans="1:13" x14ac:dyDescent="0.25">
      <c r="A103" t="s">
        <v>382</v>
      </c>
      <c r="B103">
        <v>79.5</v>
      </c>
      <c r="C103">
        <v>81.400000000000006</v>
      </c>
      <c r="D103">
        <v>70.3</v>
      </c>
      <c r="E103">
        <v>76.5</v>
      </c>
      <c r="F103">
        <v>77</v>
      </c>
      <c r="G103">
        <v>62.5</v>
      </c>
      <c r="H103">
        <v>78.5</v>
      </c>
      <c r="I103">
        <v>76</v>
      </c>
      <c r="J103">
        <v>50.4</v>
      </c>
      <c r="K103">
        <v>72.3</v>
      </c>
      <c r="L103">
        <v>75.400000000000006</v>
      </c>
      <c r="M103">
        <v>63.5</v>
      </c>
    </row>
    <row r="104" spans="1:13" x14ac:dyDescent="0.25">
      <c r="A104" t="s">
        <v>383</v>
      </c>
      <c r="B104">
        <v>80.400000000000006</v>
      </c>
      <c r="C104">
        <v>83.9</v>
      </c>
      <c r="D104">
        <v>65.900000000000006</v>
      </c>
      <c r="E104">
        <v>82.4</v>
      </c>
      <c r="F104">
        <v>75.7</v>
      </c>
      <c r="G104">
        <v>58.9</v>
      </c>
      <c r="H104">
        <v>84</v>
      </c>
      <c r="I104">
        <v>78.5</v>
      </c>
      <c r="J104">
        <v>79.7</v>
      </c>
      <c r="K104">
        <v>62.5</v>
      </c>
      <c r="L104">
        <v>89.8</v>
      </c>
      <c r="M104">
        <v>86.7</v>
      </c>
    </row>
    <row r="105" spans="1:13" x14ac:dyDescent="0.25">
      <c r="A105" t="s">
        <v>384</v>
      </c>
      <c r="B105">
        <v>63.5</v>
      </c>
      <c r="C105">
        <v>72.7</v>
      </c>
      <c r="D105">
        <v>57.8</v>
      </c>
      <c r="E105">
        <v>64.3</v>
      </c>
      <c r="F105">
        <v>68.3</v>
      </c>
      <c r="G105">
        <v>48.3</v>
      </c>
      <c r="H105">
        <v>77.599999999999994</v>
      </c>
      <c r="I105">
        <v>70.400000000000006</v>
      </c>
      <c r="J105">
        <v>69.099999999999994</v>
      </c>
      <c r="K105">
        <v>70.400000000000006</v>
      </c>
      <c r="L105">
        <v>77.599999999999994</v>
      </c>
      <c r="M105">
        <v>68.599999999999994</v>
      </c>
    </row>
    <row r="106" spans="1:13" x14ac:dyDescent="0.25">
      <c r="A106" t="s">
        <v>385</v>
      </c>
      <c r="B106">
        <v>75.7</v>
      </c>
      <c r="C106">
        <v>81.400000000000006</v>
      </c>
      <c r="D106">
        <v>69.400000000000006</v>
      </c>
      <c r="E106">
        <v>73.900000000000006</v>
      </c>
      <c r="F106">
        <v>82.2</v>
      </c>
      <c r="G106">
        <v>53.5</v>
      </c>
      <c r="H106">
        <v>92.3</v>
      </c>
      <c r="I106">
        <v>92</v>
      </c>
      <c r="J106">
        <v>73.5</v>
      </c>
      <c r="K106">
        <v>82.8</v>
      </c>
      <c r="L106">
        <v>89.3</v>
      </c>
      <c r="M106">
        <v>75.2</v>
      </c>
    </row>
    <row r="107" spans="1:13" x14ac:dyDescent="0.25">
      <c r="A107" t="s">
        <v>386</v>
      </c>
      <c r="B107">
        <v>82.5</v>
      </c>
      <c r="C107">
        <v>73.2</v>
      </c>
      <c r="D107">
        <v>93.2</v>
      </c>
      <c r="E107">
        <v>78.2</v>
      </c>
      <c r="F107">
        <v>85.1</v>
      </c>
      <c r="G107">
        <v>67.599999999999994</v>
      </c>
      <c r="H107">
        <v>94.3</v>
      </c>
      <c r="I107">
        <v>87.7</v>
      </c>
      <c r="J107">
        <v>74.7</v>
      </c>
      <c r="K107">
        <v>84.1</v>
      </c>
      <c r="L107">
        <v>94.1</v>
      </c>
      <c r="M107">
        <v>83.8</v>
      </c>
    </row>
    <row r="108" spans="1:13" x14ac:dyDescent="0.25">
      <c r="A108" t="s">
        <v>387</v>
      </c>
      <c r="B108">
        <v>75.3</v>
      </c>
      <c r="C108">
        <v>57.8</v>
      </c>
      <c r="D108">
        <v>68.900000000000006</v>
      </c>
      <c r="E108">
        <v>68</v>
      </c>
      <c r="F108">
        <v>86.7</v>
      </c>
      <c r="G108">
        <v>68.7</v>
      </c>
      <c r="H108">
        <v>87.4</v>
      </c>
      <c r="I108">
        <v>90.5</v>
      </c>
      <c r="J108">
        <v>58.2</v>
      </c>
      <c r="K108">
        <v>77.3</v>
      </c>
      <c r="L108">
        <v>74.8</v>
      </c>
      <c r="M108">
        <v>67.7</v>
      </c>
    </row>
    <row r="109" spans="1:13" x14ac:dyDescent="0.25">
      <c r="A109" t="s">
        <v>388</v>
      </c>
      <c r="B109">
        <v>81.5</v>
      </c>
      <c r="C109">
        <v>77.3</v>
      </c>
      <c r="D109">
        <v>87.1</v>
      </c>
      <c r="E109">
        <v>74.2</v>
      </c>
      <c r="F109">
        <v>84.2</v>
      </c>
      <c r="G109">
        <v>64.599999999999994</v>
      </c>
      <c r="H109">
        <v>84</v>
      </c>
      <c r="I109">
        <v>84.8</v>
      </c>
      <c r="J109">
        <v>66.8</v>
      </c>
      <c r="K109">
        <v>82.6</v>
      </c>
      <c r="L109">
        <v>68.400000000000006</v>
      </c>
      <c r="M109">
        <v>80.2</v>
      </c>
    </row>
    <row r="110" spans="1:13" x14ac:dyDescent="0.25">
      <c r="A110" t="s">
        <v>389</v>
      </c>
      <c r="B110">
        <v>75.3</v>
      </c>
      <c r="C110">
        <v>73.8</v>
      </c>
      <c r="D110">
        <v>78.900000000000006</v>
      </c>
      <c r="E110">
        <v>69.099999999999994</v>
      </c>
      <c r="F110">
        <v>81.5</v>
      </c>
      <c r="G110">
        <v>63.1</v>
      </c>
      <c r="H110">
        <v>65.2</v>
      </c>
      <c r="I110">
        <v>74.2</v>
      </c>
      <c r="J110">
        <v>45.7</v>
      </c>
      <c r="K110">
        <v>67.3</v>
      </c>
      <c r="L110">
        <v>51.8</v>
      </c>
      <c r="M110">
        <v>78.900000000000006</v>
      </c>
    </row>
    <row r="111" spans="1:13" x14ac:dyDescent="0.25">
      <c r="A111" t="s">
        <v>390</v>
      </c>
      <c r="B111">
        <v>71.7</v>
      </c>
      <c r="C111">
        <v>70.5</v>
      </c>
      <c r="D111">
        <v>56.6</v>
      </c>
      <c r="E111">
        <v>79.2</v>
      </c>
      <c r="F111">
        <v>72.099999999999994</v>
      </c>
      <c r="G111">
        <v>54.2</v>
      </c>
      <c r="H111">
        <v>91.5</v>
      </c>
      <c r="I111">
        <v>88.6</v>
      </c>
      <c r="J111">
        <v>83.7</v>
      </c>
      <c r="K111">
        <v>77.599999999999994</v>
      </c>
      <c r="L111">
        <v>90.3</v>
      </c>
      <c r="M111">
        <v>84.9</v>
      </c>
    </row>
    <row r="112" spans="1:13" x14ac:dyDescent="0.25">
      <c r="A112" t="s">
        <v>238</v>
      </c>
      <c r="B112">
        <v>70.900000000000006</v>
      </c>
      <c r="C112">
        <v>64.900000000000006</v>
      </c>
      <c r="D112">
        <v>61</v>
      </c>
      <c r="E112">
        <v>70.599999999999994</v>
      </c>
      <c r="F112">
        <v>80.8</v>
      </c>
      <c r="G112">
        <v>55.8</v>
      </c>
      <c r="H112">
        <v>72</v>
      </c>
      <c r="I112">
        <v>70</v>
      </c>
      <c r="J112">
        <v>55.1</v>
      </c>
      <c r="K112">
        <v>62.1</v>
      </c>
      <c r="L112">
        <v>72.400000000000006</v>
      </c>
      <c r="M112">
        <v>63.2</v>
      </c>
    </row>
    <row r="113" spans="1:13" x14ac:dyDescent="0.25">
      <c r="A113" t="s">
        <v>391</v>
      </c>
      <c r="B113">
        <v>90.1</v>
      </c>
      <c r="C113">
        <v>77.900000000000006</v>
      </c>
      <c r="D113">
        <v>76</v>
      </c>
      <c r="E113">
        <v>84.4</v>
      </c>
      <c r="F113">
        <v>91.1</v>
      </c>
      <c r="G113">
        <v>73.3</v>
      </c>
      <c r="H113">
        <v>91.1</v>
      </c>
      <c r="I113">
        <v>81.099999999999994</v>
      </c>
      <c r="J113">
        <v>62.2</v>
      </c>
      <c r="K113">
        <v>87.9</v>
      </c>
      <c r="L113">
        <v>87.6</v>
      </c>
      <c r="M113">
        <v>76.2</v>
      </c>
    </row>
    <row r="114" spans="1:13" x14ac:dyDescent="0.25">
      <c r="A114" t="s">
        <v>392</v>
      </c>
      <c r="B114">
        <v>68.599999999999994</v>
      </c>
      <c r="C114">
        <v>63.6</v>
      </c>
      <c r="D114">
        <v>64.7</v>
      </c>
      <c r="E114">
        <v>67.5</v>
      </c>
      <c r="F114">
        <v>78.5</v>
      </c>
      <c r="G114">
        <v>55</v>
      </c>
      <c r="H114">
        <v>68</v>
      </c>
      <c r="I114">
        <v>76.400000000000006</v>
      </c>
      <c r="J114">
        <v>58.7</v>
      </c>
      <c r="K114">
        <v>73.3</v>
      </c>
      <c r="L114">
        <v>45.8</v>
      </c>
      <c r="M114">
        <v>61.8</v>
      </c>
    </row>
    <row r="115" spans="1:13" x14ac:dyDescent="0.25">
      <c r="A115" t="s">
        <v>393</v>
      </c>
      <c r="B115">
        <v>68.2</v>
      </c>
      <c r="C115">
        <v>65.8</v>
      </c>
      <c r="D115">
        <v>67.400000000000006</v>
      </c>
      <c r="E115">
        <v>62.6</v>
      </c>
      <c r="F115">
        <v>74</v>
      </c>
      <c r="G115">
        <v>66.599999999999994</v>
      </c>
      <c r="H115">
        <v>68.900000000000006</v>
      </c>
      <c r="I115">
        <v>58.6</v>
      </c>
      <c r="J115">
        <v>66.2</v>
      </c>
      <c r="K115">
        <v>71.400000000000006</v>
      </c>
      <c r="L115">
        <v>82.3</v>
      </c>
      <c r="M115">
        <v>70.2</v>
      </c>
    </row>
    <row r="116" spans="1:13" x14ac:dyDescent="0.25">
      <c r="A116" t="s">
        <v>394</v>
      </c>
      <c r="B116">
        <v>79.2</v>
      </c>
      <c r="C116">
        <v>65.599999999999994</v>
      </c>
      <c r="D116">
        <v>82.9</v>
      </c>
      <c r="E116">
        <v>67.900000000000006</v>
      </c>
      <c r="F116">
        <v>90.5</v>
      </c>
      <c r="G116">
        <v>66.099999999999994</v>
      </c>
      <c r="H116">
        <v>86.6</v>
      </c>
      <c r="I116">
        <v>88.3</v>
      </c>
      <c r="J116">
        <v>65.5</v>
      </c>
      <c r="K116">
        <v>68.7</v>
      </c>
      <c r="L116">
        <v>80.599999999999994</v>
      </c>
      <c r="M116">
        <v>72.7</v>
      </c>
    </row>
    <row r="117" spans="1:13" x14ac:dyDescent="0.25">
      <c r="A117" t="s">
        <v>395</v>
      </c>
      <c r="B117">
        <v>68.5</v>
      </c>
      <c r="C117">
        <v>70</v>
      </c>
      <c r="D117">
        <v>54.2</v>
      </c>
      <c r="E117">
        <v>71.599999999999994</v>
      </c>
      <c r="F117">
        <v>70.400000000000006</v>
      </c>
      <c r="G117">
        <v>56.4</v>
      </c>
      <c r="H117">
        <v>73.599999999999994</v>
      </c>
      <c r="I117">
        <v>69.8</v>
      </c>
      <c r="J117">
        <v>75.2</v>
      </c>
      <c r="K117">
        <v>60.7</v>
      </c>
      <c r="L117">
        <v>81.8</v>
      </c>
      <c r="M117">
        <v>67.8</v>
      </c>
    </row>
    <row r="118" spans="1:13" x14ac:dyDescent="0.25">
      <c r="A118" t="s">
        <v>396</v>
      </c>
      <c r="B118">
        <v>81.3</v>
      </c>
      <c r="C118">
        <v>72.599999999999994</v>
      </c>
      <c r="D118">
        <v>76.2</v>
      </c>
      <c r="E118">
        <v>72.2</v>
      </c>
      <c r="F118">
        <v>84.6</v>
      </c>
      <c r="G118">
        <v>69.3</v>
      </c>
      <c r="H118">
        <v>87.8</v>
      </c>
      <c r="I118">
        <v>76.3</v>
      </c>
      <c r="J118">
        <v>65.5</v>
      </c>
      <c r="K118">
        <v>73.599999999999994</v>
      </c>
      <c r="L118">
        <v>90</v>
      </c>
      <c r="M118">
        <v>77.8</v>
      </c>
    </row>
    <row r="119" spans="1:13" x14ac:dyDescent="0.25">
      <c r="A119" t="s">
        <v>397</v>
      </c>
      <c r="B119">
        <v>76.8</v>
      </c>
      <c r="C119">
        <v>77.099999999999994</v>
      </c>
      <c r="D119">
        <v>58.3</v>
      </c>
      <c r="E119">
        <v>77</v>
      </c>
      <c r="F119">
        <v>89.6</v>
      </c>
      <c r="G119">
        <v>56.8</v>
      </c>
      <c r="H119">
        <v>79.3</v>
      </c>
      <c r="I119">
        <v>74.2</v>
      </c>
      <c r="J119">
        <v>80.8</v>
      </c>
      <c r="K119">
        <v>69</v>
      </c>
      <c r="L119">
        <v>78</v>
      </c>
      <c r="M119">
        <v>71.400000000000006</v>
      </c>
    </row>
    <row r="120" spans="1:13" x14ac:dyDescent="0.25">
      <c r="A120" t="s">
        <v>398</v>
      </c>
      <c r="B120">
        <v>62.4</v>
      </c>
      <c r="C120">
        <v>63</v>
      </c>
      <c r="D120">
        <v>63.4</v>
      </c>
      <c r="E120">
        <v>60.4</v>
      </c>
      <c r="F120">
        <v>77.5</v>
      </c>
      <c r="G120">
        <v>47.6</v>
      </c>
      <c r="H120">
        <v>80.3</v>
      </c>
      <c r="I120">
        <v>80.2</v>
      </c>
      <c r="J120">
        <v>69.3</v>
      </c>
      <c r="K120">
        <v>72.900000000000006</v>
      </c>
      <c r="L120">
        <v>71.7</v>
      </c>
      <c r="M120">
        <v>72.7</v>
      </c>
    </row>
    <row r="121" spans="1:13" x14ac:dyDescent="0.25">
      <c r="A121" t="s">
        <v>399</v>
      </c>
      <c r="B121">
        <v>72</v>
      </c>
      <c r="C121">
        <v>48.3</v>
      </c>
      <c r="D121">
        <v>73.400000000000006</v>
      </c>
      <c r="E121">
        <v>66.3</v>
      </c>
      <c r="F121">
        <v>75.5</v>
      </c>
      <c r="G121">
        <v>77</v>
      </c>
      <c r="H121">
        <v>82.2</v>
      </c>
      <c r="I121">
        <v>76</v>
      </c>
      <c r="J121">
        <v>49.3</v>
      </c>
      <c r="K121">
        <v>69.3</v>
      </c>
      <c r="L121">
        <v>82.1</v>
      </c>
      <c r="M121">
        <v>80.8</v>
      </c>
    </row>
    <row r="122" spans="1:13" x14ac:dyDescent="0.25">
      <c r="A122" t="s">
        <v>400</v>
      </c>
      <c r="B122">
        <v>70.099999999999994</v>
      </c>
      <c r="C122">
        <v>70.7</v>
      </c>
      <c r="D122">
        <v>69.099999999999994</v>
      </c>
      <c r="E122">
        <v>64.2</v>
      </c>
      <c r="F122">
        <v>83.7</v>
      </c>
      <c r="G122">
        <v>57.2</v>
      </c>
      <c r="H122">
        <v>60.8</v>
      </c>
      <c r="I122">
        <v>51.5</v>
      </c>
      <c r="J122">
        <v>56.9</v>
      </c>
      <c r="K122">
        <v>65.7</v>
      </c>
      <c r="L122">
        <v>72.599999999999994</v>
      </c>
      <c r="M122">
        <v>85.5</v>
      </c>
    </row>
    <row r="123" spans="1:13" x14ac:dyDescent="0.25">
      <c r="A123" t="s">
        <v>401</v>
      </c>
      <c r="B123">
        <v>65</v>
      </c>
      <c r="C123">
        <v>60.2</v>
      </c>
      <c r="D123">
        <v>69.900000000000006</v>
      </c>
      <c r="E123">
        <v>63.7</v>
      </c>
      <c r="F123">
        <v>71.2</v>
      </c>
      <c r="G123">
        <v>57.3</v>
      </c>
      <c r="H123">
        <v>81.400000000000006</v>
      </c>
      <c r="I123">
        <v>82</v>
      </c>
      <c r="J123">
        <v>79</v>
      </c>
      <c r="K123">
        <v>69</v>
      </c>
      <c r="L123">
        <v>70.2</v>
      </c>
      <c r="M123">
        <v>61.3</v>
      </c>
    </row>
    <row r="124" spans="1:13" x14ac:dyDescent="0.25">
      <c r="A124" t="s">
        <v>402</v>
      </c>
      <c r="B124">
        <v>70.900000000000006</v>
      </c>
      <c r="C124">
        <v>76.8</v>
      </c>
      <c r="D124">
        <v>61.6</v>
      </c>
      <c r="E124">
        <v>66</v>
      </c>
      <c r="F124">
        <v>74.599999999999994</v>
      </c>
      <c r="G124">
        <v>60.3</v>
      </c>
      <c r="H124">
        <v>85.3</v>
      </c>
      <c r="I124">
        <v>90.6</v>
      </c>
      <c r="J124">
        <v>61.7</v>
      </c>
      <c r="K124">
        <v>84.1</v>
      </c>
      <c r="L124">
        <v>65</v>
      </c>
      <c r="M124">
        <v>75.7</v>
      </c>
    </row>
    <row r="125" spans="1:13" x14ac:dyDescent="0.25">
      <c r="A125" t="s">
        <v>403</v>
      </c>
      <c r="B125">
        <v>72.8</v>
      </c>
      <c r="C125">
        <v>82.2</v>
      </c>
      <c r="D125">
        <v>46.4</v>
      </c>
      <c r="E125">
        <v>76.400000000000006</v>
      </c>
      <c r="F125">
        <v>76.2</v>
      </c>
      <c r="G125">
        <v>54.6</v>
      </c>
      <c r="H125">
        <v>80.5</v>
      </c>
      <c r="I125">
        <v>83.3</v>
      </c>
      <c r="J125">
        <v>57.1</v>
      </c>
      <c r="K125">
        <v>64.8</v>
      </c>
      <c r="L125">
        <v>74.3</v>
      </c>
      <c r="M125">
        <v>74.3</v>
      </c>
    </row>
    <row r="126" spans="1:13" x14ac:dyDescent="0.25">
      <c r="A126" t="s">
        <v>404</v>
      </c>
      <c r="B126">
        <v>73.599999999999994</v>
      </c>
      <c r="C126">
        <v>69.2</v>
      </c>
      <c r="D126">
        <v>61</v>
      </c>
      <c r="E126">
        <v>68.5</v>
      </c>
      <c r="F126">
        <v>80.599999999999994</v>
      </c>
      <c r="G126">
        <v>67.099999999999994</v>
      </c>
      <c r="H126">
        <v>75</v>
      </c>
      <c r="I126">
        <v>71.900000000000006</v>
      </c>
      <c r="J126">
        <v>64.099999999999994</v>
      </c>
      <c r="K126">
        <v>65.8</v>
      </c>
      <c r="L126">
        <v>75</v>
      </c>
      <c r="M126">
        <v>82.1</v>
      </c>
    </row>
    <row r="127" spans="1:13" x14ac:dyDescent="0.25">
      <c r="A127" t="s">
        <v>405</v>
      </c>
      <c r="B127">
        <v>73.8</v>
      </c>
      <c r="C127">
        <v>72.2</v>
      </c>
      <c r="D127">
        <v>68.5</v>
      </c>
      <c r="E127">
        <v>65.8</v>
      </c>
      <c r="F127">
        <v>82.1</v>
      </c>
      <c r="G127">
        <v>62.6</v>
      </c>
      <c r="H127">
        <v>83.4</v>
      </c>
      <c r="I127">
        <v>78.3</v>
      </c>
      <c r="J127">
        <v>85.7</v>
      </c>
      <c r="K127">
        <v>83.5</v>
      </c>
      <c r="L127">
        <v>72.900000000000006</v>
      </c>
      <c r="M127">
        <v>83.4</v>
      </c>
    </row>
    <row r="128" spans="1:13" x14ac:dyDescent="0.25">
      <c r="A128" t="s">
        <v>406</v>
      </c>
      <c r="B128">
        <v>80.599999999999994</v>
      </c>
      <c r="C128">
        <v>82.5</v>
      </c>
      <c r="D128">
        <v>76.900000000000006</v>
      </c>
      <c r="E128">
        <v>69.900000000000006</v>
      </c>
      <c r="F128">
        <v>78</v>
      </c>
      <c r="G128">
        <v>72.5</v>
      </c>
      <c r="H128">
        <v>79.5</v>
      </c>
      <c r="I128">
        <v>79.599999999999994</v>
      </c>
      <c r="J128">
        <v>83.9</v>
      </c>
      <c r="K128">
        <v>65</v>
      </c>
      <c r="L128">
        <v>76.2</v>
      </c>
      <c r="M128">
        <v>75.2</v>
      </c>
    </row>
    <row r="129" spans="1:13" x14ac:dyDescent="0.25">
      <c r="A129" t="s">
        <v>52</v>
      </c>
      <c r="B129">
        <v>75.2</v>
      </c>
      <c r="C129">
        <v>72.3</v>
      </c>
      <c r="D129">
        <v>48.9</v>
      </c>
      <c r="E129">
        <v>79.7</v>
      </c>
      <c r="F129">
        <v>84</v>
      </c>
      <c r="G129">
        <v>55.6</v>
      </c>
      <c r="H129">
        <v>85.8</v>
      </c>
      <c r="I129">
        <v>77.400000000000006</v>
      </c>
      <c r="J129">
        <v>90.6</v>
      </c>
      <c r="K129">
        <v>67.5</v>
      </c>
      <c r="L129">
        <v>91.2</v>
      </c>
      <c r="M129">
        <v>63.8</v>
      </c>
    </row>
    <row r="130" spans="1:13" x14ac:dyDescent="0.25">
      <c r="A130" t="s">
        <v>407</v>
      </c>
      <c r="B130">
        <v>76.099999999999994</v>
      </c>
      <c r="C130">
        <v>66.8</v>
      </c>
      <c r="D130">
        <v>85.3</v>
      </c>
      <c r="E130">
        <v>72.099999999999994</v>
      </c>
      <c r="F130">
        <v>87.5</v>
      </c>
      <c r="G130">
        <v>56</v>
      </c>
      <c r="H130">
        <v>85.1</v>
      </c>
      <c r="I130">
        <v>72.3</v>
      </c>
      <c r="J130">
        <v>39.5</v>
      </c>
      <c r="K130">
        <v>73.400000000000006</v>
      </c>
      <c r="L130">
        <v>88.4</v>
      </c>
      <c r="M130">
        <v>72</v>
      </c>
    </row>
    <row r="131" spans="1:13" x14ac:dyDescent="0.25">
      <c r="A131" t="s">
        <v>408</v>
      </c>
      <c r="B131">
        <v>79.599999999999994</v>
      </c>
      <c r="C131">
        <v>73.599999999999994</v>
      </c>
      <c r="D131">
        <v>77.5</v>
      </c>
      <c r="E131">
        <v>67.599999999999994</v>
      </c>
      <c r="F131">
        <v>76.900000000000006</v>
      </c>
      <c r="G131">
        <v>78.400000000000006</v>
      </c>
      <c r="H131">
        <v>71.8</v>
      </c>
      <c r="I131">
        <v>88.2</v>
      </c>
      <c r="J131">
        <v>79.7</v>
      </c>
      <c r="K131">
        <v>64.2</v>
      </c>
      <c r="L131">
        <v>46.8</v>
      </c>
      <c r="M131">
        <v>82.5</v>
      </c>
    </row>
    <row r="132" spans="1:13" x14ac:dyDescent="0.25">
      <c r="A132" t="s">
        <v>409</v>
      </c>
      <c r="B132">
        <v>78.7</v>
      </c>
      <c r="C132">
        <v>81.5</v>
      </c>
      <c r="D132">
        <v>75.400000000000006</v>
      </c>
      <c r="E132">
        <v>72.8</v>
      </c>
      <c r="F132">
        <v>76.400000000000006</v>
      </c>
      <c r="G132">
        <v>65.2</v>
      </c>
      <c r="H132">
        <v>83.5</v>
      </c>
      <c r="I132">
        <v>80</v>
      </c>
      <c r="J132">
        <v>83.5</v>
      </c>
      <c r="K132">
        <v>74.2</v>
      </c>
      <c r="L132">
        <v>71</v>
      </c>
      <c r="M132">
        <v>71.099999999999994</v>
      </c>
    </row>
    <row r="133" spans="1:13" x14ac:dyDescent="0.25">
      <c r="A133" t="s">
        <v>410</v>
      </c>
      <c r="B133">
        <v>90.1</v>
      </c>
      <c r="C133">
        <v>79.8</v>
      </c>
      <c r="D133">
        <v>82.2</v>
      </c>
      <c r="E133">
        <v>76.400000000000006</v>
      </c>
      <c r="F133">
        <v>86.3</v>
      </c>
      <c r="G133">
        <v>80.8</v>
      </c>
      <c r="H133">
        <v>73.7</v>
      </c>
      <c r="I133">
        <v>71.8</v>
      </c>
      <c r="J133">
        <v>64.599999999999994</v>
      </c>
      <c r="K133">
        <v>65.400000000000006</v>
      </c>
      <c r="L133">
        <v>70.400000000000006</v>
      </c>
      <c r="M133">
        <v>71</v>
      </c>
    </row>
    <row r="134" spans="1:13" x14ac:dyDescent="0.25">
      <c r="A134" t="s">
        <v>411</v>
      </c>
      <c r="B134">
        <v>74.900000000000006</v>
      </c>
      <c r="C134">
        <v>61.2</v>
      </c>
      <c r="D134">
        <v>85.4</v>
      </c>
      <c r="E134">
        <v>65.599999999999994</v>
      </c>
      <c r="F134">
        <v>83.9</v>
      </c>
      <c r="G134">
        <v>66.3</v>
      </c>
      <c r="H134">
        <v>82.3</v>
      </c>
      <c r="I134">
        <v>70.8</v>
      </c>
      <c r="J134">
        <v>81.7</v>
      </c>
      <c r="K134">
        <v>70.599999999999994</v>
      </c>
      <c r="L134">
        <v>89.6</v>
      </c>
      <c r="M134">
        <v>90</v>
      </c>
    </row>
    <row r="135" spans="1:13" x14ac:dyDescent="0.25">
      <c r="A135" t="s">
        <v>412</v>
      </c>
      <c r="B135">
        <v>68.7</v>
      </c>
      <c r="C135">
        <v>61.5</v>
      </c>
      <c r="D135">
        <v>64.900000000000006</v>
      </c>
      <c r="E135">
        <v>62.7</v>
      </c>
      <c r="F135">
        <v>70.5</v>
      </c>
      <c r="G135">
        <v>70.099999999999994</v>
      </c>
      <c r="H135">
        <v>79.7</v>
      </c>
      <c r="I135">
        <v>77.5</v>
      </c>
      <c r="J135">
        <v>60.4</v>
      </c>
      <c r="K135">
        <v>68.099999999999994</v>
      </c>
      <c r="L135">
        <v>74.7</v>
      </c>
      <c r="M135">
        <v>66.400000000000006</v>
      </c>
    </row>
    <row r="136" spans="1:13" x14ac:dyDescent="0.25">
      <c r="A136">
        <v>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rankings</vt:lpstr>
      <vt:lpstr>pff grades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McKiernan</dc:creator>
  <cp:lastModifiedBy>Ryan McKiernan</cp:lastModifiedBy>
  <dcterms:created xsi:type="dcterms:W3CDTF">2024-11-13T14:31:47Z</dcterms:created>
  <dcterms:modified xsi:type="dcterms:W3CDTF">2024-11-16T15:38:29Z</dcterms:modified>
</cp:coreProperties>
</file>