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F4B36606-5B2F-4FA7-A8BB-48821AD3466D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Q.1" sheetId="1" r:id="rId1"/>
    <sheet name="Q.2" sheetId="4" r:id="rId2"/>
    <sheet name="Q.3" sheetId="3" r:id="rId3"/>
  </sheets>
  <definedNames>
    <definedName name="solver_adj" localSheetId="0" hidden="1">Q.1!$H$16:$I$16</definedName>
    <definedName name="solver_adj" localSheetId="1" hidden="1">Q.2!$B$13:$G$16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dua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bd" localSheetId="1" hidden="1">2</definedName>
    <definedName name="solver_itr" localSheetId="0" hidden="1">2147483647</definedName>
    <definedName name="solver_itr" localSheetId="1" hidden="1">2147483647</definedName>
    <definedName name="solver_lhs1" localSheetId="1" hidden="1">Q.2!$B$13:$E$16</definedName>
    <definedName name="solver_lhs2" localSheetId="1" hidden="1">Q.2!$B$20:$B$23</definedName>
    <definedName name="solver_lhs3" localSheetId="1" hidden="1">Q.2!$B$26:$E$26</definedName>
    <definedName name="solver_lhs4" localSheetId="1" hidden="1">Q.2!$F$13:$G$16</definedName>
    <definedName name="solver_lin" localSheetId="1" hidden="1">1</definedName>
    <definedName name="solver_lva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fx" localSheetId="1" hidden="1">2</definedName>
    <definedName name="solver_opt" localSheetId="0" hidden="1">Q.1!$L$24</definedName>
    <definedName name="solver_opt" localSheetId="1" hidden="1">Q.2!$B$28</definedName>
    <definedName name="solver_pre" localSheetId="0" hidden="1">0.000001</definedName>
    <definedName name="solver_pre" localSheetId="1" hidden="1">0.000001</definedName>
    <definedName name="solver_pro" localSheetId="1" hidden="1">2</definedName>
    <definedName name="solver_rbv" localSheetId="0" hidden="1">2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2</definedName>
    <definedName name="solver_rel4" localSheetId="1" hidden="1">5</definedName>
    <definedName name="solver_reo" localSheetId="1" hidden="1">2</definedName>
    <definedName name="solver_rep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"binary"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ms" localSheetId="1" hidden="1">2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L13" i="3"/>
  <c r="L14" i="3"/>
  <c r="L15" i="3"/>
  <c r="L16" i="3"/>
  <c r="L17" i="3"/>
  <c r="L18" i="3"/>
  <c r="L19" i="3"/>
  <c r="L11" i="3"/>
  <c r="K12" i="3"/>
  <c r="K13" i="3"/>
  <c r="K14" i="3"/>
  <c r="K15" i="3"/>
  <c r="K16" i="3"/>
  <c r="K17" i="3"/>
  <c r="K18" i="3"/>
  <c r="K19" i="3"/>
  <c r="K11" i="3"/>
  <c r="H14" i="4"/>
  <c r="H15" i="4"/>
  <c r="H16" i="4"/>
  <c r="H13" i="4"/>
  <c r="B20" i="4" l="1"/>
  <c r="B21" i="4"/>
  <c r="B22" i="4"/>
  <c r="B23" i="4"/>
  <c r="B26" i="4"/>
  <c r="C26" i="4"/>
  <c r="D26" i="4"/>
  <c r="E26" i="4"/>
  <c r="E29" i="4"/>
  <c r="D29" i="4" l="1"/>
  <c r="F29" i="4" s="1"/>
  <c r="B28" i="4"/>
  <c r="B27" i="3"/>
  <c r="E24" i="3"/>
  <c r="D19" i="3"/>
  <c r="F19" i="3" s="1"/>
  <c r="H19" i="3" s="1"/>
  <c r="C19" i="3"/>
  <c r="E19" i="3" s="1"/>
  <c r="G19" i="3" s="1"/>
  <c r="D18" i="3"/>
  <c r="F18" i="3" s="1"/>
  <c r="H18" i="3" s="1"/>
  <c r="C18" i="3"/>
  <c r="E18" i="3" s="1"/>
  <c r="G18" i="3" s="1"/>
  <c r="D17" i="3"/>
  <c r="F17" i="3" s="1"/>
  <c r="H17" i="3" s="1"/>
  <c r="C17" i="3"/>
  <c r="E17" i="3" s="1"/>
  <c r="G17" i="3" s="1"/>
  <c r="D16" i="3"/>
  <c r="F16" i="3" s="1"/>
  <c r="H16" i="3" s="1"/>
  <c r="C16" i="3"/>
  <c r="E16" i="3" s="1"/>
  <c r="G16" i="3" s="1"/>
  <c r="D15" i="3"/>
  <c r="F15" i="3" s="1"/>
  <c r="H15" i="3" s="1"/>
  <c r="C15" i="3"/>
  <c r="E15" i="3" s="1"/>
  <c r="G15" i="3" s="1"/>
  <c r="D14" i="3"/>
  <c r="F14" i="3" s="1"/>
  <c r="H14" i="3" s="1"/>
  <c r="C14" i="3"/>
  <c r="E14" i="3" s="1"/>
  <c r="G14" i="3" s="1"/>
  <c r="D13" i="3"/>
  <c r="F13" i="3" s="1"/>
  <c r="H13" i="3" s="1"/>
  <c r="C13" i="3"/>
  <c r="E13" i="3" s="1"/>
  <c r="G13" i="3" s="1"/>
  <c r="D12" i="3"/>
  <c r="F12" i="3" s="1"/>
  <c r="H12" i="3" s="1"/>
  <c r="C12" i="3"/>
  <c r="E12" i="3" s="1"/>
  <c r="G12" i="3" s="1"/>
  <c r="D11" i="3"/>
  <c r="F11" i="3" s="1"/>
  <c r="H11" i="3" s="1"/>
  <c r="C11" i="3"/>
  <c r="E11" i="3" s="1"/>
  <c r="G11" i="3" s="1"/>
  <c r="K17" i="1"/>
  <c r="K18" i="1"/>
  <c r="K20" i="1"/>
  <c r="K21" i="1"/>
  <c r="K22" i="1"/>
  <c r="K23" i="1"/>
  <c r="K16" i="1"/>
  <c r="F23" i="1"/>
  <c r="F22" i="1"/>
  <c r="F21" i="1"/>
  <c r="F20" i="1"/>
  <c r="F18" i="1"/>
  <c r="F17" i="1"/>
  <c r="F16" i="1"/>
  <c r="H3" i="1"/>
  <c r="F4" i="1"/>
  <c r="F5" i="1"/>
  <c r="F6" i="1"/>
  <c r="F8" i="1"/>
  <c r="F9" i="1"/>
  <c r="F10" i="1"/>
  <c r="F11" i="1"/>
  <c r="L21" i="1" l="1"/>
  <c r="I18" i="3"/>
  <c r="I13" i="3"/>
  <c r="I15" i="3"/>
  <c r="I12" i="3"/>
  <c r="I16" i="3"/>
  <c r="I11" i="3"/>
  <c r="I17" i="3"/>
  <c r="I19" i="3"/>
  <c r="I14" i="3"/>
  <c r="J11" i="3"/>
  <c r="J12" i="3"/>
  <c r="J15" i="3"/>
  <c r="J16" i="3"/>
  <c r="J19" i="3"/>
  <c r="J13" i="3"/>
  <c r="J14" i="3"/>
  <c r="J17" i="3"/>
  <c r="J18" i="3"/>
  <c r="L17" i="1"/>
  <c r="I3" i="1"/>
  <c r="K9" i="1" s="1"/>
  <c r="L16" i="1"/>
  <c r="L23" i="1"/>
  <c r="L18" i="1"/>
  <c r="L20" i="1"/>
  <c r="L22" i="1"/>
  <c r="K10" i="1" l="1"/>
  <c r="K4" i="1"/>
  <c r="K11" i="1"/>
  <c r="L11" i="1" s="1"/>
  <c r="K20" i="3"/>
  <c r="E25" i="3" s="1"/>
  <c r="E27" i="3" s="1"/>
  <c r="E29" i="3" s="1"/>
  <c r="L20" i="3"/>
  <c r="K8" i="1"/>
  <c r="K5" i="1"/>
  <c r="L5" i="1" s="1"/>
  <c r="K6" i="1"/>
  <c r="L24" i="1"/>
  <c r="L4" i="1"/>
  <c r="L10" i="1"/>
  <c r="L8" i="1"/>
  <c r="L9" i="1"/>
  <c r="E26" i="3" l="1"/>
  <c r="E28" i="3" s="1"/>
  <c r="E30" i="3" s="1"/>
  <c r="L6" i="1"/>
  <c r="L12" i="1" s="1"/>
</calcChain>
</file>

<file path=xl/sharedStrings.xml><?xml version="1.0" encoding="utf-8"?>
<sst xmlns="http://schemas.openxmlformats.org/spreadsheetml/2006/main" count="128" uniqueCount="85">
  <si>
    <t>Point</t>
  </si>
  <si>
    <t>Xi</t>
  </si>
  <si>
    <t>Yi</t>
  </si>
  <si>
    <t>Vi</t>
  </si>
  <si>
    <t>Ri</t>
  </si>
  <si>
    <t>Xbar</t>
  </si>
  <si>
    <t>Ybar</t>
  </si>
  <si>
    <t>Cost</t>
  </si>
  <si>
    <t>Distances</t>
  </si>
  <si>
    <t>ViRi</t>
  </si>
  <si>
    <t>North Haverbrook</t>
  </si>
  <si>
    <t>Ogden</t>
  </si>
  <si>
    <t>Springfield</t>
  </si>
  <si>
    <t>Seattle</t>
  </si>
  <si>
    <t>Lubbock</t>
  </si>
  <si>
    <t>Nashville</t>
  </si>
  <si>
    <t>Philadelphia</t>
  </si>
  <si>
    <t>Market</t>
  </si>
  <si>
    <t>Supply</t>
  </si>
  <si>
    <t>Manual Solution</t>
  </si>
  <si>
    <t xml:space="preserve">Solver </t>
  </si>
  <si>
    <t>Cluster</t>
  </si>
  <si>
    <t>A</t>
  </si>
  <si>
    <t>B</t>
  </si>
  <si>
    <t>Ta2</t>
  </si>
  <si>
    <t>Tb2</t>
  </si>
  <si>
    <t>S/Ta2</t>
  </si>
  <si>
    <t>S/Tb2</t>
  </si>
  <si>
    <t>Pa</t>
  </si>
  <si>
    <t>Pb</t>
  </si>
  <si>
    <t>Total customer</t>
  </si>
  <si>
    <t>Ea</t>
  </si>
  <si>
    <t>Eb</t>
  </si>
  <si>
    <t>Operating expenses</t>
  </si>
  <si>
    <t>Revenue A</t>
  </si>
  <si>
    <t>Land</t>
  </si>
  <si>
    <t>Revenue B</t>
  </si>
  <si>
    <t>Total Investment</t>
  </si>
  <si>
    <t>Net Profit A</t>
  </si>
  <si>
    <t>Net Profit B</t>
  </si>
  <si>
    <t>Payback Ratio A</t>
  </si>
  <si>
    <t>Payback Ratio B</t>
  </si>
  <si>
    <t>Operating Expenses for 1 year</t>
  </si>
  <si>
    <t>Cost =</t>
  </si>
  <si>
    <t>Total</t>
  </si>
  <si>
    <t>Variable</t>
  </si>
  <si>
    <t>Fixed</t>
  </si>
  <si>
    <t>Objective Function</t>
  </si>
  <si>
    <t>Unmet Demand</t>
  </si>
  <si>
    <t>Markets</t>
  </si>
  <si>
    <t>Excess Capacity</t>
  </si>
  <si>
    <t>Supply Region</t>
  </si>
  <si>
    <t>Constraints</t>
  </si>
  <si>
    <t>Plants</t>
  </si>
  <si>
    <t>(1=open)</t>
  </si>
  <si>
    <t>Large Plants</t>
  </si>
  <si>
    <t>Small Plants</t>
  </si>
  <si>
    <t>Demand Region - Production Allocation (1000 Units)</t>
  </si>
  <si>
    <t>Solution</t>
  </si>
  <si>
    <t>Decision Variables</t>
  </si>
  <si>
    <t>Demand</t>
  </si>
  <si>
    <t>Capacity</t>
  </si>
  <si>
    <t>Cost ($)</t>
  </si>
  <si>
    <t>High</t>
  </si>
  <si>
    <t xml:space="preserve">Fixed </t>
  </si>
  <si>
    <t>Low</t>
  </si>
  <si>
    <t>Demand Region
Production and Transportation Cost per 1,000,000 Units</t>
  </si>
  <si>
    <t xml:space="preserve">Inputs - Costs, Capacities, Demands </t>
  </si>
  <si>
    <t>New York</t>
  </si>
  <si>
    <t>Atlanta</t>
  </si>
  <si>
    <t>Chicago</t>
  </si>
  <si>
    <t>San Diago</t>
  </si>
  <si>
    <t>Distance from A</t>
  </si>
  <si>
    <t>Distance from B</t>
  </si>
  <si>
    <t>X</t>
  </si>
  <si>
    <t>Y</t>
  </si>
  <si>
    <t>Branch/Coordinates</t>
  </si>
  <si>
    <t>Revenue per customer(Avg)</t>
  </si>
  <si>
    <t>Facility(for 20 years)</t>
  </si>
  <si>
    <t>Total Cost</t>
  </si>
  <si>
    <t>Total_Revenue</t>
  </si>
  <si>
    <t>East</t>
  </si>
  <si>
    <t>South</t>
  </si>
  <si>
    <t>Midwest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</si>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</sst>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_(* #,##0_);_(* \(#,##0\);_(* &quot;-&quot;??_);_(@_)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rgb="FFFF000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color rgb="FFFFC000"/>
      <name val="Arial"/>
      <family val="2"/>
    </font>
    <font>
      <b/>
      <i/>
      <sz val="10"/>
      <color rgb="FF7030A0"/>
      <name val="Arial"/>
      <family val="2"/>
    </font>
    <font>
      <b/>
      <i/>
      <sz val="10"/>
      <color rgb="FFFF3399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theme="9" tint="-0.249977111117893"/>
      <name val="Arial"/>
      <family val="2"/>
    </font>
    <font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44" fontId="0" fillId="0" borderId="1" xfId="1" applyFont="1" applyBorder="1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3" fillId="0" borderId="0" xfId="2"/>
    <xf numFmtId="167" fontId="0" fillId="0" borderId="2" xfId="3" applyNumberFormat="1" applyFont="1" applyBorder="1"/>
    <xf numFmtId="0" fontId="4" fillId="0" borderId="3" xfId="2" applyFont="1" applyBorder="1"/>
    <xf numFmtId="0" fontId="5" fillId="0" borderId="0" xfId="2" applyFont="1"/>
    <xf numFmtId="0" fontId="6" fillId="0" borderId="0" xfId="2" applyFont="1"/>
    <xf numFmtId="0" fontId="7" fillId="0" borderId="5" xfId="2" applyFont="1" applyBorder="1"/>
    <xf numFmtId="0" fontId="9" fillId="0" borderId="6" xfId="2" applyFont="1" applyBorder="1"/>
    <xf numFmtId="0" fontId="5" fillId="0" borderId="4" xfId="2" applyFont="1" applyBorder="1"/>
    <xf numFmtId="0" fontId="6" fillId="0" borderId="7" xfId="2" applyFont="1" applyBorder="1" applyAlignment="1">
      <alignment horizontal="right"/>
    </xf>
    <xf numFmtId="0" fontId="6" fillId="0" borderId="8" xfId="2" applyFont="1" applyBorder="1" applyAlignment="1">
      <alignment horizontal="right"/>
    </xf>
    <xf numFmtId="0" fontId="6" fillId="0" borderId="10" xfId="2" applyFont="1" applyBorder="1" applyAlignment="1">
      <alignment horizontal="right"/>
    </xf>
    <xf numFmtId="0" fontId="6" fillId="0" borderId="11" xfId="2" applyFont="1" applyBorder="1" applyAlignment="1">
      <alignment horizontal="right"/>
    </xf>
    <xf numFmtId="0" fontId="3" fillId="0" borderId="8" xfId="2" applyBorder="1"/>
    <xf numFmtId="0" fontId="10" fillId="0" borderId="1" xfId="2" applyFont="1" applyBorder="1"/>
    <xf numFmtId="0" fontId="3" fillId="0" borderId="1" xfId="2" applyBorder="1" applyAlignment="1">
      <alignment horizontal="right" wrapText="1"/>
    </xf>
    <xf numFmtId="0" fontId="3" fillId="0" borderId="1" xfId="2" applyBorder="1"/>
    <xf numFmtId="0" fontId="7" fillId="0" borderId="1" xfId="2" applyFont="1" applyBorder="1"/>
    <xf numFmtId="0" fontId="3" fillId="0" borderId="1" xfId="2" applyBorder="1" applyAlignment="1">
      <alignment horizontal="right"/>
    </xf>
    <xf numFmtId="1" fontId="3" fillId="0" borderId="1" xfId="2" applyNumberFormat="1" applyBorder="1"/>
    <xf numFmtId="0" fontId="6" fillId="0" borderId="1" xfId="2" applyFont="1" applyBorder="1" applyAlignment="1">
      <alignment horizontal="right"/>
    </xf>
    <xf numFmtId="166" fontId="14" fillId="0" borderId="1" xfId="4" applyNumberFormat="1" applyFont="1" applyBorder="1"/>
    <xf numFmtId="166" fontId="13" fillId="0" borderId="1" xfId="4" applyNumberFormat="1" applyFont="1" applyBorder="1"/>
    <xf numFmtId="166" fontId="12" fillId="0" borderId="1" xfId="4" applyNumberFormat="1" applyFont="1" applyBorder="1"/>
    <xf numFmtId="0" fontId="11" fillId="0" borderId="1" xfId="2" applyFont="1" applyBorder="1"/>
    <xf numFmtId="0" fontId="8" fillId="0" borderId="1" xfId="2" applyFont="1" applyBorder="1"/>
    <xf numFmtId="0" fontId="3" fillId="0" borderId="12" xfId="2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44" fontId="0" fillId="5" borderId="1" xfId="1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44" fontId="0" fillId="5" borderId="1" xfId="0" applyNumberFormat="1" applyFill="1" applyBorder="1"/>
    <xf numFmtId="0" fontId="0" fillId="5" borderId="1" xfId="0" applyFill="1" applyBorder="1"/>
    <xf numFmtId="44" fontId="0" fillId="4" borderId="1" xfId="1" applyFont="1" applyFill="1" applyBorder="1"/>
    <xf numFmtId="0" fontId="6" fillId="0" borderId="1" xfId="2" applyFont="1" applyBorder="1"/>
    <xf numFmtId="0" fontId="5" fillId="0" borderId="1" xfId="2" applyFont="1" applyBorder="1"/>
    <xf numFmtId="166" fontId="3" fillId="0" borderId="1" xfId="2" applyNumberFormat="1" applyBorder="1"/>
    <xf numFmtId="0" fontId="1" fillId="0" borderId="1" xfId="0" applyFont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0" fontId="0" fillId="0" borderId="13" xfId="0" applyBorder="1"/>
    <xf numFmtId="165" fontId="0" fillId="2" borderId="13" xfId="0" applyNumberFormat="1" applyFill="1" applyBorder="1"/>
    <xf numFmtId="165" fontId="0" fillId="2" borderId="0" xfId="0" applyNumberFormat="1" applyFill="1"/>
    <xf numFmtId="0" fontId="7" fillId="0" borderId="10" xfId="2" applyFont="1" applyBorder="1" applyAlignment="1">
      <alignment horizontal="center" wrapText="1"/>
    </xf>
    <xf numFmtId="0" fontId="7" fillId="0" borderId="9" xfId="2" applyFont="1" applyBorder="1" applyAlignment="1">
      <alignment horizontal="center" wrapText="1"/>
    </xf>
    <xf numFmtId="0" fontId="7" fillId="0" borderId="1" xfId="2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5">
    <cellStyle name="Comma 2" xfId="4" xr:uid="{C1B47E9C-AAD6-4905-BDA9-827D3BEFBC64}"/>
    <cellStyle name="Currency" xfId="1" builtinId="4"/>
    <cellStyle name="Currency 2" xfId="3" xr:uid="{35FE2F99-F66D-4479-B142-2661CD36D3E3}"/>
    <cellStyle name="Normal" xfId="0" builtinId="0"/>
    <cellStyle name="Normal 2" xfId="2" xr:uid="{7A7F903A-5376-45A7-BAFB-EBCFCFB904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Normal="100" workbookViewId="0">
      <selection activeCell="H11" sqref="H11"/>
    </sheetView>
  </sheetViews>
  <sheetFormatPr defaultRowHeight="15" x14ac:dyDescent="0.25"/>
  <cols>
    <col min="1" max="1" width="15.42578125" customWidth="1"/>
    <col min="11" max="11" width="10.42578125" customWidth="1"/>
    <col min="12" max="12" width="12.5703125" customWidth="1"/>
    <col min="13" max="13" width="13.140625" customWidth="1"/>
  </cols>
  <sheetData>
    <row r="1" spans="1:12" x14ac:dyDescent="0.25">
      <c r="A1" s="1" t="s">
        <v>19</v>
      </c>
    </row>
    <row r="2" spans="1:12" x14ac:dyDescent="0.25">
      <c r="A2" s="47" t="s">
        <v>0</v>
      </c>
      <c r="B2" s="47" t="s">
        <v>1</v>
      </c>
      <c r="C2" s="47" t="s">
        <v>2</v>
      </c>
      <c r="D2" s="47" t="s">
        <v>3</v>
      </c>
      <c r="E2" s="47" t="s">
        <v>4</v>
      </c>
      <c r="F2" s="47" t="s">
        <v>9</v>
      </c>
      <c r="G2" s="1"/>
      <c r="H2" s="47" t="s">
        <v>5</v>
      </c>
      <c r="I2" s="47" t="s">
        <v>6</v>
      </c>
      <c r="K2" s="47" t="s">
        <v>8</v>
      </c>
      <c r="L2" s="47" t="s">
        <v>7</v>
      </c>
    </row>
    <row r="3" spans="1:12" x14ac:dyDescent="0.25">
      <c r="A3" s="47" t="s">
        <v>17</v>
      </c>
      <c r="B3" s="47"/>
      <c r="C3" s="47"/>
      <c r="D3" s="47"/>
      <c r="E3" s="47"/>
      <c r="F3" s="47"/>
      <c r="G3" s="1"/>
      <c r="H3" s="48">
        <f>SUMPRODUCT(B4:B11, D4:D11, E4:E11)/SUMPRODUCT(D4:D11,E4:E11)</f>
        <v>571.57996146435448</v>
      </c>
      <c r="I3" s="48">
        <f>SUMPRODUCT(C4:C11, E4:E11, F4:F11)/SUMPRODUCT(E4:E11,F4:F11)</f>
        <v>766.67813192692813</v>
      </c>
      <c r="K3" s="1"/>
      <c r="L3" s="1"/>
    </row>
    <row r="4" spans="1:12" x14ac:dyDescent="0.25">
      <c r="A4" s="2" t="s">
        <v>10</v>
      </c>
      <c r="B4" s="2">
        <v>700</v>
      </c>
      <c r="C4" s="2">
        <v>1200</v>
      </c>
      <c r="D4" s="2">
        <v>650</v>
      </c>
      <c r="E4" s="2">
        <v>1.1000000000000001</v>
      </c>
      <c r="F4" s="2">
        <f>D4*E4</f>
        <v>715.00000000000011</v>
      </c>
      <c r="K4" s="2">
        <f>SQRT(($B4-$H$3)^2+($C4-$I$3)^2)</f>
        <v>451.95082436901629</v>
      </c>
      <c r="L4" s="49">
        <f>K4*F4</f>
        <v>323144.83942384669</v>
      </c>
    </row>
    <row r="5" spans="1:12" x14ac:dyDescent="0.25">
      <c r="A5" s="2" t="s">
        <v>11</v>
      </c>
      <c r="B5" s="2">
        <v>250</v>
      </c>
      <c r="C5" s="2">
        <v>600</v>
      </c>
      <c r="D5" s="2">
        <v>450</v>
      </c>
      <c r="E5" s="2">
        <v>1.2</v>
      </c>
      <c r="F5" s="2">
        <f t="shared" ref="F5:F11" si="0">D5*E5</f>
        <v>540</v>
      </c>
      <c r="K5" s="2">
        <f>SQRT(($B5-$H$3)^2+($C5-$I$3)^2)</f>
        <v>362.20887796693523</v>
      </c>
      <c r="L5" s="49">
        <f t="shared" ref="L5:L11" si="1">K5*F5</f>
        <v>195592.79410214504</v>
      </c>
    </row>
    <row r="6" spans="1:12" x14ac:dyDescent="0.25">
      <c r="A6" s="2" t="s">
        <v>12</v>
      </c>
      <c r="B6" s="2">
        <v>225</v>
      </c>
      <c r="C6" s="2">
        <v>825</v>
      </c>
      <c r="D6" s="2">
        <v>400</v>
      </c>
      <c r="E6" s="2">
        <v>1.4</v>
      </c>
      <c r="F6" s="2">
        <f t="shared" si="0"/>
        <v>560</v>
      </c>
      <c r="K6" s="2">
        <f>SQRT(($B6-$H$3)^2+($C6-$I$3)^2)</f>
        <v>351.45285599090846</v>
      </c>
      <c r="L6" s="49">
        <f t="shared" si="1"/>
        <v>196813.59935490874</v>
      </c>
    </row>
    <row r="7" spans="1:12" x14ac:dyDescent="0.25">
      <c r="A7" s="47" t="s">
        <v>18</v>
      </c>
      <c r="B7" s="2"/>
      <c r="C7" s="2"/>
      <c r="D7" s="2"/>
      <c r="E7" s="2"/>
      <c r="F7" s="2"/>
      <c r="L7" s="53"/>
    </row>
    <row r="8" spans="1:12" x14ac:dyDescent="0.25">
      <c r="A8" s="2" t="s">
        <v>13</v>
      </c>
      <c r="B8" s="2">
        <v>50</v>
      </c>
      <c r="C8" s="2">
        <v>1200</v>
      </c>
      <c r="D8" s="2">
        <v>300</v>
      </c>
      <c r="E8" s="2">
        <v>2.25</v>
      </c>
      <c r="F8" s="2">
        <f t="shared" si="0"/>
        <v>675</v>
      </c>
      <c r="K8" s="2">
        <f>SQRT(($B8-$H$3)^2+($C8-$I$3)^2)</f>
        <v>678.09549294438921</v>
      </c>
      <c r="L8" s="49">
        <f t="shared" si="1"/>
        <v>457714.45773746271</v>
      </c>
    </row>
    <row r="9" spans="1:12" x14ac:dyDescent="0.25">
      <c r="A9" s="2" t="s">
        <v>14</v>
      </c>
      <c r="B9" s="2">
        <v>450</v>
      </c>
      <c r="C9" s="2">
        <v>300</v>
      </c>
      <c r="D9" s="2">
        <v>200</v>
      </c>
      <c r="E9" s="2">
        <v>2.25</v>
      </c>
      <c r="F9" s="2">
        <f t="shared" si="0"/>
        <v>450</v>
      </c>
      <c r="K9" s="2">
        <f>SQRT(($B9-$H$3)^2+($C9-$I$3)^2)</f>
        <v>482.25529115654217</v>
      </c>
      <c r="L9" s="49">
        <f t="shared" si="1"/>
        <v>217014.88102044398</v>
      </c>
    </row>
    <row r="10" spans="1:12" x14ac:dyDescent="0.25">
      <c r="A10" s="2" t="s">
        <v>15</v>
      </c>
      <c r="B10" s="2">
        <v>800</v>
      </c>
      <c r="C10" s="2">
        <v>250</v>
      </c>
      <c r="D10" s="2">
        <v>500</v>
      </c>
      <c r="E10" s="2">
        <v>2.25</v>
      </c>
      <c r="F10" s="2">
        <f t="shared" si="0"/>
        <v>1125</v>
      </c>
      <c r="K10" s="2">
        <f>SQRT(($B10-$H$3)^2+($C10-$I$3)^2)</f>
        <v>564.91769844476107</v>
      </c>
      <c r="L10" s="49">
        <f t="shared" si="1"/>
        <v>635532.41075035615</v>
      </c>
    </row>
    <row r="11" spans="1:12" x14ac:dyDescent="0.25">
      <c r="A11" s="2" t="s">
        <v>16</v>
      </c>
      <c r="B11" s="2">
        <v>950</v>
      </c>
      <c r="C11" s="2">
        <v>1100</v>
      </c>
      <c r="D11" s="2">
        <v>500</v>
      </c>
      <c r="E11" s="2">
        <v>2.25</v>
      </c>
      <c r="F11" s="2">
        <f t="shared" si="0"/>
        <v>1125</v>
      </c>
      <c r="K11" s="2">
        <f>SQRT(($B11-$H$3)^2+($C11-$I$3)^2)</f>
        <v>504.28681650529177</v>
      </c>
      <c r="L11" s="49">
        <f t="shared" si="1"/>
        <v>567322.66856845329</v>
      </c>
    </row>
    <row r="12" spans="1:12" x14ac:dyDescent="0.25">
      <c r="K12" s="2" t="s">
        <v>79</v>
      </c>
      <c r="L12" s="50">
        <f>SUM(L4:L11)</f>
        <v>2593135.6509576165</v>
      </c>
    </row>
    <row r="13" spans="1:12" x14ac:dyDescent="0.25">
      <c r="A13" s="1" t="s">
        <v>20</v>
      </c>
    </row>
    <row r="14" spans="1:12" x14ac:dyDescent="0.25">
      <c r="A14" s="47" t="s">
        <v>0</v>
      </c>
      <c r="B14" s="47" t="s">
        <v>1</v>
      </c>
      <c r="C14" s="47" t="s">
        <v>2</v>
      </c>
      <c r="D14" s="47" t="s">
        <v>3</v>
      </c>
      <c r="E14" s="47" t="s">
        <v>4</v>
      </c>
      <c r="F14" s="47" t="s">
        <v>9</v>
      </c>
      <c r="G14" s="1"/>
      <c r="H14" s="47" t="s">
        <v>5</v>
      </c>
      <c r="I14" s="47" t="s">
        <v>6</v>
      </c>
      <c r="K14" s="47" t="s">
        <v>8</v>
      </c>
      <c r="L14" s="47" t="s">
        <v>7</v>
      </c>
    </row>
    <row r="15" spans="1:12" x14ac:dyDescent="0.25">
      <c r="A15" s="47" t="s">
        <v>17</v>
      </c>
      <c r="B15" s="47"/>
      <c r="C15" s="47"/>
      <c r="D15" s="47"/>
      <c r="E15" s="47"/>
      <c r="F15" s="47"/>
      <c r="G15" s="1"/>
      <c r="H15" s="47"/>
      <c r="I15" s="47"/>
      <c r="K15" s="1"/>
      <c r="L15" s="1"/>
    </row>
    <row r="16" spans="1:12" x14ac:dyDescent="0.25">
      <c r="A16" s="2" t="s">
        <v>10</v>
      </c>
      <c r="B16" s="2">
        <v>700</v>
      </c>
      <c r="C16" s="2">
        <v>1200</v>
      </c>
      <c r="D16" s="2">
        <v>650</v>
      </c>
      <c r="E16" s="2">
        <v>1.1000000000000001</v>
      </c>
      <c r="F16" s="2">
        <f>D16*E16</f>
        <v>715.00000000000011</v>
      </c>
      <c r="H16" s="48">
        <v>550.61496811847769</v>
      </c>
      <c r="I16" s="48">
        <v>808.31146535399864</v>
      </c>
      <c r="K16" s="2">
        <f>SQRT(($B16-$H$16)^2+($C16-$I$16)^2)</f>
        <v>419.20853512705975</v>
      </c>
      <c r="L16" s="49">
        <f>K16*F16</f>
        <v>299734.10261584778</v>
      </c>
    </row>
    <row r="17" spans="1:12" x14ac:dyDescent="0.25">
      <c r="A17" s="2" t="s">
        <v>11</v>
      </c>
      <c r="B17" s="2">
        <v>250</v>
      </c>
      <c r="C17" s="2">
        <v>600</v>
      </c>
      <c r="D17" s="2">
        <v>450</v>
      </c>
      <c r="E17" s="2">
        <v>1.2</v>
      </c>
      <c r="F17" s="2">
        <f t="shared" ref="F17:F23" si="2">D17*E17</f>
        <v>540</v>
      </c>
      <c r="K17" s="2">
        <f t="shared" ref="K17:K23" si="3">SQRT(($B17-$H$16)^2+($C17-$I$16)^2)</f>
        <v>365.73627883326469</v>
      </c>
      <c r="L17" s="49">
        <f t="shared" ref="L17:L23" si="4">K17*F17</f>
        <v>197497.59056996292</v>
      </c>
    </row>
    <row r="18" spans="1:12" x14ac:dyDescent="0.25">
      <c r="A18" s="2" t="s">
        <v>12</v>
      </c>
      <c r="B18" s="2">
        <v>225</v>
      </c>
      <c r="C18" s="2">
        <v>825</v>
      </c>
      <c r="D18" s="2">
        <v>400</v>
      </c>
      <c r="E18" s="2">
        <v>1.4</v>
      </c>
      <c r="F18" s="2">
        <f t="shared" si="2"/>
        <v>560</v>
      </c>
      <c r="K18" s="51">
        <f t="shared" si="3"/>
        <v>326.04235100892646</v>
      </c>
      <c r="L18" s="52">
        <f t="shared" si="4"/>
        <v>182583.71656499882</v>
      </c>
    </row>
    <row r="19" spans="1:12" x14ac:dyDescent="0.25">
      <c r="A19" s="47" t="s">
        <v>18</v>
      </c>
      <c r="B19" s="2"/>
      <c r="C19" s="2"/>
      <c r="D19" s="2"/>
      <c r="E19" s="2"/>
      <c r="F19" s="2"/>
      <c r="L19" s="53"/>
    </row>
    <row r="20" spans="1:12" x14ac:dyDescent="0.25">
      <c r="A20" s="2" t="s">
        <v>13</v>
      </c>
      <c r="B20" s="2">
        <v>50</v>
      </c>
      <c r="C20" s="2">
        <v>1200</v>
      </c>
      <c r="D20" s="2">
        <v>300</v>
      </c>
      <c r="E20" s="2">
        <v>2.25</v>
      </c>
      <c r="F20" s="2">
        <f t="shared" si="2"/>
        <v>675</v>
      </c>
      <c r="K20" s="2">
        <f t="shared" si="3"/>
        <v>635.6376754703864</v>
      </c>
      <c r="L20" s="49">
        <f t="shared" si="4"/>
        <v>429055.43094251084</v>
      </c>
    </row>
    <row r="21" spans="1:12" x14ac:dyDescent="0.25">
      <c r="A21" s="2" t="s">
        <v>14</v>
      </c>
      <c r="B21" s="2">
        <v>450</v>
      </c>
      <c r="C21" s="2">
        <v>300</v>
      </c>
      <c r="D21" s="2">
        <v>200</v>
      </c>
      <c r="E21" s="2">
        <v>2.25</v>
      </c>
      <c r="F21" s="2">
        <f t="shared" si="2"/>
        <v>450</v>
      </c>
      <c r="K21" s="2">
        <f t="shared" si="3"/>
        <v>518.17363655420718</v>
      </c>
      <c r="L21" s="49">
        <f t="shared" si="4"/>
        <v>233178.13644939323</v>
      </c>
    </row>
    <row r="22" spans="1:12" x14ac:dyDescent="0.25">
      <c r="A22" s="2" t="s">
        <v>15</v>
      </c>
      <c r="B22" s="2">
        <v>800</v>
      </c>
      <c r="C22" s="2">
        <v>250</v>
      </c>
      <c r="D22" s="2">
        <v>500</v>
      </c>
      <c r="E22" s="2">
        <v>2.25</v>
      </c>
      <c r="F22" s="2">
        <f t="shared" si="2"/>
        <v>1125</v>
      </c>
      <c r="K22" s="2">
        <f t="shared" si="3"/>
        <v>611.4773801803932</v>
      </c>
      <c r="L22" s="49">
        <f t="shared" si="4"/>
        <v>687912.0527029424</v>
      </c>
    </row>
    <row r="23" spans="1:12" x14ac:dyDescent="0.25">
      <c r="A23" s="2" t="s">
        <v>16</v>
      </c>
      <c r="B23" s="2">
        <v>950</v>
      </c>
      <c r="C23" s="2">
        <v>1100</v>
      </c>
      <c r="D23" s="2">
        <v>500</v>
      </c>
      <c r="E23" s="2">
        <v>2.25</v>
      </c>
      <c r="F23" s="2">
        <f t="shared" si="2"/>
        <v>1125</v>
      </c>
      <c r="K23" s="2">
        <f t="shared" si="3"/>
        <v>494.56102245823627</v>
      </c>
      <c r="L23" s="49">
        <f t="shared" si="4"/>
        <v>556381.15026551578</v>
      </c>
    </row>
    <row r="24" spans="1:12" x14ac:dyDescent="0.25">
      <c r="K24" s="2" t="s">
        <v>79</v>
      </c>
      <c r="L24" s="50">
        <f>SUM(L16:L23)</f>
        <v>2586342.1801111717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DFF1-28B1-4501-8E62-E57D30998ED7}">
  <dimension ref="A1:I29"/>
  <sheetViews>
    <sheetView zoomScale="115" zoomScaleNormal="115" workbookViewId="0">
      <selection activeCell="G24" sqref="G24"/>
    </sheetView>
  </sheetViews>
  <sheetFormatPr defaultColWidth="8.7109375" defaultRowHeight="12.75" x14ac:dyDescent="0.2"/>
  <cols>
    <col min="1" max="1" width="13.85546875" style="7" customWidth="1"/>
    <col min="2" max="2" width="15.28515625" style="7" customWidth="1"/>
    <col min="3" max="3" width="10" style="7" customWidth="1"/>
    <col min="4" max="4" width="12.140625" style="7" customWidth="1"/>
    <col min="5" max="5" width="13.7109375" style="7" customWidth="1"/>
    <col min="6" max="6" width="13.85546875" style="7" customWidth="1"/>
    <col min="7" max="7" width="7.7109375" style="7" customWidth="1"/>
    <col min="8" max="8" width="11.85546875" style="7" customWidth="1"/>
    <col min="9" max="9" width="7.28515625" style="7" customWidth="1"/>
    <col min="10" max="16384" width="8.7109375" style="7"/>
  </cols>
  <sheetData>
    <row r="1" spans="1:9" ht="13.5" thickBot="1" x14ac:dyDescent="0.25">
      <c r="A1" s="10" t="s">
        <v>67</v>
      </c>
    </row>
    <row r="2" spans="1:9" ht="24.75" customHeight="1" x14ac:dyDescent="0.2">
      <c r="A2" s="19"/>
      <c r="B2" s="54" t="s">
        <v>66</v>
      </c>
      <c r="C2" s="55"/>
      <c r="D2" s="55"/>
      <c r="E2" s="55"/>
      <c r="F2" s="18" t="s">
        <v>64</v>
      </c>
      <c r="G2" s="17" t="s">
        <v>65</v>
      </c>
      <c r="H2" s="16" t="s">
        <v>64</v>
      </c>
      <c r="I2" s="15" t="s">
        <v>63</v>
      </c>
    </row>
    <row r="3" spans="1:9" x14ac:dyDescent="0.2">
      <c r="A3" s="23" t="s">
        <v>51</v>
      </c>
      <c r="B3" s="22" t="s">
        <v>81</v>
      </c>
      <c r="C3" s="22" t="s">
        <v>82</v>
      </c>
      <c r="D3" s="22" t="s">
        <v>83</v>
      </c>
      <c r="E3" s="22" t="s">
        <v>84</v>
      </c>
      <c r="F3" s="26" t="s">
        <v>62</v>
      </c>
      <c r="G3" s="26" t="s">
        <v>61</v>
      </c>
      <c r="H3" s="26" t="s">
        <v>62</v>
      </c>
      <c r="I3" s="26" t="s">
        <v>61</v>
      </c>
    </row>
    <row r="4" spans="1:9" x14ac:dyDescent="0.2">
      <c r="A4" s="22" t="s">
        <v>68</v>
      </c>
      <c r="B4" s="27">
        <v>211</v>
      </c>
      <c r="C4" s="27">
        <v>232</v>
      </c>
      <c r="D4" s="27">
        <v>240</v>
      </c>
      <c r="E4" s="27">
        <v>300</v>
      </c>
      <c r="F4" s="28">
        <v>6000000</v>
      </c>
      <c r="G4" s="22">
        <v>200000</v>
      </c>
      <c r="H4" s="29">
        <v>10000000</v>
      </c>
      <c r="I4" s="22">
        <v>400000</v>
      </c>
    </row>
    <row r="5" spans="1:9" x14ac:dyDescent="0.2">
      <c r="A5" s="22" t="s">
        <v>69</v>
      </c>
      <c r="B5" s="27">
        <v>232</v>
      </c>
      <c r="C5" s="27">
        <v>212</v>
      </c>
      <c r="D5" s="27">
        <v>230</v>
      </c>
      <c r="E5" s="27">
        <v>280</v>
      </c>
      <c r="F5" s="28">
        <v>5500000</v>
      </c>
      <c r="G5" s="22">
        <v>200000</v>
      </c>
      <c r="H5" s="29">
        <v>9200000</v>
      </c>
      <c r="I5" s="22">
        <v>400000</v>
      </c>
    </row>
    <row r="6" spans="1:9" x14ac:dyDescent="0.2">
      <c r="A6" s="22" t="s">
        <v>70</v>
      </c>
      <c r="B6" s="27">
        <v>238</v>
      </c>
      <c r="C6" s="27">
        <v>230</v>
      </c>
      <c r="D6" s="27">
        <v>215</v>
      </c>
      <c r="E6" s="27">
        <v>270</v>
      </c>
      <c r="F6" s="28">
        <v>5600000</v>
      </c>
      <c r="G6" s="22">
        <v>200000</v>
      </c>
      <c r="H6" s="29">
        <v>9300000</v>
      </c>
      <c r="I6" s="22">
        <v>400000</v>
      </c>
    </row>
    <row r="7" spans="1:9" x14ac:dyDescent="0.2">
      <c r="A7" s="22" t="s">
        <v>71</v>
      </c>
      <c r="B7" s="27">
        <v>299</v>
      </c>
      <c r="C7" s="27">
        <v>280</v>
      </c>
      <c r="D7" s="27">
        <v>270</v>
      </c>
      <c r="E7" s="27">
        <v>225</v>
      </c>
      <c r="F7" s="28">
        <v>6100000</v>
      </c>
      <c r="G7" s="22">
        <v>200000</v>
      </c>
      <c r="H7" s="29">
        <v>10200000</v>
      </c>
      <c r="I7" s="22">
        <v>400000</v>
      </c>
    </row>
    <row r="8" spans="1:9" x14ac:dyDescent="0.2">
      <c r="A8" s="23" t="s">
        <v>60</v>
      </c>
      <c r="B8" s="30">
        <v>180000</v>
      </c>
      <c r="C8" s="30">
        <v>120000</v>
      </c>
      <c r="D8" s="30">
        <v>110000</v>
      </c>
      <c r="E8" s="30">
        <v>100000</v>
      </c>
      <c r="F8" s="22"/>
      <c r="G8" s="22"/>
      <c r="H8" s="22"/>
      <c r="I8" s="22"/>
    </row>
    <row r="10" spans="1:9" x14ac:dyDescent="0.2">
      <c r="A10" s="10" t="s">
        <v>59</v>
      </c>
    </row>
    <row r="11" spans="1:9" ht="25.5" customHeight="1" x14ac:dyDescent="0.2">
      <c r="A11" s="20" t="s">
        <v>58</v>
      </c>
      <c r="B11" s="56" t="s">
        <v>57</v>
      </c>
      <c r="C11" s="56"/>
      <c r="D11" s="56"/>
      <c r="E11" s="56"/>
      <c r="F11" s="21" t="s">
        <v>56</v>
      </c>
      <c r="G11" s="21" t="s">
        <v>55</v>
      </c>
      <c r="H11" s="22" t="s">
        <v>44</v>
      </c>
    </row>
    <row r="12" spans="1:9" x14ac:dyDescent="0.2">
      <c r="A12" s="23" t="s">
        <v>51</v>
      </c>
      <c r="B12" s="22" t="s">
        <v>81</v>
      </c>
      <c r="C12" s="22" t="s">
        <v>82</v>
      </c>
      <c r="D12" s="22" t="s">
        <v>83</v>
      </c>
      <c r="E12" s="22" t="s">
        <v>84</v>
      </c>
      <c r="F12" s="24" t="s">
        <v>54</v>
      </c>
      <c r="G12" s="24" t="s">
        <v>54</v>
      </c>
      <c r="H12" s="22" t="s">
        <v>53</v>
      </c>
    </row>
    <row r="13" spans="1:9" x14ac:dyDescent="0.2">
      <c r="A13" s="22" t="s">
        <v>68</v>
      </c>
      <c r="B13" s="25">
        <v>180000</v>
      </c>
      <c r="C13" s="25">
        <v>0</v>
      </c>
      <c r="D13" s="25">
        <v>20000.000000000036</v>
      </c>
      <c r="E13" s="25">
        <v>0</v>
      </c>
      <c r="F13" s="24">
        <v>1</v>
      </c>
      <c r="G13" s="24">
        <v>0</v>
      </c>
      <c r="H13" s="22">
        <f>F13+G13</f>
        <v>1</v>
      </c>
    </row>
    <row r="14" spans="1:9" x14ac:dyDescent="0.2">
      <c r="A14" s="22" t="s">
        <v>69</v>
      </c>
      <c r="B14" s="25">
        <v>0</v>
      </c>
      <c r="C14" s="25">
        <v>120000</v>
      </c>
      <c r="D14" s="25">
        <v>79999.999999999985</v>
      </c>
      <c r="E14" s="25">
        <v>0</v>
      </c>
      <c r="F14" s="24">
        <v>1</v>
      </c>
      <c r="G14" s="24">
        <v>0</v>
      </c>
      <c r="H14" s="22">
        <f t="shared" ref="H14:H16" si="0">F14+G14</f>
        <v>1</v>
      </c>
    </row>
    <row r="15" spans="1:9" x14ac:dyDescent="0.2">
      <c r="A15" s="22" t="s">
        <v>70</v>
      </c>
      <c r="B15" s="25">
        <v>0</v>
      </c>
      <c r="C15" s="25">
        <v>0</v>
      </c>
      <c r="D15" s="25">
        <v>0</v>
      </c>
      <c r="E15" s="25">
        <v>0</v>
      </c>
      <c r="F15" s="24">
        <v>0</v>
      </c>
      <c r="G15" s="24">
        <v>0</v>
      </c>
      <c r="H15" s="22">
        <f t="shared" si="0"/>
        <v>0</v>
      </c>
    </row>
    <row r="16" spans="1:9" x14ac:dyDescent="0.2">
      <c r="A16" s="22" t="s">
        <v>71</v>
      </c>
      <c r="B16" s="25">
        <v>0</v>
      </c>
      <c r="C16" s="25">
        <v>0</v>
      </c>
      <c r="D16" s="25">
        <v>10000.000000000005</v>
      </c>
      <c r="E16" s="25">
        <v>100000</v>
      </c>
      <c r="F16" s="24">
        <v>1</v>
      </c>
      <c r="G16" s="24">
        <v>0</v>
      </c>
      <c r="H16" s="22">
        <f t="shared" si="0"/>
        <v>1</v>
      </c>
    </row>
    <row r="18" spans="1:6" ht="13.5" thickBot="1" x14ac:dyDescent="0.25">
      <c r="A18" s="14" t="s">
        <v>52</v>
      </c>
      <c r="E18" s="11"/>
      <c r="F18" s="11"/>
    </row>
    <row r="19" spans="1:6" ht="15" x14ac:dyDescent="0.25">
      <c r="A19" s="13" t="s">
        <v>51</v>
      </c>
      <c r="B19" s="12" t="s">
        <v>50</v>
      </c>
      <c r="C19" s="32"/>
      <c r="D19"/>
      <c r="E19"/>
      <c r="F19"/>
    </row>
    <row r="20" spans="1:6" x14ac:dyDescent="0.2">
      <c r="A20" s="22" t="s">
        <v>68</v>
      </c>
      <c r="B20" s="25">
        <f>F13*G4+G13*I4-SUM(B13:E13)</f>
        <v>0</v>
      </c>
    </row>
    <row r="21" spans="1:6" x14ac:dyDescent="0.2">
      <c r="A21" s="22" t="s">
        <v>69</v>
      </c>
      <c r="B21" s="25">
        <f>F14*G5+G14*I5-SUM(B14:E14)</f>
        <v>0</v>
      </c>
    </row>
    <row r="22" spans="1:6" x14ac:dyDescent="0.2">
      <c r="A22" s="22" t="s">
        <v>70</v>
      </c>
      <c r="B22" s="25">
        <f>F15*G6+G15*I6-SUM(B15:E15)</f>
        <v>0</v>
      </c>
    </row>
    <row r="23" spans="1:6" x14ac:dyDescent="0.2">
      <c r="A23" s="22" t="s">
        <v>71</v>
      </c>
      <c r="B23" s="25">
        <f>F16*G7+G16*I7-SUM(B16:E16)</f>
        <v>90000</v>
      </c>
    </row>
    <row r="24" spans="1:6" ht="15" x14ac:dyDescent="0.25">
      <c r="F24"/>
    </row>
    <row r="25" spans="1:6" ht="15" x14ac:dyDescent="0.25">
      <c r="A25" s="31" t="s">
        <v>49</v>
      </c>
      <c r="B25" s="22" t="s">
        <v>68</v>
      </c>
      <c r="C25" s="22" t="s">
        <v>69</v>
      </c>
      <c r="D25" s="22" t="s">
        <v>70</v>
      </c>
      <c r="E25" s="22" t="s">
        <v>71</v>
      </c>
      <c r="F25"/>
    </row>
    <row r="26" spans="1:6" x14ac:dyDescent="0.2">
      <c r="A26" s="23" t="s">
        <v>48</v>
      </c>
      <c r="B26" s="25">
        <f>B8-SUM(B13:B16)</f>
        <v>0</v>
      </c>
      <c r="C26" s="25">
        <f>C8-SUM(C13:C16)</f>
        <v>0</v>
      </c>
      <c r="D26" s="25">
        <f>D8-SUM(D13:D16)</f>
        <v>0</v>
      </c>
      <c r="E26" s="25">
        <f>E8-SUM(E13:E16)</f>
        <v>0</v>
      </c>
    </row>
    <row r="27" spans="1:6" ht="13.5" thickBot="1" x14ac:dyDescent="0.25">
      <c r="A27" s="10" t="s">
        <v>47</v>
      </c>
    </row>
    <row r="28" spans="1:6" ht="15.75" thickBot="1" x14ac:dyDescent="0.3">
      <c r="A28" s="9" t="s">
        <v>43</v>
      </c>
      <c r="B28" s="8">
        <f>SUMPRODUCT(B13:E16,B4:E7)+SUMPRODUCT(F13:F16,F4:F7)+SUMPRODUCT(G13:G16,H4:H7)</f>
        <v>129420000</v>
      </c>
      <c r="D28" s="44" t="s">
        <v>46</v>
      </c>
      <c r="E28" s="44" t="s">
        <v>45</v>
      </c>
      <c r="F28" s="45" t="s">
        <v>44</v>
      </c>
    </row>
    <row r="29" spans="1:6" x14ac:dyDescent="0.2">
      <c r="D29" s="46">
        <f>SUMPRODUCT(F4:F7, F13:F16)+SUMPRODUCT(H4:H7,G13:G16)</f>
        <v>17600000</v>
      </c>
      <c r="E29" s="46">
        <f>SUMPRODUCT(B4:E7, B13:E16)</f>
        <v>111820000</v>
      </c>
      <c r="F29" s="46">
        <f>D29+E29</f>
        <v>129420000</v>
      </c>
    </row>
  </sheetData>
  <mergeCells count="2">
    <mergeCell ref="B2:E2"/>
    <mergeCell ref="B11:E11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BEB1-60AD-4195-9422-2132E5F39360}">
  <dimension ref="A1:L42"/>
  <sheetViews>
    <sheetView tabSelected="1" workbookViewId="0">
      <selection activeCell="B37" sqref="B37"/>
    </sheetView>
  </sheetViews>
  <sheetFormatPr defaultRowHeight="15" x14ac:dyDescent="0.25"/>
  <cols>
    <col min="1" max="1" width="24.5703125" customWidth="1"/>
    <col min="2" max="2" width="15.42578125" customWidth="1"/>
    <col min="3" max="3" width="14.5703125" customWidth="1"/>
    <col min="4" max="4" width="18.42578125" customWidth="1"/>
    <col min="5" max="5" width="16.28515625" customWidth="1"/>
    <col min="7" max="7" width="17.28515625" customWidth="1"/>
    <col min="8" max="8" width="14.85546875" bestFit="1" customWidth="1"/>
    <col min="10" max="10" width="14.42578125" customWidth="1"/>
    <col min="11" max="12" width="13.85546875" bestFit="1" customWidth="1"/>
  </cols>
  <sheetData>
    <row r="1" spans="1:12" x14ac:dyDescent="0.25">
      <c r="A1" s="33" t="s">
        <v>76</v>
      </c>
      <c r="B1" s="34" t="s">
        <v>74</v>
      </c>
      <c r="C1" s="34" t="s">
        <v>75</v>
      </c>
    </row>
    <row r="2" spans="1:12" x14ac:dyDescent="0.25">
      <c r="A2" s="33" t="s">
        <v>22</v>
      </c>
      <c r="B2" s="35">
        <v>20</v>
      </c>
      <c r="C2" s="35">
        <v>20</v>
      </c>
    </row>
    <row r="3" spans="1:12" x14ac:dyDescent="0.25">
      <c r="A3" s="33" t="s">
        <v>23</v>
      </c>
      <c r="B3" s="35">
        <v>40</v>
      </c>
      <c r="C3" s="35">
        <v>30</v>
      </c>
    </row>
    <row r="5" spans="1:12" x14ac:dyDescent="0.25">
      <c r="A5" s="33" t="s">
        <v>77</v>
      </c>
      <c r="B5" s="43">
        <v>100</v>
      </c>
    </row>
    <row r="10" spans="1:12" x14ac:dyDescent="0.25">
      <c r="A10" s="33" t="s">
        <v>21</v>
      </c>
      <c r="B10" s="33" t="s">
        <v>30</v>
      </c>
      <c r="C10" s="33" t="s">
        <v>72</v>
      </c>
      <c r="D10" s="33" t="s">
        <v>73</v>
      </c>
      <c r="E10" s="33" t="s">
        <v>24</v>
      </c>
      <c r="F10" s="33" t="s">
        <v>25</v>
      </c>
      <c r="G10" s="33" t="s">
        <v>26</v>
      </c>
      <c r="H10" s="33" t="s">
        <v>27</v>
      </c>
      <c r="I10" s="33" t="s">
        <v>28</v>
      </c>
      <c r="J10" s="33" t="s">
        <v>29</v>
      </c>
      <c r="K10" s="33" t="s">
        <v>31</v>
      </c>
      <c r="L10" s="33" t="s">
        <v>32</v>
      </c>
    </row>
    <row r="11" spans="1:12" x14ac:dyDescent="0.25">
      <c r="A11" s="2">
        <v>1</v>
      </c>
      <c r="B11" s="2">
        <v>1000</v>
      </c>
      <c r="C11" s="2">
        <f>SQRT(($B$2-10)^2+($C$2-10)^2)</f>
        <v>14.142135623730951</v>
      </c>
      <c r="D11" s="2">
        <f>SQRT(($B$3-10)^2+($C$3-10)^2)</f>
        <v>36.055512754639892</v>
      </c>
      <c r="E11" s="2">
        <f>(C11/50)^2</f>
        <v>0.08</v>
      </c>
      <c r="F11" s="2">
        <f>(D11/50)^2</f>
        <v>0.51999999999999991</v>
      </c>
      <c r="G11" s="2">
        <f>1/E11</f>
        <v>12.5</v>
      </c>
      <c r="H11" s="2">
        <f>0.7/F11</f>
        <v>1.3461538461538463</v>
      </c>
      <c r="I11" s="2">
        <f>G11/(G11+H11)</f>
        <v>0.90277777777777779</v>
      </c>
      <c r="J11" s="2">
        <f>H11/(G11+H11)</f>
        <v>9.7222222222222224E-2</v>
      </c>
      <c r="K11" s="3">
        <f>I11*B11*$B$5</f>
        <v>90277.777777777781</v>
      </c>
      <c r="L11" s="3">
        <f>J11*B11*$B$5</f>
        <v>9722.2222222222226</v>
      </c>
    </row>
    <row r="12" spans="1:12" x14ac:dyDescent="0.25">
      <c r="A12" s="2">
        <v>2</v>
      </c>
      <c r="B12" s="2">
        <v>2000</v>
      </c>
      <c r="C12" s="2">
        <f>SQRT(($B$2-20)^2+($C$2-15)^2)</f>
        <v>5</v>
      </c>
      <c r="D12" s="2">
        <f>SQRT((($B$3-20)^2)+(($C$3-15)^2))</f>
        <v>25</v>
      </c>
      <c r="E12" s="2">
        <f>(C12/50)^2</f>
        <v>1.0000000000000002E-2</v>
      </c>
      <c r="F12" s="2">
        <f>(D12/50)^2</f>
        <v>0.25</v>
      </c>
      <c r="G12" s="2">
        <f>1/E12</f>
        <v>99.999999999999986</v>
      </c>
      <c r="H12" s="2">
        <f>0.7/F12</f>
        <v>2.8</v>
      </c>
      <c r="I12" s="2">
        <f>G12/(G12+H12)</f>
        <v>0.97276264591439687</v>
      </c>
      <c r="J12" s="2">
        <f>H12/(G12+H12)</f>
        <v>2.7237354085603117E-2</v>
      </c>
      <c r="K12" s="3">
        <f t="shared" ref="K12:K19" si="0">I12*B12*$B$5</f>
        <v>194552.52918287937</v>
      </c>
      <c r="L12" s="3">
        <f t="shared" ref="L12:L19" si="1">J12*B12*$B$5</f>
        <v>5447.470817120623</v>
      </c>
    </row>
    <row r="13" spans="1:12" x14ac:dyDescent="0.25">
      <c r="A13" s="2">
        <v>3</v>
      </c>
      <c r="B13" s="2">
        <v>4000</v>
      </c>
      <c r="C13" s="2">
        <f>SQRT(($B$2-30)^2+($C$2-10)^2)</f>
        <v>14.142135623730951</v>
      </c>
      <c r="D13" s="2">
        <f>SQRT(($B$3-30)^2+($C$3-10)^2)</f>
        <v>22.360679774997898</v>
      </c>
      <c r="E13" s="2">
        <f t="shared" ref="E13:F19" si="2">(C13/50)^2</f>
        <v>0.08</v>
      </c>
      <c r="F13" s="2">
        <f t="shared" si="2"/>
        <v>0.20000000000000004</v>
      </c>
      <c r="G13" s="2">
        <f t="shared" ref="G13:G19" si="3">1/E13</f>
        <v>12.5</v>
      </c>
      <c r="H13" s="2">
        <f t="shared" ref="H13:H19" si="4">0.7/F13</f>
        <v>3.4999999999999991</v>
      </c>
      <c r="I13" s="2">
        <f t="shared" ref="I13:I19" si="5">G13/(G13+H13)</f>
        <v>0.78125</v>
      </c>
      <c r="J13" s="2">
        <f t="shared" ref="J13:J19" si="6">H13/(G13+H13)</f>
        <v>0.21874999999999994</v>
      </c>
      <c r="K13" s="3">
        <f t="shared" si="0"/>
        <v>312500</v>
      </c>
      <c r="L13" s="3">
        <f t="shared" si="1"/>
        <v>87499.999999999971</v>
      </c>
    </row>
    <row r="14" spans="1:12" x14ac:dyDescent="0.25">
      <c r="A14" s="2">
        <v>4</v>
      </c>
      <c r="B14" s="2">
        <v>7000</v>
      </c>
      <c r="C14" s="2">
        <f>SQRT(($B$2-20)^2+($C$2-40)^2)</f>
        <v>20</v>
      </c>
      <c r="D14" s="2">
        <f>SQRT(($B$3-40)^2+($C$3-20)^2)</f>
        <v>10</v>
      </c>
      <c r="E14" s="2">
        <f t="shared" si="2"/>
        <v>0.16000000000000003</v>
      </c>
      <c r="F14" s="2">
        <f t="shared" si="2"/>
        <v>4.0000000000000008E-2</v>
      </c>
      <c r="G14" s="2">
        <f t="shared" si="3"/>
        <v>6.2499999999999991</v>
      </c>
      <c r="H14" s="2">
        <f t="shared" si="4"/>
        <v>17.499999999999996</v>
      </c>
      <c r="I14" s="2">
        <f t="shared" si="5"/>
        <v>0.26315789473684209</v>
      </c>
      <c r="J14" s="2">
        <f t="shared" si="6"/>
        <v>0.73684210526315785</v>
      </c>
      <c r="K14" s="3">
        <f t="shared" si="0"/>
        <v>184210.52631578947</v>
      </c>
      <c r="L14" s="3">
        <f t="shared" si="1"/>
        <v>515789.4736842105</v>
      </c>
    </row>
    <row r="15" spans="1:12" x14ac:dyDescent="0.25">
      <c r="A15" s="2">
        <v>5</v>
      </c>
      <c r="B15" s="2">
        <v>1000</v>
      </c>
      <c r="C15" s="2">
        <f>SQRT(($B$2-20)^2+($C$2-30)^2)</f>
        <v>10</v>
      </c>
      <c r="D15" s="2">
        <f>SQRT(($B$3-20)^2+($C$3-30)^2)</f>
        <v>20</v>
      </c>
      <c r="E15" s="2">
        <f t="shared" si="2"/>
        <v>4.0000000000000008E-2</v>
      </c>
      <c r="F15" s="2">
        <f t="shared" si="2"/>
        <v>0.16000000000000003</v>
      </c>
      <c r="G15" s="2">
        <f t="shared" si="3"/>
        <v>24.999999999999996</v>
      </c>
      <c r="H15" s="2">
        <f t="shared" si="4"/>
        <v>4.3749999999999991</v>
      </c>
      <c r="I15" s="2">
        <f t="shared" si="5"/>
        <v>0.85106382978723405</v>
      </c>
      <c r="J15" s="2">
        <f t="shared" si="6"/>
        <v>0.14893617021276595</v>
      </c>
      <c r="K15" s="3">
        <f t="shared" si="0"/>
        <v>85106.382978723399</v>
      </c>
      <c r="L15" s="3">
        <f t="shared" si="1"/>
        <v>14893.617021276594</v>
      </c>
    </row>
    <row r="16" spans="1:12" x14ac:dyDescent="0.25">
      <c r="A16" s="2">
        <v>6</v>
      </c>
      <c r="B16" s="2">
        <v>1500</v>
      </c>
      <c r="C16" s="2">
        <f>SQRT(($B$2-20)^2+($C$2-45)^2)</f>
        <v>25</v>
      </c>
      <c r="D16" s="2">
        <f>SQRT(($B$3-20)^2+($C$3-45)^2)</f>
        <v>25</v>
      </c>
      <c r="E16" s="2">
        <f t="shared" si="2"/>
        <v>0.25</v>
      </c>
      <c r="F16" s="2">
        <f t="shared" si="2"/>
        <v>0.25</v>
      </c>
      <c r="G16" s="2">
        <f t="shared" si="3"/>
        <v>4</v>
      </c>
      <c r="H16" s="2">
        <f t="shared" si="4"/>
        <v>2.8</v>
      </c>
      <c r="I16" s="2">
        <f t="shared" si="5"/>
        <v>0.58823529411764708</v>
      </c>
      <c r="J16" s="2">
        <f t="shared" si="6"/>
        <v>0.41176470588235292</v>
      </c>
      <c r="K16" s="3">
        <f t="shared" si="0"/>
        <v>88235.294117647063</v>
      </c>
      <c r="L16" s="3">
        <f t="shared" si="1"/>
        <v>61764.705882352937</v>
      </c>
    </row>
    <row r="17" spans="1:12" x14ac:dyDescent="0.25">
      <c r="A17" s="2">
        <v>7</v>
      </c>
      <c r="B17" s="2">
        <v>4000</v>
      </c>
      <c r="C17" s="2">
        <f>SQRT(($B$2-30)^2+($C$2-40)^2)</f>
        <v>22.360679774997898</v>
      </c>
      <c r="D17" s="2">
        <f>SQRT(($B$3-30)^2+($C$3-40)^2)</f>
        <v>14.142135623730951</v>
      </c>
      <c r="E17" s="2">
        <f t="shared" si="2"/>
        <v>0.20000000000000004</v>
      </c>
      <c r="F17" s="2">
        <f t="shared" si="2"/>
        <v>0.08</v>
      </c>
      <c r="G17" s="2">
        <f t="shared" si="3"/>
        <v>4.9999999999999991</v>
      </c>
      <c r="H17" s="2">
        <f t="shared" si="4"/>
        <v>8.75</v>
      </c>
      <c r="I17" s="2">
        <f t="shared" si="5"/>
        <v>0.36363636363636359</v>
      </c>
      <c r="J17" s="2">
        <f t="shared" si="6"/>
        <v>0.63636363636363635</v>
      </c>
      <c r="K17" s="3">
        <f t="shared" si="0"/>
        <v>145454.54545454544</v>
      </c>
      <c r="L17" s="3">
        <f t="shared" si="1"/>
        <v>254545.45454545456</v>
      </c>
    </row>
    <row r="18" spans="1:12" x14ac:dyDescent="0.25">
      <c r="A18" s="2">
        <v>8</v>
      </c>
      <c r="B18" s="2">
        <v>2000</v>
      </c>
      <c r="C18" s="2">
        <f>SQRT(($B$2-40)^2+($C$2-40)^2)</f>
        <v>28.284271247461902</v>
      </c>
      <c r="D18" s="2">
        <f>SQRT(($B$3-40)^2+($C$3-40)^2)</f>
        <v>10</v>
      </c>
      <c r="E18" s="2">
        <f t="shared" si="2"/>
        <v>0.32</v>
      </c>
      <c r="F18" s="2">
        <f t="shared" si="2"/>
        <v>4.0000000000000008E-2</v>
      </c>
      <c r="G18" s="2">
        <f t="shared" si="3"/>
        <v>3.125</v>
      </c>
      <c r="H18" s="2">
        <f t="shared" si="4"/>
        <v>17.499999999999996</v>
      </c>
      <c r="I18" s="2">
        <f t="shared" si="5"/>
        <v>0.15151515151515155</v>
      </c>
      <c r="J18" s="2">
        <f t="shared" si="6"/>
        <v>0.84848484848484851</v>
      </c>
      <c r="K18" s="3">
        <f t="shared" si="0"/>
        <v>30303.030303030311</v>
      </c>
      <c r="L18" s="3">
        <f t="shared" si="1"/>
        <v>169696.9696969697</v>
      </c>
    </row>
    <row r="19" spans="1:12" x14ac:dyDescent="0.25">
      <c r="A19" s="2">
        <v>9</v>
      </c>
      <c r="B19" s="2">
        <v>1000</v>
      </c>
      <c r="C19" s="2">
        <f>SQRT((($B$2-50)^2)+(($C$2-5)^2))</f>
        <v>33.541019662496844</v>
      </c>
      <c r="D19" s="2">
        <f>SQRT(($B$3-50)^2+($C$3-5)^2)</f>
        <v>26.92582403567252</v>
      </c>
      <c r="E19" s="2">
        <f t="shared" si="2"/>
        <v>0.45</v>
      </c>
      <c r="F19" s="2">
        <f t="shared" si="2"/>
        <v>0.28999999999999998</v>
      </c>
      <c r="G19" s="2">
        <f t="shared" si="3"/>
        <v>2.2222222222222223</v>
      </c>
      <c r="H19" s="2">
        <f t="shared" si="4"/>
        <v>2.4137931034482758</v>
      </c>
      <c r="I19" s="2">
        <f t="shared" si="5"/>
        <v>0.47933884297520662</v>
      </c>
      <c r="J19" s="2">
        <f t="shared" si="6"/>
        <v>0.52066115702479332</v>
      </c>
      <c r="K19" s="3">
        <f t="shared" si="0"/>
        <v>47933.884297520657</v>
      </c>
      <c r="L19" s="3">
        <f t="shared" si="1"/>
        <v>52066.115702479328</v>
      </c>
    </row>
    <row r="20" spans="1:12" x14ac:dyDescent="0.25">
      <c r="J20" s="33" t="s">
        <v>80</v>
      </c>
      <c r="K20" s="36">
        <f>SUM(K11:K19)</f>
        <v>1178573.9704279134</v>
      </c>
      <c r="L20" s="36">
        <f>SUM(L11:L19)</f>
        <v>1171426.0295720864</v>
      </c>
    </row>
    <row r="23" spans="1:12" x14ac:dyDescent="0.25">
      <c r="D23" s="57"/>
      <c r="E23" s="57"/>
      <c r="G23" s="57"/>
      <c r="H23" s="57"/>
    </row>
    <row r="24" spans="1:12" ht="30" x14ac:dyDescent="0.25">
      <c r="A24" s="37" t="s">
        <v>42</v>
      </c>
      <c r="B24" s="38">
        <v>300000</v>
      </c>
      <c r="C24" s="6"/>
      <c r="D24" s="39" t="s">
        <v>33</v>
      </c>
      <c r="E24" s="40">
        <f>B24</f>
        <v>300000</v>
      </c>
      <c r="F24" s="6"/>
      <c r="G24" s="6"/>
      <c r="H24" s="6"/>
    </row>
    <row r="25" spans="1:12" x14ac:dyDescent="0.25">
      <c r="A25" s="33" t="s">
        <v>78</v>
      </c>
      <c r="B25" s="35">
        <v>650000</v>
      </c>
      <c r="D25" s="33" t="s">
        <v>34</v>
      </c>
      <c r="E25" s="41">
        <f>K20</f>
        <v>1178573.9704279134</v>
      </c>
    </row>
    <row r="26" spans="1:12" x14ac:dyDescent="0.25">
      <c r="A26" s="33" t="s">
        <v>35</v>
      </c>
      <c r="B26" s="35">
        <v>100000</v>
      </c>
      <c r="D26" s="33" t="s">
        <v>36</v>
      </c>
      <c r="E26" s="41">
        <f>L20</f>
        <v>1171426.0295720864</v>
      </c>
    </row>
    <row r="27" spans="1:12" x14ac:dyDescent="0.25">
      <c r="A27" s="33" t="s">
        <v>37</v>
      </c>
      <c r="B27" s="35">
        <f>SUM(B25:B26)</f>
        <v>750000</v>
      </c>
      <c r="D27" s="33" t="s">
        <v>38</v>
      </c>
      <c r="E27" s="41">
        <f>E25-E24</f>
        <v>878573.97042791336</v>
      </c>
    </row>
    <row r="28" spans="1:12" x14ac:dyDescent="0.25">
      <c r="D28" s="33" t="s">
        <v>39</v>
      </c>
      <c r="E28" s="41">
        <f>E26-E24</f>
        <v>871426.02957208641</v>
      </c>
      <c r="H28" s="4"/>
    </row>
    <row r="29" spans="1:12" x14ac:dyDescent="0.25">
      <c r="D29" s="33" t="s">
        <v>40</v>
      </c>
      <c r="E29" s="42">
        <f>B27/E27</f>
        <v>0.85365606681325779</v>
      </c>
      <c r="H29" s="4"/>
    </row>
    <row r="30" spans="1:12" x14ac:dyDescent="0.25">
      <c r="D30" s="33" t="s">
        <v>41</v>
      </c>
      <c r="E30" s="42">
        <f>B27/E28</f>
        <v>0.86065824814561409</v>
      </c>
      <c r="H30" s="4"/>
    </row>
    <row r="31" spans="1:12" x14ac:dyDescent="0.25">
      <c r="D31" s="4"/>
      <c r="H31" s="4"/>
    </row>
    <row r="32" spans="1:12" x14ac:dyDescent="0.25">
      <c r="D32" s="4"/>
    </row>
    <row r="33" spans="3:4" x14ac:dyDescent="0.25">
      <c r="D33" s="5"/>
    </row>
    <row r="41" spans="3:4" x14ac:dyDescent="0.25">
      <c r="C41" s="4"/>
    </row>
    <row r="42" spans="3:4" x14ac:dyDescent="0.25">
      <c r="C42" s="4"/>
    </row>
  </sheetData>
  <mergeCells count="2">
    <mergeCell ref="D23:E23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Q.1</vt:lpstr>
      <vt:lpstr>Q.2</vt:lpstr>
      <vt:lpstr>Q.3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2025-04-26T13:16:27Z</dcterms:modified>
</cp:coreProperties>
</file>