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Master Data Science\Sem3_2025 Jul\Case Study\WIL Project\WIL_RAG\"/>
    </mc:Choice>
  </mc:AlternateContent>
  <xr:revisionPtr revIDLastSave="0" documentId="13_ncr:1_{5E022BB8-4DD1-4D63-A949-43DFB6D41228}" xr6:coauthVersionLast="47" xr6:coauthVersionMax="47" xr10:uidLastSave="{00000000-0000-0000-0000-000000000000}"/>
  <bookViews>
    <workbookView xWindow="-108" yWindow="-108" windowWidth="23256" windowHeight="12456" xr2:uid="{64120318-7AC9-4D99-B988-9A1D3C2C244F}"/>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1" l="1"/>
  <c r="K8" i="1"/>
  <c r="X8" i="1"/>
  <c r="Y8" i="1"/>
  <c r="Z8" i="1"/>
  <c r="AA8" i="1"/>
  <c r="AB8" i="1"/>
  <c r="T8" i="1"/>
  <c r="Q8" i="1"/>
  <c r="R21" i="1"/>
  <c r="T20" i="1"/>
  <c r="X21" i="1"/>
  <c r="Z21" i="1"/>
  <c r="AA21" i="1"/>
  <c r="AB21" i="1"/>
  <c r="S21" i="1"/>
  <c r="O21" i="1"/>
  <c r="K7" i="1"/>
  <c r="K9" i="1"/>
  <c r="K10" i="1"/>
  <c r="K11" i="1"/>
  <c r="K12" i="1"/>
  <c r="K13" i="1"/>
  <c r="K14" i="1"/>
  <c r="K15" i="1"/>
  <c r="K16" i="1"/>
  <c r="K17" i="1"/>
  <c r="K18" i="1"/>
  <c r="K19" i="1"/>
  <c r="K20" i="1"/>
  <c r="K21" i="1"/>
  <c r="K5" i="1"/>
  <c r="K6" i="1"/>
  <c r="K3" i="1"/>
  <c r="K4" i="1"/>
  <c r="K2" i="1"/>
  <c r="N3" i="1"/>
  <c r="N4" i="1"/>
  <c r="N5" i="1"/>
  <c r="N6" i="1"/>
  <c r="N7" i="1"/>
  <c r="N9" i="1"/>
  <c r="N10" i="1"/>
  <c r="N11" i="1"/>
  <c r="N12" i="1"/>
  <c r="N13" i="1"/>
  <c r="N14" i="1"/>
  <c r="N15" i="1"/>
  <c r="N16" i="1"/>
  <c r="N17" i="1"/>
  <c r="N18" i="1"/>
  <c r="N19" i="1"/>
  <c r="N20" i="1"/>
  <c r="N21" i="1"/>
  <c r="N2" i="1"/>
  <c r="Q4" i="1"/>
  <c r="Q5" i="1"/>
  <c r="Q6" i="1"/>
  <c r="Q7" i="1"/>
  <c r="Q10" i="1"/>
  <c r="Q11" i="1"/>
  <c r="Q14" i="1"/>
  <c r="Q15" i="1"/>
  <c r="Q16" i="1"/>
  <c r="Q17" i="1"/>
  <c r="Q20" i="1"/>
  <c r="Q21" i="1"/>
  <c r="T4" i="1"/>
  <c r="T5" i="1"/>
  <c r="T6" i="1"/>
  <c r="T7" i="1"/>
  <c r="T10" i="1"/>
  <c r="T11" i="1"/>
  <c r="T14" i="1"/>
  <c r="T15" i="1"/>
  <c r="T16" i="1"/>
  <c r="T17" i="1"/>
  <c r="T19" i="1"/>
  <c r="O19" i="1"/>
  <c r="Q19" i="1" s="1"/>
  <c r="X19" i="1"/>
  <c r="X20" i="1"/>
  <c r="Y19" i="1"/>
  <c r="Z19" i="1"/>
  <c r="AA19" i="1"/>
  <c r="AB19" i="1"/>
  <c r="Y20" i="1"/>
  <c r="Z20" i="1"/>
  <c r="AA20" i="1"/>
  <c r="AB20" i="1"/>
  <c r="AA18" i="1"/>
  <c r="AB18" i="1"/>
  <c r="S18" i="1"/>
  <c r="Y18" i="1" s="1"/>
  <c r="R18" i="1"/>
  <c r="T18" i="1" s="1"/>
  <c r="P18" i="1"/>
  <c r="O18" i="1"/>
  <c r="Q18" i="1" s="1"/>
  <c r="AA11" i="1"/>
  <c r="Y14" i="1"/>
  <c r="Y15" i="1"/>
  <c r="Y16" i="1"/>
  <c r="Y17" i="1"/>
  <c r="X17" i="1"/>
  <c r="Z17" i="1"/>
  <c r="AA17" i="1"/>
  <c r="AB17" i="1"/>
  <c r="X18" i="1"/>
  <c r="Z18" i="1" s="1"/>
  <c r="V13" i="1"/>
  <c r="S13" i="1"/>
  <c r="R13" i="1"/>
  <c r="T13" i="1" s="1"/>
  <c r="P13" i="1"/>
  <c r="O13" i="1"/>
  <c r="Q13" i="1" s="1"/>
  <c r="R12" i="1"/>
  <c r="S12" i="1"/>
  <c r="O12" i="1"/>
  <c r="P12" i="1"/>
  <c r="AA10" i="1"/>
  <c r="AA12" i="1"/>
  <c r="AA13" i="1"/>
  <c r="AA14" i="1"/>
  <c r="AA15" i="1"/>
  <c r="AA16" i="1"/>
  <c r="X13" i="1"/>
  <c r="X14" i="1"/>
  <c r="X15" i="1"/>
  <c r="X16" i="1"/>
  <c r="AB10" i="1"/>
  <c r="AB11" i="1"/>
  <c r="AB12" i="1"/>
  <c r="AB13" i="1"/>
  <c r="AB14" i="1"/>
  <c r="AB15" i="1"/>
  <c r="AB16" i="1"/>
  <c r="AA6" i="1"/>
  <c r="AB6" i="1" s="1"/>
  <c r="AA7" i="1"/>
  <c r="AB7" i="1" s="1"/>
  <c r="Z13" i="1"/>
  <c r="Z14" i="1"/>
  <c r="Z15" i="1"/>
  <c r="Z16" i="1"/>
  <c r="R9" i="1"/>
  <c r="S9" i="1"/>
  <c r="X9" i="1"/>
  <c r="Z9" i="1" s="1"/>
  <c r="P9" i="1"/>
  <c r="O9" i="1"/>
  <c r="Q9" i="1" s="1"/>
  <c r="U9" i="1"/>
  <c r="AA9" i="1" s="1"/>
  <c r="AB9" i="1" s="1"/>
  <c r="O2" i="1"/>
  <c r="E3" i="3"/>
  <c r="C3" i="3"/>
  <c r="B3" i="3"/>
  <c r="C2" i="3"/>
  <c r="B2" i="3"/>
  <c r="D3" i="3"/>
  <c r="E2" i="3"/>
  <c r="D2" i="3"/>
  <c r="Y4" i="1"/>
  <c r="Y5" i="1"/>
  <c r="Y6" i="1"/>
  <c r="Y7" i="1"/>
  <c r="Y9" i="1"/>
  <c r="Y10" i="1"/>
  <c r="Y11" i="1"/>
  <c r="Y12" i="1"/>
  <c r="Y13" i="1"/>
  <c r="X4" i="1"/>
  <c r="X5" i="1"/>
  <c r="X6" i="1"/>
  <c r="X7" i="1"/>
  <c r="Z7" i="1" s="1"/>
  <c r="X10" i="1"/>
  <c r="Z10" i="1" s="1"/>
  <c r="X11" i="1"/>
  <c r="Z11" i="1" s="1"/>
  <c r="X12" i="1"/>
  <c r="Z12" i="1" s="1"/>
  <c r="U3" i="1"/>
  <c r="R2" i="1"/>
  <c r="S2" i="1"/>
  <c r="Y2" i="1" s="1"/>
  <c r="P2" i="1"/>
  <c r="S3" i="1"/>
  <c r="Y3" i="1" s="1"/>
  <c r="P3" i="1"/>
  <c r="R3" i="1"/>
  <c r="T3" i="1" s="1"/>
  <c r="O3" i="1"/>
  <c r="Q3" i="1" s="1"/>
  <c r="AA3" i="1"/>
  <c r="AB3" i="1"/>
  <c r="AA4" i="1"/>
  <c r="AB4" i="1"/>
  <c r="AA5" i="1"/>
  <c r="AB5" i="1"/>
  <c r="AA2" i="1"/>
  <c r="AB2" i="1" s="1"/>
  <c r="Z4" i="1"/>
  <c r="Z5" i="1"/>
  <c r="Z6" i="1"/>
  <c r="X2" i="1" l="1"/>
  <c r="Z2" i="1" s="1"/>
  <c r="T2" i="1"/>
  <c r="Q2" i="1"/>
  <c r="T9" i="1"/>
  <c r="Q12" i="1"/>
  <c r="T12" i="1"/>
  <c r="T21" i="1"/>
  <c r="Y21" i="1"/>
  <c r="X3" i="1"/>
  <c r="Z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tc={1ABC82FB-672A-4633-8656-53F57142B699}</author>
  </authors>
  <commentList>
    <comment ref="U21" authorId="0" shapeId="0" xr:uid="{1ABC82FB-672A-4633-8656-53F57142B699}">
      <text>
        <t>[Threaded comment]
Your version of Excel allows you to read this threaded comment; however, any edits to it will get removed if the file is opened in a newer version of Excel. Learn more: https://go.microsoft.com/fwlink/?linkid=870924
Comment:
    @deshani akke  I will get back in few minutes to figure out the empty cells yet I have filled some cells with data.Just going back to take the lunch
Reply:
    I have filled them out.</t>
      </text>
    </comment>
  </commentList>
</comments>
</file>

<file path=xl/sharedStrings.xml><?xml version="1.0" encoding="utf-8"?>
<sst xmlns="http://schemas.openxmlformats.org/spreadsheetml/2006/main" count="239" uniqueCount="192">
  <si>
    <t>Company name</t>
  </si>
  <si>
    <t>Company Code</t>
  </si>
  <si>
    <t>Industry Group</t>
  </si>
  <si>
    <t>Company Description</t>
  </si>
  <si>
    <t>About the Company</t>
  </si>
  <si>
    <t>Additional Information</t>
  </si>
  <si>
    <t>Company Website</t>
  </si>
  <si>
    <t>Company page in ASX</t>
  </si>
  <si>
    <t>Half year ending June 2025 Revenue</t>
  </si>
  <si>
    <t>Half year ending June 2024 Revenue</t>
  </si>
  <si>
    <t>Revenue Half year Percentage Change</t>
  </si>
  <si>
    <t>Half year ending June 2025 Profit after tax attributable to shareholders (net earnings) in Mn</t>
  </si>
  <si>
    <t>Half year ending June 2024 Profit after tax attributable to shareholders (net earnings) in Mn</t>
  </si>
  <si>
    <t>Profit after tax attributable to shareholders (net earnings) Percentage Change</t>
  </si>
  <si>
    <t>Revenue for full year ending Jun 25 in mn in AUD</t>
  </si>
  <si>
    <t>Revenue for full year ending Jun 24 in mn in AUD</t>
  </si>
  <si>
    <t>Revenue for full year percentage change</t>
  </si>
  <si>
    <t>Full year ending June 2025 Profit after tax attributable to shareholders (net earnings) in Mn</t>
  </si>
  <si>
    <t>Full year ending June 2024 Profit after tax attributable to shareholders (net earnings) in Mn</t>
  </si>
  <si>
    <t>Full year ending June 2024 Profit after tax attributable to shareholders percentage change</t>
  </si>
  <si>
    <t>Equity for shareholder in Mn AUD</t>
  </si>
  <si>
    <t>Number of Shares in Millions</t>
  </si>
  <si>
    <t>Market Price in AUD on 15th Sep  2025</t>
  </si>
  <si>
    <t>Rio Tinto</t>
  </si>
  <si>
    <t>RIO</t>
  </si>
  <si>
    <t>Materials</t>
  </si>
  <si>
    <t>Rio Tinto operates in 35 countries where 60,000 employees are working to find better ways to provide the materials the world needs. Our portfolio includes iron ore, copper, aluminium and other minerals and materials needed for the energy transitio</t>
  </si>
  <si>
    <t>Rio Tinto Group is a major global mining and metals company, headquartered in London and Melbourne. It’s a dual-listed entity: Rio Tinto Plc (UK) and Rio Tinto Limited (Australia). Rio Tinto’s activities cover the exploration, extraction, processing, and sale of metals and minerals. Some core product groups and operations:
Iron Ore
A major part of its business. Western Australia (the Pilbara region) is a key area, with extensive mining, port, rail infrastructure. 
Aluminium / Bauxite / Alumina
It mines bauxite, refines alumina, and smelts aluminium. 
Copper &amp; Related Metals
Includes copper mining and refining, with by-products like gold, silver, molybdenum. 
Minerals
This segment includes salt, gypsum, titanium, borates etc. Rio Tinto is one of the biggest players in the global mining / metals sector. It’s in the S&amp;P/ASX 200 index due to its size in Australia. Strengths, Risks &amp; Considerations
Strengths:
Very large scale in iron ore, which remains a critical commodity globally.
Growing exposure to transition minerals (e.g. lithium, copper) which are in demand for electrification and renewable energy technologies.
Global footprint gives access to multiple resource locales.
Risks:
Commodity price volatility (especially for iron ore, aluminium, copper, lithium).
Regulatory, environmental, and social licence risks (mining is increasingly under scrutiny re: environmental impact, indigenous land rights etc.).
Operational risk: mining and extraction have high fixed costs, challenges in transport, energy, labour.
Corporate structure risk:
The dual-listing structure sometimes causes complexity (for investors, regulatory, tax, corporate governance). There have been calls from shareholders to consider unifying the structure, especially with the example of BHP’s unification in recent years</t>
  </si>
  <si>
    <t>Rio Tinto: New / Growth Projects (Australia &amp; Key Global Projects)
Western Range Iron Ore Project (Pilbara, Western Australia)
Rio Tinto (54%) in joint venture with China Baowu Steel Group (46%).
Built to sustain production of the “Pilbara Blend” from the existing Paraburdoo hub.
Capacity ~25 million tonnes per year.
Includes construction of a primary crusher and an ~18-km conveyor to the Paraburdoo processing plant.
As of last report, ~90% complete; first ore expected in first half of 2025. 
Rio Tinto
Hope Downs 2 Mine Project (Western Australia)
State &amp; federal approvals obtained.
Rio’s share is 50% (50/50 JV with Hancock Prospecting).
New above-water-table iron ore pits (two new pits) with combined production capacity ~31 million tonnes per year.
Includes ancillary infrastructure: dry processing facilities, conveyors, roads, railway crossings.
First ore targeted in 2027. 
Rio Tinto
Burra Scandium Project (New South Wales, Australia)
High-grade scandium oxide resource.
This is one of the highest-grade primary scandium oxide resources globally.
Potential to be the first primary scandium production site outside Asia. 
Rio Tinto
+1
Brockman Syncline 1 (Pilbara, Western Australia)
Rio Tinto is investing ~US$1.8 billion to develop this project. 
Reuters
It’s part of the Pilbara iron ore replacement pipeline.
Expected to begin producing first ore in 2027, earlier than some previous schedules.</t>
  </si>
  <si>
    <t>https://www.riotinto.com/</t>
  </si>
  <si>
    <t>https://www.asx.com.au/markets/company/RIO</t>
  </si>
  <si>
    <t>BHP Group Limited</t>
  </si>
  <si>
    <t>BHP</t>
  </si>
  <si>
    <t>BHP Group Limited (BHP) is a diversified natural resources company. The company's assets, operations and interests include iron ore, copper, metallurgical coal, nickel and potash.</t>
  </si>
  <si>
    <t>Name &amp; Identity: BHP (originally “Broken Hill Proprietary Company”) is an Australian multinational mining, metals and resources company. Headquarters: Melbourne, Victoria, Australia. Global Reach: Operates in many (90+) locations globally, with products sold all over the world. BHP is involved in the full chain of resource extraction and mining, including exploration, extraction, processing and selling of commodities. Key products and sectors include:
Iron ore — strong business especially in Australia. Coal (both metallurgical coal for steelmaking, and thermal coal). Copper — growing in importance, especially given global trends toward electrification and renewable energy. Nickel, potash, and other minerals. Historically had petroleum / oil &amp; gas operations, though it has scaled back in that area.  History &amp; Evolution
Some major historical points:
Founded in 1885 as the Broken Hill Proprietary Company, mining silver, lead, zinc in Broken Hill, NSW, Australia. 
Over decades, expanded into steel production, other minerals, global operations. 
In 2001, BHP merged with Billiton to become BHP Billiton, combining large resource portfolios. 
Over time, it has streamlined/divested non-core businesses. For example, its steel assets were spun off, and more recently, it exited some oil &amp; gas (hydrocarbon) businesses. 
In 2018, it simplified its corporate structure, rebranding from “BHP Billiton” to “BHP.” 
In 2022, BHP delisted from the London Stock Exchange and consolidated listing in Australia.</t>
  </si>
  <si>
    <t>New / Growth Projects of BHP (from recent annual report)
Jansen Stage 1 (Potash, Canada)
Capex increased to about US$7.0–7.4 billion.
First production targeted for mid-2027.
Around 68% complete.
Jansen Stage 2 first production now considered for FY2031.
Copper Projects
Acquired 50% interest in Josemaría and Filo del Sol deposits through the Vicuña joint venture.
Growth programme at Escondida in Chile to sustain/boost copper output.
South Australian copper operations flagged for potential production doubling through phased expansions.
Iron Ore (Western Australia Iron Ore, WAIO)
Targeting sustained production above 305 Mtpa in the medium term.
Capital &amp; Exploration Spending
Capex and exploration spend expected to be around US$11 billion annually in FY2026 and FY2027.
Planned to reduce to around US$10 billion annually for FY2028–FY2030.</t>
  </si>
  <si>
    <t>https://www.asx.com.au/markets/company/BHP</t>
  </si>
  <si>
    <t>https://www.bhp.com/</t>
  </si>
  <si>
    <t>Mineral Resources</t>
  </si>
  <si>
    <t>MIN</t>
  </si>
  <si>
    <t>Mining Services. Provides contract mining, crushing, processing, and infrastructure services. Owns and operates crushing plants, haulage services, and logistics operations. Major clients include iron ore and lithium miners.</t>
  </si>
  <si>
    <t>Produces iron ore, lithium and mining services in Western Australia</t>
  </si>
  <si>
    <t>Has growth via Onslow Iron; mining services expanding</t>
  </si>
  <si>
    <t>https://www.asx.com.au/markets/company/MIN</t>
  </si>
  <si>
    <t>https://www.mineralresources.com.au/</t>
  </si>
  <si>
    <t>Coles</t>
  </si>
  <si>
    <t>COL</t>
  </si>
  <si>
    <t>Consumer Staples Distribution &amp; Retail</t>
  </si>
  <si>
    <t>Australian retailer of products such as fresh food, groceries, household goods, liquor, fuel and financial services via stores and online</t>
  </si>
  <si>
    <t>Coles runs more than 840 supermarkets, Coles Online, Coles Liquor (via Liquorland, First Choice, Vintage Cellars), and offers financial/retail services and loyalty programs (flybuys). It works with thousands of suppliers and employs over 115,000 staff nationally.</t>
  </si>
  <si>
    <t>Coles is headquartered in Hawthorn East, Victoria. It was founded in 1914 and later privatized, re-listed, and now competes closely with Woolworths in the Australian retail market.</t>
  </si>
  <si>
    <t>https://www.coles.com.au/browse/chips-chocolates-snacks/chips?cid=col_cpc_Brand|ColesSupermarkets|Confectionery|Australia&amp;s_kwcid=AL!12693!3!738567324869!b!!g!!coles%20chips&amp;gclsrc=aw.ds&amp;gad_source=1&amp;gad_campaignid=22331111435&amp;gbraid=0AAAAADzlvJcKkMFcZm78ZmREFaz4MsN6r&amp;gclid=EAIaIQobChMI8fbinvLyjwMVOdgWBR0mJjIwEAAYASAAEgKuRvD_BwE</t>
  </si>
  <si>
    <t>https://www.asx.com.au/markets/company/COL</t>
  </si>
  <si>
    <t>Woolsworth</t>
  </si>
  <si>
    <t>WOW</t>
  </si>
  <si>
    <t>Food, general merchandise and specialty retailing through chain store operations</t>
  </si>
  <si>
    <t>The group sources food, beverages, general merchandise and consumer goods from suppliers and sells them through its network of supermarkets (Woolworths, Metro, NZ), Big W, and online platforms. It also operates supply chain, data analytics, loyalty, and marketplace services (e.g. MyDeal, Everyday Rewards).</t>
  </si>
  <si>
    <t>Woolworths’ liquor, hospitality and gaming businesses were demerged into the Endeavour Group; Woolworths retains focus on food &amp; everyday retail</t>
  </si>
  <si>
    <t>https://www.woolworths.com.au/shop/browse/footy-finals-kiosk/freezer-favourites/peters?utm_source=google&amp;utm_medium=cpc&amp;utm_campaign=WOW-20028933&amp;gclsrc=aw.ds&amp;gad_source=1&amp;gad_campaignid=22956875984&amp;gbraid=0AAAAACoj6t6ayemb1qhbfWniYHtYtW0nM&amp;gclid=EAIaIQobChMIh8vYs_LyjwMVCvMWBR3tgw0fEAAYASAAEgK0aPD_BwE</t>
  </si>
  <si>
    <t>https://www.asx.com.au/markets/company/WOW</t>
  </si>
  <si>
    <t>JB HI-FI Limited</t>
  </si>
  <si>
    <t>JBH</t>
  </si>
  <si>
    <t xml:space="preserve">Consumer Staples Distribution &amp; Retail </t>
  </si>
  <si>
    <t>JB Hi-Fi is a leading Australian retailer specialising in consumer electronics, home appliances, and entertainment products, operating across Australia and New Zealand.</t>
  </si>
  <si>
    <t>Founded in 1974, the JB Hi-Fi Group comprises key brands including JB Hi-Fi, The Good Guys, and e&amp;s, offering a multichannel retail presence (physical stores, online, commercial) and focusing on competitive pricing and specialist customer service.</t>
  </si>
  <si>
    <t>The company has over 190,000 team members and operates a large store network across Australia and New Zealand.</t>
  </si>
  <si>
    <t>https://www.jbhifi.com.au/</t>
  </si>
  <si>
    <t>https://www.asx.com.au/markets/company/JBH</t>
  </si>
  <si>
    <t>WESFARMERS LIMITED</t>
  </si>
  <si>
    <t>WES</t>
  </si>
  <si>
    <t>Consumer Discretionary Distribution &amp; Retail</t>
  </si>
  <si>
    <t xml:space="preserve">Diversified industrial with interests including retail operations covering home improvement and office supplies; general merchandise and specialty departments stores, gas processing and distribution; chemicals and fertilisers; and industrial and safety </t>
  </si>
  <si>
    <t>Wesfarmers — a diversified corporation
From its origins in 1914 as a Western Australian farmers’ cooperative, Wesfarmers has grown into one of Australia’s largest listed companies. With headquarters in Perth, Wesfarmers’ diverse businesses today span: home improvement, outdoor living products and supply of building materials; general merchandise and apparel; office and technology products; retailing and provision of health, beauty and wellness products and services; management of a retail subscription program and shared data asset; wholesale distribution of pharmaceutical goods; manufacturing and distribution of chemicals and fertilisers; gas processing; natural gas retailing; participation in an integrated lithium joint venture, including operation of a mine and concentrator, and development of a refinery; industrial and safety product distribution; and management of the Group’s investments. Wesfarmers is one of Australia’s largest private sector employers with more than 118,000 team members and is owned by more than 480,000 shareholders.
The primary objective of Wesfarmers is to provide a satisfactory return to its shareholders.
The company aims to achieve this by:
anticipating the needs of our customers and delivering competitive goods and services;
looking after our team members and providing a safe, fulfilling work environment;
engaging fairly with our suppliers, and sourcing ethically and sustainably;
supporting the communities in which we operate;
taking care of the environment; and
acting with integrity and honesty in all of our dealings.
Our history
Learn about the history of Wesfarmers. Read more
Sustainability Performance
To continue creating value over the long term, Wesfarmers is committed to proactively managing its community and environmental impact. For more information click here
Corporate governance
We maintain robust corporate governance policies in all our businesses. More about our Corporate Governance
GRI 2-1</t>
  </si>
  <si>
    <t xml:space="preserve">Divisional highlights: Bunnings Group:  Lowest-price positioning supported 
value-conscious customers
• Productivity initiatives enabling 
customer experience and business 
simplicity
• Invested in the network, including the 
new tool shop format in 175 stores
• Launched Hammer Media, 
partnering with the Group’ s retail 
media network. Kmart group: Strong value credentials resonated 
with customers
• Benefited from productivity initiatives, 
including the integration of Kmart and 
Target’s systems and processes
• Rolled out new Plan C+ format to 5 
stores, with positive early results
• Enhanced digital platforms, with 
monthly active Kmart app users 
doubling on the prior year to +1.3m,  WESCEF: Strong operating performance
• Completed construction of the LiOH
refinery with joint venture partner
• Achieved first LiOH product at the 
refinery in July 2025
• Good progress made on capacity 
expansion projects, including for 
sodium cyanide and AN, OFFICEWORKS: Continued investment in everyday 
low prices and value
• Sales growth supported by 
expanded technology products 
and services
• New technology layout deployed 
to 25 stores, improving the offer 
and customer experience, Wesfarmers remains well 
positioned to deliver 
satisfactory returns to 
shareholders over the long term
• Higher costs remain a challenge 
for many businesses and are 
weighing on business demand
• Geopolitical risks continue to 
present uncertainties to Australia’s 
economic outlook
• Despite these challenges, the 
Australian economy remains 
resilient, supported by a strong 
labour market and moderating 
inflation, which are contributing to 
a modest improvement in 
consumer demand
• Recent easing of interest rates is 
expected to provide further relief 
for households and businesses, 
supporting consumer sentiment 
and business confidence. The Group’s retail divisions are 
well positioned to profitably grow 
their share of customer wallet
– Supported by strong value 
credentials, broad customer 
appeal and growing 
addressable markets
– Focused on leveraging 
investments in omnichannel 
assets and capabilities to drive 
incremental sales and earnings
– For 1H26 to date, the retail 
divisions have traded well
– Bunnings’ sales growth was 
stronger compared to 2H25
– Kmart Group’s sales growth 
was broadly in line with the 
stronger sales growth in 
2H25 
– Officeworks maintained solid 
sales momentum, with sales 
growth broadly in line with 
2H25,  The performance of the Group’s 
industrial businesses remains 
subject to international commodity 
prices, foreign exchange rates, 
competitive factors and seasonal 
outcomes
• Wesfarmers and its joint venture 
partner remain focused on the 
development of the Covalent 
lithium project
– In a significant milestone, first 
product at the refinery was 
achieved in July 2025
– FY26 will be a transitional year, 
as the refinery ramps up over 
the next 18 months
• Health is well positioned to 
accelerate earnings and returns by 
executing its transformation 
program and capitalising on 
growing customer demand for 
health and wellness, Domestic cost pressures are likely 
to persist, driven by labour, energy 
and supply chain costs
• To mitigate cost pressures, the 
divisions will continue to execute 
productivity initiatives
– This includes investments to 
digitise operations and increase 
the use of AI to support growth 
and efficiency
• Wesfarmers’ strong balance sheet 
provides capacity to manage 
potential risks and opportunities 
under a range of scenarios
• The Group expects net capital 
expenditure of between $1,000m 
and $1,300m for FY26
– Excludes any proceeds from the 
sale and leaseback of Bunnings 
properties following the wind up 
of the BPI property structure in 
September 2025
</t>
  </si>
  <si>
    <t>https://www.wesfarmers.com.au/</t>
  </si>
  <si>
    <t>https://www.asx.com.au/markets/company/WES</t>
  </si>
  <si>
    <t>RESMED INC</t>
  </si>
  <si>
    <t>RMD</t>
  </si>
  <si>
    <t>Healthcare Equipment and Services</t>
  </si>
  <si>
    <t>ResMed designs, manufactures, and markets cloud-connected medical devices and software for treating sleep apnea, respiratory disorders, and chronic conditions.</t>
  </si>
  <si>
    <t>ResMed operates in over 140 countries, pioneering digital health solutions and remote monitoring platforms. Its core segments include Sleep &amp; Respiratory Care and Software as a Service (SaaS).</t>
  </si>
  <si>
    <r>
      <rPr>
        <sz val="11"/>
        <color rgb="FF000000"/>
        <rFont val="Aptos Narrow"/>
        <scheme val="minor"/>
      </rPr>
      <t xml:space="preserve">ResMed Inc., founded in 1989 and headquartered in San Diego, California, is a global leader in digital health and cloud-connected medical devices focused on sleep apnea, chronic obstructive pulmonary disease (COPD), and other respiratory conditions. The company operates in over 140 countries and has two core segments: Sleep &amp; Respiratory Care and Software as a Service (SaaS). Its connected solutions, including </t>
    </r>
    <r>
      <rPr>
        <b/>
        <sz val="11"/>
        <color rgb="FF000000"/>
        <rFont val="Aptos Narrow"/>
        <scheme val="minor"/>
      </rPr>
      <t>AirView</t>
    </r>
    <r>
      <rPr>
        <sz val="11"/>
        <color rgb="FF000000"/>
        <rFont val="Aptos Narrow"/>
        <scheme val="minor"/>
      </rPr>
      <t xml:space="preserve"> and </t>
    </r>
    <r>
      <rPr>
        <b/>
        <sz val="11"/>
        <color rgb="FF000000"/>
        <rFont val="Aptos Narrow"/>
        <scheme val="minor"/>
      </rPr>
      <t>myAir</t>
    </r>
    <r>
      <rPr>
        <sz val="11"/>
        <color rgb="FF000000"/>
        <rFont val="Aptos Narrow"/>
        <scheme val="minor"/>
      </rPr>
      <t xml:space="preserve">, support remote patient monitoring and out-of-hospital care, while its SaaS platforms help providers streamline workflows. ResMed is listed on the NYSE under the ticker </t>
    </r>
    <r>
      <rPr>
        <b/>
        <sz val="11"/>
        <color rgb="FF000000"/>
        <rFont val="Aptos Narrow"/>
        <scheme val="minor"/>
      </rPr>
      <t>RMD</t>
    </r>
    <r>
      <rPr>
        <sz val="11"/>
        <color rgb="FF000000"/>
        <rFont val="Aptos Narrow"/>
        <scheme val="minor"/>
      </rPr>
      <t xml:space="preserve"> and continues to invest in technology that improves patient outcomes and reduces healthcare costs.</t>
    </r>
  </si>
  <si>
    <t>https://www.resmed.com.au/</t>
  </si>
  <si>
    <t>https://www.asx.com.au/markets/company/RMD</t>
  </si>
  <si>
    <t xml:space="preserve"> Sigma HealthCare LTD</t>
  </si>
  <si>
    <t>SIG</t>
  </si>
  <si>
    <t>Sigma Healthcare is an Australian full-line pharmaceutical wholesaler, distributor, and retail pharmacy network operator.</t>
  </si>
  <si>
    <t>The company supports a network of branded and independent pharmacies (under names like Amcal, Discount Drug Stores, Guardian, etc.), provides supply chain, logistics, dose administration, retail support services, and also operates in hospital pharmacy services.</t>
  </si>
  <si>
    <t>In February 2025, Sigma merged with the Chemist Warehouse Group, combining its distribution infrastructure with Chemist Warehouse’s retail reach.</t>
  </si>
  <si>
    <t>https://sigmahealthcare.com.au/</t>
  </si>
  <si>
    <t>https://www.asx.com.au/markets/company/SIG</t>
  </si>
  <si>
    <t>Pro Medicus LTD</t>
  </si>
  <si>
    <t>PME</t>
  </si>
  <si>
    <t>Pro Medicus is a healthcare informatics company that develops and supplies medical imaging software (e.g. PACS, RIS, enterprise imaging) and related services to hospitals, imaging centres, and healthcare groups globally</t>
  </si>
  <si>
    <r>
      <t xml:space="preserve">Founded in 1983 and headquartered in Richmond, Australia, Pro Medicus offers advanced imaging IT solutions, including its flagship </t>
    </r>
    <r>
      <rPr>
        <b/>
        <sz val="11"/>
        <color theme="1"/>
        <rFont val="Aptos Narrow"/>
        <family val="2"/>
        <scheme val="minor"/>
      </rPr>
      <t>Visage 7</t>
    </r>
    <r>
      <rPr>
        <sz val="11"/>
        <color theme="1"/>
        <rFont val="Aptos Narrow"/>
        <family val="2"/>
        <scheme val="minor"/>
      </rPr>
      <t xml:space="preserve"> platform, RIS systems, and mobile applications (Visage Ease / Ease Pro). It operates internationally with offices in Australia, Berlin, and San Diego and serves clients across Australia, North America, and Europe.</t>
    </r>
  </si>
  <si>
    <t>In 2009, Pro Medicus acquired visage imading, bolstering its global reach and technology suite.The company positions itself as a “full stack” imaging software provider, integrating viewer, archive, and workflow capabilities.Pro Medicus is listed on the ASX and emphasizes cloud-based, scalable, high-performance imaging solutions.</t>
  </si>
  <si>
    <t>https://www.promed.com.au/about/</t>
  </si>
  <si>
    <t>https://www.asx.com.au/markets/company/PME</t>
  </si>
  <si>
    <t>QBE Insurance Group Limited</t>
  </si>
  <si>
    <t>QBE</t>
  </si>
  <si>
    <t>Insurance</t>
  </si>
  <si>
    <t>QBE is a global insurer and reinsurer headquartered in Sydney, Australia. It provides a wide range of insurance products including property, motor, crop, liability, aviation, and marine cover, and is known for its strong underwriting expertise. With operations in more than 25 countries, QBE is recognized as one of the world’s top 20 general insurance and reinsurance companies.</t>
  </si>
  <si>
    <t>Founded in 1886, QBE has grown from a small Australian insurer into an international group with divisions across North America, Europe, and Asia Pacific. It has significant involvement in the Lloyd’s of London market and also manages investments to support its insurance operations. The company emphasizes risk management, resilience, and innovation to deliver tailored insurance solutions for individuals, businesses, and institutions.</t>
  </si>
  <si>
    <t>QBE Insurance is one of the world’s leading insurers, operating across North America, Europe, Asia Pacific, and Australia. It underwrites a wide variety of insurance products including property, motor, crop, liability, marine, aviation, and professional indemnity. The company also plays an active role in the London insurance market through Lloyd’s syndicates and manages a strong investment portfolio to support its underwriting operations. Founded in 1886 and headquartered in Sydney, QBE has built its reputation on risk management expertise and global reach, with a strategy focused on disciplined underwriting and innovation in insurance solutions.</t>
  </si>
  <si>
    <t>https://www.qbe.com/</t>
  </si>
  <si>
    <t>https://www.asx.com.au/markets/company/QBE</t>
  </si>
  <si>
    <t>Insurance Australia Group Limited</t>
  </si>
  <si>
    <t>IAG</t>
  </si>
  <si>
    <t>IAG is Australia and New Zealand’s largest general insurance group, offering home, motor, business, and specialty insurance products. It operates under well-known brands including NRMA Insurance, CGU, WFI, and AMI, reaching millions of customers across the region.</t>
  </si>
  <si>
    <t>Headquartered in Sydney, IAG not only dominates the domestic insurance market but also has partnerships and operations in parts of Asia such as Malaysia and Thailand. The company plays a prominent role in disaster preparedness and climate resilience initiatives, aligning its insurance services with broader community safety goals. Its scale and brand portfolio make it a leader in both financial strength and social responsibility.</t>
  </si>
  <si>
    <t>IAG is the largest general insurance group in Australia and New Zealand, with a wide network of brands such as NRMA Insurance, CGU, WFI, and AMI. Beyond its strong presence in the domestic market, IAG also has interests in Asia, including Malaysia and Thailand. The company provides a broad spectrum of personal and commercial insurance products ranging from home, motor, and travel insurance to specialized business cover. Headquartered in Sydney, IAG positions itself as a leader not only in financial strength but also in disaster resilience and sustainability, playing an active role in community safety and climate resilience initiatives.</t>
  </si>
  <si>
    <t>https://www.iag.com.au/</t>
  </si>
  <si>
    <t>https://www.asx.com.au/markets/company/IAG</t>
  </si>
  <si>
    <t>MediBank Private Limited</t>
  </si>
  <si>
    <t>MPL</t>
  </si>
  <si>
    <t>Medibank is Australia’s largest private health insurer, providing health cover through its Medibank and ahm brands. Its insurance offerings include hospital, extras, ambulance, and overseas health cover.</t>
  </si>
  <si>
    <t>Beyond traditional insurance, Medibank has expanded into healthcare services such as telehealth, mental health support, and in-home care through its Medibank Health arm. The company, originally government-owned, was privatized in 2014 and now serves millions of Australians. Despite facing challenges such as a major cyberattack in 2022, Medibank continues to focus on delivering affordable and accessible healthcare, while also investing in digital health innovation.</t>
  </si>
  <si>
    <t>Medibank is Australia’s largest private health insurer, covering millions of people through its Medibank and ahm brands. Its services extend beyond health insurance into telehealth, mental health support, and in-home care under its “Medibank Health” arm. Originally owned by the Australian government, the company was privatized in 2014 through a public float. Medibank has a reputation for delivering affordable healthcare access but also faced challenges, including a large-scale cyberattack in 2022 that compromised customer data. Despite such setbacks, the company remains central to Australia’s healthcare landscape and continues to expand its role in preventative health and digital healthcare solutions.</t>
  </si>
  <si>
    <t>https://www.medibank.com.au/</t>
  </si>
  <si>
    <t>https://www.asx.com.au/markets/company/MPL</t>
  </si>
  <si>
    <t>REA Group LTD</t>
  </si>
  <si>
    <t>REA</t>
  </si>
  <si>
    <t>Media and Entertainment</t>
  </si>
  <si>
    <t>REA Group is a leading digital advertising company specializing in property and real estate platforms. Its flagship product, realestate.com.au, is Australia’s number one property website.</t>
  </si>
  <si>
    <t>Founded and headquartered in Melbourne, REA has expanded internationally, with property businesses in Asia, North America, and Europe. The company also operates commercial property platforms and provides data, research, and digital tools to real estate professionals and consumers. Majority-owned by News Corp, REA leverages technology and analytics to strengthen its position as a global leader in digital property marketplaces</t>
  </si>
  <si>
    <t>REA Group, headquartered in Melbourne, is a leading global digital business specializing in property advertising and real estate platforms. Its flagship website, realestate.com.au, is the dominant property search portal in Australia. The company also operates realcommercial.com.au for commercial property and has expanded internationally with investments and operations in Asia, Europe, and North America. Majority-owned by News Corp Australia, REA Group leverages data and digital innovation to provide advertising solutions for real estate agents, developers, and consumers. Its growing suite of tools and services reflects its strategy to become a data-driven leader in the property sector, beyond just listings.</t>
  </si>
  <si>
    <t>https://www.rea-group.com/</t>
  </si>
  <si>
    <t>https://www.asx.com.au/markets/company/REA</t>
  </si>
  <si>
    <t>News Coorparation</t>
  </si>
  <si>
    <t>NWS</t>
  </si>
  <si>
    <t>News Corporation is a global media and publishing company with operations across news, digital media, real estate, subscription services, and book publishing.</t>
  </si>
  <si>
    <t>In Australia, it operates as News Corp Australia, which publishes major newspapers, magazines, and digital news platforms. Globally, the company owns Dow Jones (publisher of The Wall Street Journal), HarperCollins, and stakes in real estate platforms such as REA Group. With listings on the NYSE under the ticker NWS, News Corp combines traditional publishing with digital innovation to remain one of the most influential players in global media.</t>
  </si>
  <si>
    <t>News Corporation, often referred to as News Corp, is a global media and publishing conglomerate with strong operations in Australia, the United States, and the United Kingdom. In Australia, it operates as News Corp Australia, publishing major newspapers, magazines, and digital news services while also holding significant stakes in real estate platforms such as REA Group. Globally, News Corp owns Dow Jones (publisher of The Wall Street Journal), HarperCollins Publishers, and various subscription television and digital platforms. The company’s portfolio represents a blend of traditional publishing and digital media innovation, making it a central player in shaping global news and entertainment landscapes.</t>
  </si>
  <si>
    <t>https://newscorp.com/</t>
  </si>
  <si>
    <t>https://www.asx.com.au/markets/company/NWS</t>
  </si>
  <si>
    <t>Car Group Limited</t>
  </si>
  <si>
    <t>CAR</t>
  </si>
  <si>
    <t>CAR Group, formerly carsales.com, is a global digital marketplace business specializing in automotive classifieds and related services. It operates platforms that connect car buyers, sellers, and dealers across multiple international markets.</t>
  </si>
  <si>
    <t>Headquartered in Victoria, Australia, CAR Group runs well-known brands such as Carsales (Australia), Encar (South Korea), Trader Interactive (U.S.), chileautos (Chile), and holds a major stake in Webmotors (Brazil). Its platforms combine vehicle listings with finance, insurance, and automotive data insights, making it an essential part of the car-buying journey for millions of customers worldwide.</t>
  </si>
  <si>
    <t>CAR Group, formerly known as carsales.com, is a digital marketplace company specializing in automotive classifieds. It operates well-known platforms such as Carsales in Australia, Encar in South Korea, Trader Interactive in the United States, and chileautos in Chile, while also holding a significant stake in Webmotors in Brazil. The company is headquartered in Cremorne, Victoria, and has expanded rapidly into international markets. CAR Group’s business model combines vehicle listings with finance, insurance, and data insights, making it a key enabler in the automotive industry. Its growth highlights the strength of digital marketplaces in connecting buyers, sellers, and service providers globally.</t>
  </si>
  <si>
    <t>https://cargroup.com/</t>
  </si>
  <si>
    <t>https://www.asx.com.au/markets/company/CAR</t>
  </si>
  <si>
    <t>Scentre Group</t>
  </si>
  <si>
    <t>SCG</t>
  </si>
  <si>
    <t xml:space="preserve">	Equity Real Estate Investment Trusts (REITs)</t>
  </si>
  <si>
    <t>Property management and development.</t>
  </si>
  <si>
    <t>About Us
Our Purpose is creating extraordinary places, connecting and enriching communities.
Scentre Group owns and operates a leading platform of 42 Westfield destinations with 37 located in Australia and five in New Zealand. Retail assets under management are valued at $50.7 billion with the Group’s ownership interests valued at $35 billion.
We are focused on long-term growth, leveraging the strength of our core business by becoming essential to people, their communities and the businesses that interact with them.
More than 20 million people live within close proximity to a Westfield destination. Our centres are hubs of local economic activity contributing to local employment and support a network of local businesses and suppliers.
Our operating platform is unique because we have a vertically integrated business model and a team of people with capabilities that can design, construct, operate, manage and market our assets. Our sustainable business framework is balanced across four key areas - people, community, environment and economic performance.
In striving to achieve Our Purpose we are guided by our values – our DNA – which underpin the standards we expect of ourselves and of others. Our DNA is a central part of our approach to business integrity and our Code of Conduct. It is how we put our culture into action.</t>
  </si>
  <si>
    <t>SCENTRE GROUP DELIVERS FUNDS FROM OPERATIONS OF $587 MILLION, 
UP 3.2% FOR THE FIRST SIX MONTHS OF 2025 AND 
UPGRADES FULL YEAR DISTRIBUTION GUIDANCE
Scentre Group (ASX: SCG) today released its results for the six months to 30 June 2025 with 
Funds From Operations (FFO) of $587 million (11.28 cents per security), up 3.2% and 
Distributions of $459 million or 8.815 cents per security, up 2.5%. 
The Group reconfirms its target for FFO is 22.75 cents per security for 2025, representing 
4.3% growth for the year. Distribution guidance for the second half of 2025 has been 
upgraded to 8.905 cents per security, representing 3.5% growth over the prior corresponding 
period. This would equate to a full year 2025 distribution growth of 3.0%.
Statutory Profit for the period was $782 million and includes an unrealised property valuation 
increase of $177 million. As at 30 June 2025, the Group’s portfolio was valued at $34.7 billion.
Scentre Group Chief Executive Officer Elliott Rusanow said: “Our focus on creating more 
reasons for people to spend their time at our 42 Westfield destinations in Australia and New 
Zealand is delivering strong operational performance. We have welcomed 340 million
customer visitations so far this year. This is an increase of 3.0% or 10 million more visits 
compared to the same period last year.
“Our business partners achieved record sales of $29.3 billion in the 12 months to 30 June 
2025, an increase of $719 million on the same period in 2024. This is approximately $5 billion 
more sales generated through our destinations than in 2019.
“Attracting more people to our destinations has continued to drive strong demand from 
businesses to partner with us. Portfolio occupancy is 99.7% at 30 June 2025, representing 
the highest level since 2017.
“Total Portfolio Net Operating Income grew by 3.7% to $1,043 million for the six months to 30 
June 2025. Average specialty rent escalations increased by 4.5% and new lease spreads 
were +3.0% during the first six months of 2025.
“In the six months to 30 June 2025, business partners’ sales grew to $13.8 billion, up 2.9% on 
the same period last year. Specialty sales were 3.9% higher in the same six month period. 
“We are seeing this strong performance continue with total business partner sales for July
2025 up 5.0% and specialty sales up 6.1% on the same period last year.
“The Westfield membership program now exceeds 4.7 million members, an increase of 
600,000 compared to 12 months ago. We continue to invest in unique offers and experiences 
to strengthen member engagement and visitation.
“Our destinations and 670 hectares of strategic land holdings are key community 
infrastructure with the potential to deliver additional housing at scale. We continue to 
progress our significant and long-term growth opportunities by utilising our prime urban land 
to create the town centres of the future.</t>
  </si>
  <si>
    <t>https://www.scentregroup.com/</t>
  </si>
  <si>
    <t>https://www.asx.com.au/markets/company/SCG</t>
  </si>
  <si>
    <t>GOODMAN GROUP</t>
  </si>
  <si>
    <t>GMG</t>
  </si>
  <si>
    <t>Goodman Group is a provider of essential infrastructure. We own, develop and manage high quality, sustainable logistics properties and data centres in major global cities, that are critical to the digital economy.</t>
  </si>
  <si>
    <t>Goodman Group is a provider of essential infrastructure. We own, develop and manage high quality, sustainable logistics properties and data centres in major global cities, that are critical to the digital economy. Goodman operates in key consumer markets in 15 countries across Asia Pacific, Europe and the Americas. We are the largest property group listed on the Australian Securities Exchange and invest significantly alongside our capital partners in our investment Partnerships. 
But we’re more than that. We’re a collaborative team who work together to make a tangible difference for our customers, our people and the communities we operate in. We believe in innovation, determination, integrity and sustainability – and we strive to make space for greatness in everything we do. 
Our integrated business model
Goodman’s Own Develop Manage model focuses our business on our customers’ current and future needs.
We own and maintain high-quality properties in key global cities, we develop essential infrastructure, and we manage our global investment portfolio to the highest standards. We work alongside our capital partners, which include sovereign wealth, pension and large multi-manager funds. In each market, our dedicated local teams take care of all aspects of property asset and investment management, delivering a high level of customer service.</t>
  </si>
  <si>
    <t xml:space="preserve">The concentration of Goodman’s properties in urban infill locations provides opportunities to enhance sites, primarily through planning, to 
alternative and higher intensity uses over time. Over the years, it has given rise to multi-storey logistics, residential conversions and data 
centres, delivering significant long-term value to the business, its customers and investors. 
The expansion of Goodman’s data centre portfolio and power bank to 5.0 GW demonstrates its ability to deliver digital infrastructure, 
where it is securing power on its sites and developing data centres in cities with high demand. 
For logistics, Goodman’s strategically located properties are the infrastructure that facilitate the movement of goods through the global 
economy. As markets experience greater volatility and cost pressures, customers are seeking sophisticated solutions that provide 
greater efficiency and productivity, allowing them to extract more value from the sites. Goodman’s properties provide customers with the 
opportunity to improve their performance through digitisation, mechanisation and automation of their facilities. This is particularly 
important to the e-commerce sector which despite slowing overall retail sales growth, is still expected to grow by 57% globally over the 
next five years (Source: Euromonitor).
It all comes down to location, intensity of use, and increased productivity.
Portfolio strength underscoring $2.05 billion operating profit 
Goodman’s locational strategy has meant that there is still more demand than there is supply in its target markets. This has translated to 
positive operating conditions for the Group, with $2.05 billion in operating profit. 
Property investment income was up 7% to $567.1 million, with investment in Partnerships for acquisitions and development completions, 
in combination with rental growth, offsetting disposals. Occupancy remained high at 97.7%, and like-for-like net property income growth 
of 4.9% reflected the continued demand for Goodman’s properties in the majority of its markets. 
Development activity continued strongly throughout the year with Goodman maintaining work in progress of $13.0 billion and completing 
$4.2 billion worth of projects. Development earnings were strong at $1.28 billion.
A key highlight was the increase in management earnings, which were up 62% on FY23 to $776.4 million, driven primarily by higher 
performance fees. Goodman raised $1.4 billion of capital across the Partnership platform and added one new Partnership, taking the total 
to 21, with $70.2 billion external assets under management.
Active management optimising returns 
Goodman is an active manager focused on optimising returns for its investors. During the year, the management of the $4.1 billion NZXlisted Goodman Property Trust (GMT) was internalised. This new structure offers greater growth opportunities for GMT unit holders and 
enhances returns on the Group’s investment. Goodman also continued to actively rotate assets, including the sale of a $780 million 
portfolio of Australian properties to a major superannuation investor. Goodman regularly reviews its assets, capital structures, and global 
capital allocation, and anticipates undertaking further recycling of capital as a means to optimise the portfolio composition and capital 
position. 
Strong balance sheet 
Goodman continued its prudent approach to capital management. The Group has maintained low gearing of 8.4%, strong interest cover, 
and $3.8 billion of cash and undrawn lines with a further $14 billion available through the Partnerships. This provides the Group with flexibility 
to pursue investment and development opportunities, particularly in the data centre space where capital intensity is increasing. The Group is
keeping distributions steady at 30 cents per security, enabling profits to be reinvested into the business and support its growth. 
Data centre opportunity 
Goodman has made significant progress on its data centre strategy in FY24, with data centres now accounting for 40% of Goodman’s 
work in progress. Goodman’s global power bank of 5.0 GW, combined with its proven development expertise and strong capital position, 
enables it to deliver best in class solutions for its customers at scale, while delivering strong returns for investors.
This strategically located power bank across 13 major global cities is a source of competitive advantage as the Group seeks to reposition 
several of its industrial sites as higher value data centres. Goodman’s 5.0 GW power bank now includes 2.5 GW of secured power 
consisting of 0.5 GW of completed facilities, 0.4 GW work in progress and 1.6 GW of secured power to sites Goodman owns or controls. 
The remaining 2.5 GW is in advanced stages of procurement. 
Goodman further demonstrated its strong track record in designing, developing and delivering large-scale data centre projects by 
completing projects, advancing planning for future projects, and commencing extensive infrastructure works to reduce time to market 
for its sites around the world. 
This year Goodman also strengthened its integrated local and global specialist data centre team with key strategic hires, working in 
conjunction with the existing team who have a strong track record of delivering complex infrastructure projects.
</t>
  </si>
  <si>
    <t>https://www.goodman.com/</t>
  </si>
  <si>
    <t>https://www.asx.com.au/markets/company/GMG</t>
  </si>
  <si>
    <t xml:space="preserve">STOCKLAND </t>
  </si>
  <si>
    <t>SGP</t>
  </si>
  <si>
    <t>Stockland is a leading diversified Australian real estate company that owns, develops, and manages a broad portfolio of property assets. Its operations span retail town centres, logistics and industrial precincts, workplaces and business parks, residential communities (including land leases), and retirement living villages.</t>
  </si>
  <si>
    <t>Founded in 1952, Stockland has grown into one of Australia’s largest property groups. Its business model is “end to end,” meaning it’s involved in the full life cycle of property—from land acquisition and development through to operations and management. In doing so, it positions itself as a “community creator,” aiming to build connected, livable places combining homes, services, workspaces, and retail</t>
  </si>
  <si>
    <t>Stockland is one of Australia’s most diversified property groups, with a portfolio valued at around A$15.5 billion as of June 2024 and a development pipeline estimated at A$50 billion. The company operates across several segments, including investment management, residential and mixed-use development, and retirement living communities. In recent years, Stockland has increasingly emphasized sustainable and community-focused developments, creating neighborhoods that integrate housing, retail, workplaces, and green spaces. Strategically, the group has also begun expanding into adjacent sectors, such as data centres through a partnership with EdgeConneX, broadening its reach beyond traditional real estate.</t>
  </si>
  <si>
    <t>https://www.stockland.com.au/</t>
  </si>
  <si>
    <t>https://www.asx.com.au/markets/company/SGP</t>
  </si>
  <si>
    <t>N/A</t>
  </si>
  <si>
    <t xml:space="preserve">Dexus </t>
  </si>
  <si>
    <t>DXS</t>
  </si>
  <si>
    <t>Dexus is a fully integrated real asset group listed on the ASX (code DXS), specializing in owning, developing, and managing high-quality real estate and infrastructure assets across Australia and the region. It operates across office, industrial, retail, healthcare, infrastructure, and alternative real asset sectors.</t>
  </si>
  <si>
    <t>Dexus manages a real assets portfolio valued at ~A$50.1 billion, including its listed assets and assets under its funds management arm.The listed portfolio alone (direct and indirect) is about A$14.5 billion, with additional capital under management in its funds business.</t>
  </si>
  <si>
    <t>As of 30 June 2025, Dexus manages a real estate and infrastructure portfolio valued at approximately A$50.1 billion, made up of a listed portfolio worth about A$14.5 billion and a funds-management business overseeing around A$35.6 billion in third-party assets.The group also has a development pipeline of roughly A$13.3 billion, which helps drive future growth across both its listed and managed portfolios.</t>
  </si>
  <si>
    <t>https://www.dexus.com/</t>
  </si>
  <si>
    <t>https://www.asx.com.au/markets/company/DSX</t>
  </si>
  <si>
    <t>Half year ending June 2025 Profit after tax attributable to shareholders (net earnings) in Mn AUD</t>
  </si>
  <si>
    <t>Half year ending June 2024 Profit after tax attributable to shareholders (net earnings) in Mn AUD</t>
  </si>
  <si>
    <t>Full year ending June 2025 Profit after tax attributable to shareholders (net earnings) in Mn AUD</t>
  </si>
  <si>
    <t>Full year ending June 2024 Profit after tax attributable to shareholders (net earnings) in Mn AUD</t>
  </si>
  <si>
    <t xml:space="preserve">Earnings per Share (AUD) for half year ending June 2025 </t>
  </si>
  <si>
    <t xml:space="preserve">Earnings per Share (AUD) for half year ending June 2024 </t>
  </si>
  <si>
    <t xml:space="preserve">Price to Earnings ratio (x) </t>
  </si>
  <si>
    <t xml:space="preserve">Book value per share (AUD): </t>
  </si>
  <si>
    <t>Price to Book value (x)</t>
  </si>
  <si>
    <t xml:space="preserve">Revenue 2025 </t>
  </si>
  <si>
    <t xml:space="preserve">Revenue 2024 </t>
  </si>
  <si>
    <t xml:space="preserve"> Profit after tax 2025</t>
  </si>
  <si>
    <t>Profit after tax 2024</t>
  </si>
  <si>
    <t>Earnings per Share (AUD)</t>
  </si>
  <si>
    <t>Book value per share (AUD)</t>
  </si>
  <si>
    <t>Earnings per Share (AUD) for half year ending June 2025 (Net Profit attributable to share holder) divided by Number of shares</t>
  </si>
  <si>
    <t xml:space="preserve">Earnings per Share (AUD) for half year ending June 2024 (Net Profit attributable to share holder) divided by Number of shares. EPS measures how much profit a company generates for each outstanding share of its stock. Interpretation: A higher EPS generally means the company is more profitable on a per-share basis, which is positive for shareholders. </t>
  </si>
  <si>
    <t xml:space="preserve">Price to Earnings ratio (x) for half year ending June 2025 : Market price divided by Earnings per share. The PE ratio shows how much investors are willing to pay for each dollar of the companys earnings. It compares the companys share price with its earnings per share. Interpretation: A high P/E ratio suggests the market expects strong future growth (but it could also mean the stock is overpriced). A low PE ratio may indicate undervaluation or slower growth expectations. </t>
  </si>
  <si>
    <t>Book value per share (AUD): Equity for shareholder/Number of shares. Book Value per Share (BVPS) is a financial ratio that represents the net asset value of a company available to each outstanding share of common stock. BVPS shows the accounting value of each share if the company were liquidated today, based on its historical cost of assets and liabilities. Comparison with Market Price: Market Price per Share &gt; BVPS: Investors believe the company has strong future earnings power, intangible assets (brand, patents, goodwill), or growth potential not fully reflected on the balance sheet. Market Price per Share &lt; BVPS: Could indicate the stock is undervalued, or it may signal concerns about profitability, asset quality, or growth. Indicator of Financial Strength: A higher BVPS over time suggests the company is consistently building value for shareholders (through retained earnings, reinvestments). A declining BVPS could mean losses, high dividend payouts, or write-downs of assets.</t>
  </si>
  <si>
    <t>Price to Book value (x): Market price/Book value per share: It shows how much investors are willing to pay for each $1 of book value (net assets) of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</si>
</sst>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8" x14ac:knownFonts="1">
    <font>
      <sz val="11"/>
      <color theme="1"/>
      <name val="Aptos Narrow"/>
      <family val="2"/>
      <scheme val="minor"/>
    </font>
    <font>
      <sz val="11"/>
      <color theme="1"/>
      <name val="Aptos Narrow"/>
      <family val="2"/>
      <scheme val="minor"/>
    </font>
    <font>
      <u/>
      <sz val="11"/>
      <color theme="10"/>
      <name val="Aptos Narrow"/>
      <family val="2"/>
      <scheme val="minor"/>
    </font>
    <font>
      <sz val="11"/>
      <color rgb="FF000000"/>
      <name val="Aptos Narrow"/>
      <scheme val="minor"/>
    </font>
    <font>
      <sz val="11"/>
      <color rgb="FF000000"/>
      <name val="Aptos Narrow"/>
      <charset val="1"/>
    </font>
    <font>
      <b/>
      <sz val="11"/>
      <color rgb="FF000000"/>
      <name val="Aptos Narrow"/>
      <scheme val="minor"/>
    </font>
    <font>
      <b/>
      <sz val="11"/>
      <color theme="1"/>
      <name val="Aptos Narrow"/>
      <family val="2"/>
      <scheme val="minor"/>
    </font>
    <font>
      <sz val="11"/>
      <color rgb="FF303030"/>
      <name val="Aptos Narrow"/>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0" borderId="0" xfId="0" applyAlignment="1">
      <alignment wrapText="1"/>
    </xf>
    <xf numFmtId="0" fontId="2" fillId="0" borderId="0" xfId="3" applyAlignment="1">
      <alignment wrapText="1"/>
    </xf>
    <xf numFmtId="164" fontId="0" fillId="0" borderId="0" xfId="1" applyFont="1" applyAlignment="1">
      <alignment wrapText="1"/>
    </xf>
    <xf numFmtId="0" fontId="0" fillId="2" borderId="0" xfId="0" applyFill="1" applyAlignment="1">
      <alignment vertical="center" wrapText="1"/>
    </xf>
    <xf numFmtId="9" fontId="0" fillId="2" borderId="0" xfId="2" applyFont="1" applyFill="1" applyAlignment="1">
      <alignment wrapText="1"/>
    </xf>
    <xf numFmtId="9" fontId="0" fillId="2" borderId="0" xfId="2" applyFont="1" applyFill="1"/>
    <xf numFmtId="0" fontId="0" fillId="2" borderId="0" xfId="0" applyFill="1"/>
    <xf numFmtId="164" fontId="0" fillId="2" borderId="0" xfId="0" applyNumberFormat="1" applyFill="1" applyAlignment="1">
      <alignment wrapText="1"/>
    </xf>
    <xf numFmtId="2" fontId="0" fillId="0" borderId="0" xfId="0" applyNumberFormat="1" applyAlignment="1">
      <alignment vertical="center" wrapText="1"/>
    </xf>
    <xf numFmtId="2" fontId="0" fillId="0" borderId="0" xfId="0" applyNumberFormat="1"/>
    <xf numFmtId="0" fontId="2" fillId="0" borderId="0" xfId="3"/>
    <xf numFmtId="0" fontId="3" fillId="0" borderId="0" xfId="0" applyFont="1" applyAlignment="1">
      <alignment wrapText="1"/>
    </xf>
    <xf numFmtId="0" fontId="2" fillId="0" borderId="0" xfId="3" applyFill="1"/>
    <xf numFmtId="0" fontId="4" fillId="0" borderId="0" xfId="0" applyFont="1" applyAlignment="1">
      <alignment wrapText="1"/>
    </xf>
    <xf numFmtId="164" fontId="0" fillId="0" borderId="0" xfId="0" applyNumberFormat="1" applyAlignment="1">
      <alignment wrapText="1"/>
    </xf>
    <xf numFmtId="164" fontId="0" fillId="0" borderId="0" xfId="0" applyNumberFormat="1"/>
    <xf numFmtId="0" fontId="7" fillId="0" borderId="0" xfId="0" applyFont="1" applyAlignment="1">
      <alignment wrapText="1"/>
    </xf>
    <xf numFmtId="164" fontId="0" fillId="0" borderId="0" xfId="1" applyFont="1"/>
    <xf numFmtId="2" fontId="0" fillId="0" borderId="0" xfId="0" applyNumberFormat="1" applyAlignment="1">
      <alignmen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eshani Aldeniya" id="{3CD435EF-D1C0-45C3-9D57-8A9535DEA268}" userId="S::s4064613@student.rmit.edu.au::2c14aa7c-07e4-43fe-921d-55fcdd47acac" providerId="AD"/>
  <person displayName="Imath Bonidu Wickramarachchi Wickramarachchi Veebada Liyana" id="{B7FB5F65-7ACD-4D91-B1D6-4C3D6499E404}" userId="S::s4119684@student.rmit.edu.au::f1d83366-9cd0-4b98-bde6-0750c05865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U21" dT="2025-10-01T03:48:23.87" personId="{B7FB5F65-7ACD-4D91-B1D6-4C3D6499E404}" id="{1ABC82FB-672A-4633-8656-53F57142B699}">
    <text>@deshani akke  I will get back in few minutes to figure out the empty cells yet I have filled some cells with data.Just going back to take the lunch</text>
  </threadedComment>
  <threadedComment ref="U21" dT="2025-10-01T04:43:52.48" personId="{3CD435EF-D1C0-45C3-9D57-8A9535DEA268}" id="{66FC2E2C-05DC-4980-9DB7-703591DE4AC9}" parentId="{1ABC82FB-672A-4633-8656-53F57142B699}">
    <text>I have filled them out.</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asx.com.au/markets/company/RMD" TargetMode="External"/><Relationship Id="rId18" Type="http://schemas.openxmlformats.org/officeDocument/2006/relationships/hyperlink" Target="https://www.promed.com.au/about/" TargetMode="External"/><Relationship Id="rId26" Type="http://schemas.openxmlformats.org/officeDocument/2006/relationships/hyperlink" Target="https://www.iag.com.au/" TargetMode="External"/><Relationship Id="rId39" Type="http://schemas.openxmlformats.org/officeDocument/2006/relationships/hyperlink" Target="https://www.asx.com.au/markets/company/WES" TargetMode="External"/><Relationship Id="rId21" Type="http://schemas.openxmlformats.org/officeDocument/2006/relationships/hyperlink" Target="https://www.asx.com.au/markets/company/QBE" TargetMode="External"/><Relationship Id="rId34" Type="http://schemas.openxmlformats.org/officeDocument/2006/relationships/hyperlink" Target="https://www.asx.com.au/markets/company/GMG" TargetMode="External"/><Relationship Id="rId42" Type="http://schemas.openxmlformats.org/officeDocument/2006/relationships/comments" Target="../comments1.xml"/><Relationship Id="rId7" Type="http://schemas.openxmlformats.org/officeDocument/2006/relationships/hyperlink" Target="https://www.asx.com.au/markets/company/JBH" TargetMode="External"/><Relationship Id="rId2" Type="http://schemas.openxmlformats.org/officeDocument/2006/relationships/hyperlink" Target="https://www.asx.com.au/markets/company/RIO" TargetMode="External"/><Relationship Id="rId16" Type="http://schemas.openxmlformats.org/officeDocument/2006/relationships/hyperlink" Target="https://www.asx.com.au/markets/company/SIG" TargetMode="External"/><Relationship Id="rId20" Type="http://schemas.openxmlformats.org/officeDocument/2006/relationships/hyperlink" Target="https://www.asx.com.au/markets/company/MPL" TargetMode="External"/><Relationship Id="rId29" Type="http://schemas.openxmlformats.org/officeDocument/2006/relationships/hyperlink" Target="https://newscorp.com/" TargetMode="External"/><Relationship Id="rId41" Type="http://schemas.openxmlformats.org/officeDocument/2006/relationships/vmlDrawing" Target="../drawings/vmlDrawing1.vml"/><Relationship Id="rId1" Type="http://schemas.openxmlformats.org/officeDocument/2006/relationships/hyperlink" Target="https://www.riotinto.com/" TargetMode="External"/><Relationship Id="rId6" Type="http://schemas.openxmlformats.org/officeDocument/2006/relationships/hyperlink" Target="https://www.mineralresources.com.au/" TargetMode="External"/><Relationship Id="rId11" Type="http://schemas.openxmlformats.org/officeDocument/2006/relationships/hyperlink" Target="https://www.coles.com.au/browse/chips-chocolates-snacks/chips?cid=col_cpc_Brand|ColesSupermarkets|Confectionery|Australia&amp;s_kwcid=AL!12693!3!738567324869!b!!g!!coles%20chips&amp;gclsrc=aw.ds&amp;gad_source=1&amp;gad_campaignid=22331111435&amp;gbraid=0AAAAADzlvJcKkMFcZm78ZmREFaz4MsN6r&amp;gclid=EAIaIQobChMI8fbinvLyjwMVOdgWBR0mJjIwEAAYASAAEgKuRvD_BwE" TargetMode="External"/><Relationship Id="rId24" Type="http://schemas.openxmlformats.org/officeDocument/2006/relationships/hyperlink" Target="https://www.asx.com.au/markets/company/NWS" TargetMode="External"/><Relationship Id="rId32" Type="http://schemas.openxmlformats.org/officeDocument/2006/relationships/hyperlink" Target="https://www.asx.com.au/markets/company/SCG" TargetMode="External"/><Relationship Id="rId37" Type="http://schemas.openxmlformats.org/officeDocument/2006/relationships/hyperlink" Target="https://www.dexus.com/" TargetMode="External"/><Relationship Id="rId40" Type="http://schemas.openxmlformats.org/officeDocument/2006/relationships/hyperlink" Target="https://www.wesfarmers.com.au/" TargetMode="External"/><Relationship Id="rId5" Type="http://schemas.openxmlformats.org/officeDocument/2006/relationships/hyperlink" Target="https://www.bhp.com/" TargetMode="External"/><Relationship Id="rId15" Type="http://schemas.openxmlformats.org/officeDocument/2006/relationships/hyperlink" Target="https://sigmahealthcare.com.au/" TargetMode="External"/><Relationship Id="rId23" Type="http://schemas.openxmlformats.org/officeDocument/2006/relationships/hyperlink" Target="https://www.asx.com.au/markets/company/REA" TargetMode="External"/><Relationship Id="rId28" Type="http://schemas.openxmlformats.org/officeDocument/2006/relationships/hyperlink" Target="https://www.rea-group.com/" TargetMode="External"/><Relationship Id="rId36" Type="http://schemas.openxmlformats.org/officeDocument/2006/relationships/hyperlink" Target="https://www.asx.com.au/markets/company/SGP" TargetMode="External"/><Relationship Id="rId10" Type="http://schemas.openxmlformats.org/officeDocument/2006/relationships/hyperlink" Target="https://www.asx.com.au/markets/company/WOW" TargetMode="External"/><Relationship Id="rId19" Type="http://schemas.openxmlformats.org/officeDocument/2006/relationships/hyperlink" Target="https://www.asx.com.au/markets/company/CAR" TargetMode="External"/><Relationship Id="rId31" Type="http://schemas.openxmlformats.org/officeDocument/2006/relationships/hyperlink" Target="https://www.scentregroup.com/" TargetMode="External"/><Relationship Id="rId4" Type="http://schemas.openxmlformats.org/officeDocument/2006/relationships/hyperlink" Target="https://www.asx.com.au/markets/company/MIN" TargetMode="External"/><Relationship Id="rId9" Type="http://schemas.openxmlformats.org/officeDocument/2006/relationships/hyperlink" Target="https://www.asx.com.au/markets/company/COL" TargetMode="External"/><Relationship Id="rId14" Type="http://schemas.openxmlformats.org/officeDocument/2006/relationships/hyperlink" Target="https://www.resmed.com.au/" TargetMode="External"/><Relationship Id="rId22" Type="http://schemas.openxmlformats.org/officeDocument/2006/relationships/hyperlink" Target="https://www.asx.com.au/markets/company/IAG" TargetMode="External"/><Relationship Id="rId27" Type="http://schemas.openxmlformats.org/officeDocument/2006/relationships/hyperlink" Target="https://www.medibank.com.au/" TargetMode="External"/><Relationship Id="rId30" Type="http://schemas.openxmlformats.org/officeDocument/2006/relationships/hyperlink" Target="https://cargroup.com/" TargetMode="External"/><Relationship Id="rId35" Type="http://schemas.openxmlformats.org/officeDocument/2006/relationships/hyperlink" Target="https://www.stockland.com.au/" TargetMode="External"/><Relationship Id="rId43" Type="http://schemas.microsoft.com/office/2017/10/relationships/threadedComment" Target="../threadedComments/threadedComment1.xml"/><Relationship Id="rId8" Type="http://schemas.openxmlformats.org/officeDocument/2006/relationships/hyperlink" Target="https://www.jbhifi.com.au/" TargetMode="External"/><Relationship Id="rId3" Type="http://schemas.openxmlformats.org/officeDocument/2006/relationships/hyperlink" Target="https://www.asx.com.au/markets/company/BHP" TargetMode="External"/><Relationship Id="rId12" Type="http://schemas.openxmlformats.org/officeDocument/2006/relationships/hyperlink" Target="https://www.woolworths.com.au/shop/browse/footy-finals-kiosk/freezer-favourites/peters?utm_source=google&amp;utm_medium=cpc&amp;utm_campaign=WOW-20028933&amp;gclsrc=aw.ds&amp;gad_source=1&amp;gad_campaignid=22956875984&amp;gbraid=0AAAAACoj6t6ayemb1qhbfWniYHtYtW0nM&amp;gclid=EAIaIQobChMIh8vYs_LyjwMVCvMWBR3tgw0fEAAYASAAEgK0aPD_BwE" TargetMode="External"/><Relationship Id="rId17" Type="http://schemas.openxmlformats.org/officeDocument/2006/relationships/hyperlink" Target="https://www.asx.com.au/markets/company/PME" TargetMode="External"/><Relationship Id="rId25" Type="http://schemas.openxmlformats.org/officeDocument/2006/relationships/hyperlink" Target="https://www.qbe.com/" TargetMode="External"/><Relationship Id="rId33" Type="http://schemas.openxmlformats.org/officeDocument/2006/relationships/hyperlink" Target="https://www.goodman.com/" TargetMode="External"/><Relationship Id="rId38" Type="http://schemas.openxmlformats.org/officeDocument/2006/relationships/hyperlink" Target="https://www.asx.com.au/markets/company/D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43BE-C165-48B3-921B-E185D70EC568}">
  <dimension ref="A1:AB37"/>
  <sheetViews>
    <sheetView tabSelected="1" topLeftCell="Z1" workbookViewId="0">
      <pane ySplit="1" topLeftCell="A2" activePane="bottomLeft" state="frozen"/>
      <selection pane="bottomLeft" activeCell="AB1" sqref="AB1"/>
    </sheetView>
  </sheetViews>
  <sheetFormatPr defaultRowHeight="15" customHeight="1" x14ac:dyDescent="0.3"/>
  <cols>
    <col min="1" max="1" width="31" customWidth="1"/>
    <col min="2" max="2" width="9.88671875" customWidth="1"/>
    <col min="3" max="3" width="38.109375" customWidth="1"/>
    <col min="4" max="4" width="82.5546875" customWidth="1"/>
    <col min="5" max="5" width="48.44140625" customWidth="1"/>
    <col min="6" max="6" width="53.88671875" customWidth="1"/>
    <col min="7" max="7" width="41.88671875" customWidth="1"/>
    <col min="8" max="8" width="43.88671875" customWidth="1"/>
    <col min="9" max="9" width="17.109375" customWidth="1"/>
    <col min="10" max="10" width="19.109375" customWidth="1"/>
    <col min="11" max="11" width="13.33203125" style="8" customWidth="1"/>
    <col min="12" max="12" width="23.5546875" customWidth="1"/>
    <col min="13" max="13" width="19.5546875" customWidth="1"/>
    <col min="14" max="14" width="16.109375" style="8" customWidth="1"/>
    <col min="15" max="16" width="16.109375" customWidth="1"/>
    <col min="17" max="17" width="16.109375" style="8" customWidth="1"/>
    <col min="18" max="18" width="16.109375" customWidth="1"/>
    <col min="19" max="19" width="19.109375" customWidth="1"/>
    <col min="20" max="20" width="16.109375" style="8" customWidth="1"/>
    <col min="21" max="21" width="16.109375" style="11" customWidth="1"/>
    <col min="22" max="22" width="13.6640625" customWidth="1"/>
    <col min="23" max="23" width="14" customWidth="1"/>
    <col min="24" max="24" width="26.33203125" style="8" customWidth="1"/>
    <col min="25" max="25" width="37.6640625" style="8" customWidth="1"/>
    <col min="26" max="26" width="58.5546875" style="8" customWidth="1"/>
    <col min="27" max="27" width="55.88671875" style="8" customWidth="1"/>
    <col min="28" max="28" width="30.88671875" style="8" customWidth="1"/>
    <col min="29" max="29" width="24.44140625" customWidth="1"/>
  </cols>
  <sheetData>
    <row r="1" spans="1:28" s="1" customFormat="1" ht="142.5" customHeight="1" x14ac:dyDescent="0.3">
      <c r="A1" s="1" t="s">
        <v>0</v>
      </c>
      <c r="B1" s="1" t="s">
        <v>1</v>
      </c>
      <c r="C1" s="1" t="s">
        <v>2</v>
      </c>
      <c r="D1" s="1" t="s">
        <v>3</v>
      </c>
      <c r="E1" s="1" t="s">
        <v>4</v>
      </c>
      <c r="F1" s="1" t="s">
        <v>5</v>
      </c>
      <c r="G1" s="1" t="s">
        <v>6</v>
      </c>
      <c r="H1" s="1" t="s">
        <v>7</v>
      </c>
      <c r="I1" s="1" t="s">
        <v>8</v>
      </c>
      <c r="J1" s="1" t="s">
        <v>9</v>
      </c>
      <c r="K1" s="5" t="s">
        <v>10</v>
      </c>
      <c r="L1" s="1" t="s">
        <v>11</v>
      </c>
      <c r="M1" s="1" t="s">
        <v>12</v>
      </c>
      <c r="N1" s="5" t="s">
        <v>13</v>
      </c>
      <c r="O1" s="1" t="s">
        <v>14</v>
      </c>
      <c r="P1" s="1" t="s">
        <v>15</v>
      </c>
      <c r="Q1" s="5" t="s">
        <v>16</v>
      </c>
      <c r="R1" s="1" t="s">
        <v>17</v>
      </c>
      <c r="S1" s="1" t="s">
        <v>18</v>
      </c>
      <c r="T1" s="5" t="s">
        <v>19</v>
      </c>
      <c r="U1" s="10" t="s">
        <v>20</v>
      </c>
      <c r="V1" s="1" t="s">
        <v>21</v>
      </c>
      <c r="W1" s="1" t="s">
        <v>22</v>
      </c>
      <c r="X1" s="5" t="s">
        <v>187</v>
      </c>
      <c r="Y1" s="5" t="s">
        <v>188</v>
      </c>
      <c r="Z1" s="5" t="s">
        <v>189</v>
      </c>
      <c r="AA1" s="5" t="s">
        <v>190</v>
      </c>
      <c r="AB1" s="5" t="s">
        <v>191</v>
      </c>
    </row>
    <row r="2" spans="1:28" s="2" customFormat="1" ht="60.75" customHeight="1" x14ac:dyDescent="0.3">
      <c r="A2" s="2" t="s">
        <v>23</v>
      </c>
      <c r="B2" s="2" t="s">
        <v>24</v>
      </c>
      <c r="C2" s="2" t="s">
        <v>25</v>
      </c>
      <c r="D2" s="2" t="s">
        <v>26</v>
      </c>
      <c r="E2" s="2" t="s">
        <v>27</v>
      </c>
      <c r="F2" s="2" t="s">
        <v>28</v>
      </c>
      <c r="G2" s="3" t="s">
        <v>29</v>
      </c>
      <c r="H2" s="3" t="s">
        <v>30</v>
      </c>
      <c r="I2" s="4">
        <v>26873</v>
      </c>
      <c r="J2" s="4">
        <v>26802</v>
      </c>
      <c r="K2" s="6">
        <f>(I2-J2)/ABS(J2)</f>
        <v>2.6490560405939855E-3</v>
      </c>
      <c r="L2" s="4">
        <v>4528</v>
      </c>
      <c r="M2" s="4">
        <v>5808</v>
      </c>
      <c r="N2" s="6">
        <f>(L2-M2)/ABS(M2)</f>
        <v>-0.22038567493112948</v>
      </c>
      <c r="O2" s="4">
        <f>53658*1.51</f>
        <v>81023.58</v>
      </c>
      <c r="P2" s="4">
        <f>54041*1.51</f>
        <v>81601.91</v>
      </c>
      <c r="Q2" s="6">
        <f>(O2-P2)/ ABS(P2)</f>
        <v>-7.0872115615921456E-3</v>
      </c>
      <c r="R2" s="4">
        <f>11552*1.51</f>
        <v>17443.52</v>
      </c>
      <c r="S2" s="4">
        <f>10580*1.51</f>
        <v>15975.8</v>
      </c>
      <c r="T2" s="6">
        <f>(R2-S2)/ABS(S2)</f>
        <v>9.1871455576559624E-2</v>
      </c>
      <c r="U2" s="4">
        <v>94520</v>
      </c>
      <c r="V2" s="4">
        <v>1620</v>
      </c>
      <c r="W2" s="20">
        <v>115.31</v>
      </c>
      <c r="X2" s="9">
        <f>R2/V2</f>
        <v>10.767604938271605</v>
      </c>
      <c r="Y2" s="9">
        <f>S2/V2</f>
        <v>9.8616049382716042</v>
      </c>
      <c r="Z2" s="9">
        <f>W2/X2</f>
        <v>10.7089738768322</v>
      </c>
      <c r="AA2" s="9">
        <f>U2/V2</f>
        <v>58.345679012345677</v>
      </c>
      <c r="AB2" s="9">
        <f>W2/AA2</f>
        <v>1.9763245873889126</v>
      </c>
    </row>
    <row r="3" spans="1:28" ht="41.25" customHeight="1" x14ac:dyDescent="0.3">
      <c r="A3" s="2" t="s">
        <v>31</v>
      </c>
      <c r="B3" t="s">
        <v>32</v>
      </c>
      <c r="C3" t="s">
        <v>25</v>
      </c>
      <c r="D3" t="s">
        <v>33</v>
      </c>
      <c r="E3" t="s">
        <v>34</v>
      </c>
      <c r="F3" s="2" t="s">
        <v>35</v>
      </c>
      <c r="G3" s="12" t="s">
        <v>36</v>
      </c>
      <c r="H3" s="12" t="s">
        <v>37</v>
      </c>
      <c r="I3" s="19">
        <v>25200</v>
      </c>
      <c r="J3" s="19">
        <v>27200</v>
      </c>
      <c r="K3" s="6">
        <f t="shared" ref="K3:K21" si="0">(I3-J3)/ABS(J3)</f>
        <v>-7.3529411764705885E-2</v>
      </c>
      <c r="L3" s="19">
        <v>5100</v>
      </c>
      <c r="M3" s="19">
        <v>6600</v>
      </c>
      <c r="N3" s="6">
        <f t="shared" ref="N3:N21" si="1">(L3-M3)/ABS(M3)</f>
        <v>-0.22727272727272727</v>
      </c>
      <c r="O3" s="4">
        <f>51262*1.51</f>
        <v>77405.62</v>
      </c>
      <c r="P3" s="4">
        <f>55658*1.51</f>
        <v>84043.58</v>
      </c>
      <c r="Q3" s="6">
        <f t="shared" ref="Q3:Q21" si="2">(O3-P3)/ ABS(P3)</f>
        <v>-7.8982356534550366E-2</v>
      </c>
      <c r="R3" s="4">
        <f>11438*1.51</f>
        <v>17271.38</v>
      </c>
      <c r="S3" s="4">
        <f>9601*1.51</f>
        <v>14497.51</v>
      </c>
      <c r="T3" s="6">
        <f t="shared" ref="T3:T21" si="3">(R3-S3)/ABS(S3)</f>
        <v>0.1913342360170816</v>
      </c>
      <c r="U3" s="4">
        <f>68876*1.51</f>
        <v>104002.76</v>
      </c>
      <c r="V3" s="4">
        <v>5075</v>
      </c>
      <c r="W3" s="11">
        <v>40.58</v>
      </c>
      <c r="X3" s="9">
        <f t="shared" ref="X3:X16" si="4">R3/V3</f>
        <v>3.4032275862068966</v>
      </c>
      <c r="Y3" s="9">
        <f t="shared" ref="Y3:Y17" si="5">S3/V3</f>
        <v>2.8566522167487687</v>
      </c>
      <c r="Z3" s="9">
        <f t="shared" ref="Z3:Z16" si="6">W3/X3</f>
        <v>11.923974806877041</v>
      </c>
      <c r="AA3" s="9">
        <f t="shared" ref="AA3:AA16" si="7">U3/V3</f>
        <v>20.493154679802956</v>
      </c>
      <c r="AB3" s="9">
        <f t="shared" ref="AB3:AB16" si="8">W3/AA3</f>
        <v>1.9801734107825599</v>
      </c>
    </row>
    <row r="4" spans="1:28" ht="49.5" customHeight="1" x14ac:dyDescent="0.3">
      <c r="A4" t="s">
        <v>38</v>
      </c>
      <c r="B4" t="s">
        <v>39</v>
      </c>
      <c r="C4" t="s">
        <v>25</v>
      </c>
      <c r="D4" t="s">
        <v>40</v>
      </c>
      <c r="E4" t="s">
        <v>41</v>
      </c>
      <c r="F4" t="s">
        <v>42</v>
      </c>
      <c r="G4" s="12" t="s">
        <v>43</v>
      </c>
      <c r="H4" s="12" t="s">
        <v>44</v>
      </c>
      <c r="I4" s="19">
        <v>2300</v>
      </c>
      <c r="J4" s="19">
        <v>2515</v>
      </c>
      <c r="K4" s="6">
        <f t="shared" si="0"/>
        <v>-8.5487077534791248E-2</v>
      </c>
      <c r="L4" s="19">
        <v>-807</v>
      </c>
      <c r="M4" s="19">
        <v>518</v>
      </c>
      <c r="N4" s="6">
        <f t="shared" si="1"/>
        <v>-2.557915057915058</v>
      </c>
      <c r="O4" s="4">
        <v>4470</v>
      </c>
      <c r="P4" s="4">
        <v>5280</v>
      </c>
      <c r="Q4" s="6">
        <f t="shared" si="2"/>
        <v>-0.15340909090909091</v>
      </c>
      <c r="R4" s="4">
        <v>-896</v>
      </c>
      <c r="S4" s="4">
        <v>114</v>
      </c>
      <c r="T4" s="6">
        <f t="shared" si="3"/>
        <v>-8.8596491228070171</v>
      </c>
      <c r="U4" s="4">
        <v>3659</v>
      </c>
      <c r="V4" s="4">
        <v>196.76</v>
      </c>
      <c r="W4" s="11">
        <v>40</v>
      </c>
      <c r="X4" s="9">
        <f t="shared" si="4"/>
        <v>-4.5537710916853023</v>
      </c>
      <c r="Y4" s="9">
        <f t="shared" si="5"/>
        <v>0.57938605407603172</v>
      </c>
      <c r="Z4" s="9">
        <f t="shared" si="6"/>
        <v>-8.7839285714285715</v>
      </c>
      <c r="AA4" s="9">
        <f t="shared" si="7"/>
        <v>18.596259402317546</v>
      </c>
      <c r="AB4" s="9">
        <f t="shared" si="8"/>
        <v>2.1509702104400108</v>
      </c>
    </row>
    <row r="5" spans="1:28" ht="51.75" customHeight="1" x14ac:dyDescent="0.3">
      <c r="A5" t="s">
        <v>45</v>
      </c>
      <c r="B5" t="s">
        <v>46</v>
      </c>
      <c r="C5" s="2" t="s">
        <v>47</v>
      </c>
      <c r="D5" s="2" t="s">
        <v>48</v>
      </c>
      <c r="E5" s="2" t="s">
        <v>49</v>
      </c>
      <c r="F5" s="2" t="s">
        <v>50</v>
      </c>
      <c r="G5" s="12" t="s">
        <v>51</v>
      </c>
      <c r="H5" s="12" t="s">
        <v>52</v>
      </c>
      <c r="I5" s="19">
        <v>23035</v>
      </c>
      <c r="J5" s="19">
        <v>22216</v>
      </c>
      <c r="K5" s="6">
        <f>(I5-J5)/ABS(J5)</f>
        <v>3.6865322290241267E-2</v>
      </c>
      <c r="L5" s="19">
        <v>576</v>
      </c>
      <c r="M5" s="19">
        <v>594</v>
      </c>
      <c r="N5" s="6">
        <f t="shared" si="1"/>
        <v>-3.0303030303030304E-2</v>
      </c>
      <c r="O5" s="4">
        <v>44352</v>
      </c>
      <c r="P5" s="4">
        <v>43571</v>
      </c>
      <c r="Q5" s="6">
        <f t="shared" si="2"/>
        <v>1.7924766473112849E-2</v>
      </c>
      <c r="R5" s="4">
        <v>1079</v>
      </c>
      <c r="S5" s="4">
        <v>1118</v>
      </c>
      <c r="T5" s="6">
        <f t="shared" si="3"/>
        <v>-3.4883720930232558E-2</v>
      </c>
      <c r="U5" s="4">
        <v>3806</v>
      </c>
      <c r="V5" s="4">
        <v>1340</v>
      </c>
      <c r="W5" s="11">
        <v>23.97</v>
      </c>
      <c r="X5" s="9">
        <f t="shared" si="4"/>
        <v>0.80522388059701488</v>
      </c>
      <c r="Y5" s="9">
        <f t="shared" si="5"/>
        <v>0.83432835820895523</v>
      </c>
      <c r="Z5" s="9">
        <f t="shared" si="6"/>
        <v>29.768118628359591</v>
      </c>
      <c r="AA5" s="9">
        <f t="shared" si="7"/>
        <v>2.8402985074626868</v>
      </c>
      <c r="AB5" s="9">
        <f t="shared" si="8"/>
        <v>8.4392538097740406</v>
      </c>
    </row>
    <row r="6" spans="1:28" ht="54" customHeight="1" x14ac:dyDescent="0.3">
      <c r="A6" t="s">
        <v>53</v>
      </c>
      <c r="B6" t="s">
        <v>54</v>
      </c>
      <c r="C6" s="2" t="s">
        <v>47</v>
      </c>
      <c r="D6" t="s">
        <v>55</v>
      </c>
      <c r="E6" s="2" t="s">
        <v>56</v>
      </c>
      <c r="F6" s="2" t="s">
        <v>57</v>
      </c>
      <c r="G6" s="12" t="s">
        <v>58</v>
      </c>
      <c r="H6" s="14" t="s">
        <v>59</v>
      </c>
      <c r="I6" s="19">
        <v>35930</v>
      </c>
      <c r="J6" s="19">
        <v>34640</v>
      </c>
      <c r="K6" s="6">
        <f t="shared" si="0"/>
        <v>3.7240184757505776E-2</v>
      </c>
      <c r="L6" s="19">
        <v>739</v>
      </c>
      <c r="M6" s="19">
        <v>-781</v>
      </c>
      <c r="N6" s="6">
        <f t="shared" si="1"/>
        <v>1.9462227912932137</v>
      </c>
      <c r="O6" s="4">
        <v>69080</v>
      </c>
      <c r="P6" s="4">
        <v>67920</v>
      </c>
      <c r="Q6" s="6">
        <f t="shared" si="2"/>
        <v>1.7078916372202591E-2</v>
      </c>
      <c r="R6" s="4">
        <v>963</v>
      </c>
      <c r="S6" s="4">
        <v>108</v>
      </c>
      <c r="T6" s="6">
        <f t="shared" si="3"/>
        <v>7.916666666666667</v>
      </c>
      <c r="U6" s="4">
        <v>5570</v>
      </c>
      <c r="V6" s="4">
        <v>1219.8</v>
      </c>
      <c r="W6" s="11">
        <v>28.07</v>
      </c>
      <c r="X6" s="9">
        <f t="shared" si="4"/>
        <v>0.78947368421052633</v>
      </c>
      <c r="Y6" s="9">
        <f t="shared" si="5"/>
        <v>8.8539104771273983E-2</v>
      </c>
      <c r="Z6" s="9">
        <f t="shared" si="6"/>
        <v>35.55533333333333</v>
      </c>
      <c r="AA6" s="9">
        <f t="shared" si="7"/>
        <v>4.5663223479258894</v>
      </c>
      <c r="AB6" s="9">
        <f t="shared" si="8"/>
        <v>6.1471788150807898</v>
      </c>
    </row>
    <row r="7" spans="1:28" ht="31.5" customHeight="1" x14ac:dyDescent="0.3">
      <c r="A7" t="s">
        <v>60</v>
      </c>
      <c r="B7" t="s">
        <v>61</v>
      </c>
      <c r="C7" s="13" t="s">
        <v>62</v>
      </c>
      <c r="D7" s="2" t="s">
        <v>63</v>
      </c>
      <c r="E7" s="2" t="s">
        <v>64</v>
      </c>
      <c r="F7" s="2" t="s">
        <v>65</v>
      </c>
      <c r="G7" s="12" t="s">
        <v>66</v>
      </c>
      <c r="H7" s="12" t="s">
        <v>67</v>
      </c>
      <c r="I7" s="17">
        <v>5670.4</v>
      </c>
      <c r="J7" s="17">
        <v>5162.1000000000004</v>
      </c>
      <c r="K7" s="6">
        <f t="shared" si="0"/>
        <v>9.8467677883031957E-2</v>
      </c>
      <c r="L7" s="17">
        <v>285.39999999999998</v>
      </c>
      <c r="M7" s="17">
        <v>264.3</v>
      </c>
      <c r="N7" s="6">
        <f t="shared" si="1"/>
        <v>7.9833522512296501E-2</v>
      </c>
      <c r="O7" s="4">
        <v>10550</v>
      </c>
      <c r="P7" s="4">
        <v>9590</v>
      </c>
      <c r="Q7" s="6">
        <f t="shared" si="2"/>
        <v>0.10010427528675704</v>
      </c>
      <c r="R7" s="4">
        <v>462.4</v>
      </c>
      <c r="S7" s="4">
        <v>438.8</v>
      </c>
      <c r="T7" s="6">
        <f t="shared" si="3"/>
        <v>5.3783044667274307E-2</v>
      </c>
      <c r="U7" s="4">
        <v>1620</v>
      </c>
      <c r="V7" s="4">
        <v>109.33</v>
      </c>
      <c r="W7" s="11">
        <v>113.66</v>
      </c>
      <c r="X7" s="9">
        <f t="shared" si="4"/>
        <v>4.2293972377206623</v>
      </c>
      <c r="Y7" s="9">
        <f t="shared" si="5"/>
        <v>4.0135369980792097</v>
      </c>
      <c r="Z7" s="9">
        <f t="shared" si="6"/>
        <v>26.873805795847748</v>
      </c>
      <c r="AA7" s="9">
        <f t="shared" si="7"/>
        <v>14.817524924540383</v>
      </c>
      <c r="AB7" s="9">
        <f t="shared" si="8"/>
        <v>7.6706467901234561</v>
      </c>
    </row>
    <row r="8" spans="1:28" ht="31.5" customHeight="1" x14ac:dyDescent="0.3">
      <c r="A8" t="s">
        <v>68</v>
      </c>
      <c r="B8" t="s">
        <v>69</v>
      </c>
      <c r="C8" s="13" t="s">
        <v>70</v>
      </c>
      <c r="D8" s="2" t="s">
        <v>71</v>
      </c>
      <c r="E8" s="2" t="s">
        <v>72</v>
      </c>
      <c r="F8" s="2" t="s">
        <v>73</v>
      </c>
      <c r="G8" s="12" t="s">
        <v>74</v>
      </c>
      <c r="H8" s="12" t="s">
        <v>75</v>
      </c>
      <c r="I8" s="17">
        <v>23490</v>
      </c>
      <c r="J8" s="17">
        <v>22673</v>
      </c>
      <c r="K8" s="6">
        <f t="shared" si="0"/>
        <v>3.6034049309751688E-2</v>
      </c>
      <c r="L8" s="17">
        <v>1467</v>
      </c>
      <c r="M8" s="17">
        <v>1425</v>
      </c>
      <c r="N8" s="6">
        <f t="shared" si="1"/>
        <v>2.9473684210526315E-2</v>
      </c>
      <c r="O8" s="4">
        <v>45700</v>
      </c>
      <c r="P8" s="4">
        <v>44180</v>
      </c>
      <c r="Q8" s="6">
        <f t="shared" si="2"/>
        <v>3.4404708012675415E-2</v>
      </c>
      <c r="R8" s="4">
        <v>2920</v>
      </c>
      <c r="S8" s="4">
        <v>2550</v>
      </c>
      <c r="T8" s="6">
        <f t="shared" si="3"/>
        <v>0.14509803921568629</v>
      </c>
      <c r="U8" s="4">
        <v>9189</v>
      </c>
      <c r="V8" s="4">
        <v>1135.014128</v>
      </c>
      <c r="W8" s="11">
        <v>90.81</v>
      </c>
      <c r="X8" s="9">
        <f t="shared" ref="X8" si="9">R8/V8</f>
        <v>2.5726552013456523</v>
      </c>
      <c r="Y8" s="9">
        <f t="shared" ref="Y8" si="10">S8/V8</f>
        <v>2.2466680696682921</v>
      </c>
      <c r="Z8" s="9">
        <f t="shared" ref="Z8" si="11">W8/X8</f>
        <v>35.298161973863017</v>
      </c>
      <c r="AA8" s="9">
        <f t="shared" ref="AA8" si="12">U8/V8</f>
        <v>8.0959344675223281</v>
      </c>
      <c r="AB8" s="9">
        <f t="shared" ref="AB8" si="13">W8/AA8</f>
        <v>11.216740990714985</v>
      </c>
    </row>
    <row r="9" spans="1:28" ht="25.5" customHeight="1" x14ac:dyDescent="0.3">
      <c r="A9" t="s">
        <v>76</v>
      </c>
      <c r="B9" t="s">
        <v>77</v>
      </c>
      <c r="C9" s="2" t="s">
        <v>78</v>
      </c>
      <c r="D9" s="2" t="s">
        <v>79</v>
      </c>
      <c r="E9" s="2" t="s">
        <v>80</v>
      </c>
      <c r="F9" s="13" t="s">
        <v>81</v>
      </c>
      <c r="G9" s="12" t="s">
        <v>82</v>
      </c>
      <c r="H9" s="12" t="s">
        <v>83</v>
      </c>
      <c r="I9" s="17">
        <v>2506</v>
      </c>
      <c r="J9" s="17">
        <v>2265</v>
      </c>
      <c r="K9" s="6">
        <f t="shared" si="0"/>
        <v>0.106401766004415</v>
      </c>
      <c r="L9" s="17">
        <v>655.97</v>
      </c>
      <c r="M9" s="17">
        <v>428.22</v>
      </c>
      <c r="N9" s="6">
        <f t="shared" si="1"/>
        <v>0.5318527859511466</v>
      </c>
      <c r="O9" s="4">
        <f>5146*1.51</f>
        <v>7770.46</v>
      </c>
      <c r="P9" s="4">
        <f>4685*1.51</f>
        <v>7074.35</v>
      </c>
      <c r="Q9" s="6">
        <f t="shared" si="2"/>
        <v>9.8399146211312655E-2</v>
      </c>
      <c r="R9" s="4">
        <f>1401*1.51</f>
        <v>2115.5100000000002</v>
      </c>
      <c r="S9" s="4">
        <f>1021*1.51</f>
        <v>1541.71</v>
      </c>
      <c r="T9" s="6">
        <f t="shared" si="3"/>
        <v>0.37218413320274252</v>
      </c>
      <c r="U9" s="4">
        <f>6000*1.51</f>
        <v>9060</v>
      </c>
      <c r="V9" s="4">
        <v>147</v>
      </c>
      <c r="W9" s="11">
        <v>271.19</v>
      </c>
      <c r="X9" s="9">
        <f>R9/V9</f>
        <v>14.391224489795921</v>
      </c>
      <c r="Y9" s="9">
        <f t="shared" si="5"/>
        <v>10.487823129251701</v>
      </c>
      <c r="Z9" s="9">
        <f t="shared" si="6"/>
        <v>18.844122693818509</v>
      </c>
      <c r="AA9" s="9">
        <f t="shared" si="7"/>
        <v>61.632653061224488</v>
      </c>
      <c r="AB9" s="9">
        <f t="shared" si="8"/>
        <v>4.4001026490066222</v>
      </c>
    </row>
    <row r="10" spans="1:28" ht="17.25" customHeight="1" x14ac:dyDescent="0.3">
      <c r="A10" s="2" t="s">
        <v>84</v>
      </c>
      <c r="B10" t="s">
        <v>85</v>
      </c>
      <c r="C10" s="15" t="s">
        <v>78</v>
      </c>
      <c r="D10" s="2" t="s">
        <v>86</v>
      </c>
      <c r="E10" s="2" t="s">
        <v>87</v>
      </c>
      <c r="F10" s="2" t="s">
        <v>88</v>
      </c>
      <c r="G10" s="12" t="s">
        <v>89</v>
      </c>
      <c r="H10" s="12" t="s">
        <v>90</v>
      </c>
      <c r="I10" s="17">
        <v>1840.3</v>
      </c>
      <c r="J10" s="17">
        <v>1681.8</v>
      </c>
      <c r="K10" s="6">
        <f t="shared" si="0"/>
        <v>9.4244262100130816E-2</v>
      </c>
      <c r="L10" s="17">
        <v>13.7</v>
      </c>
      <c r="M10" s="17">
        <v>3.4</v>
      </c>
      <c r="N10" s="6">
        <f t="shared" si="1"/>
        <v>3.0294117647058822</v>
      </c>
      <c r="O10">
        <v>6001.84</v>
      </c>
      <c r="P10">
        <v>4925.67</v>
      </c>
      <c r="Q10" s="6">
        <f t="shared" si="2"/>
        <v>0.21848195270897158</v>
      </c>
      <c r="R10">
        <v>529.91399999999999</v>
      </c>
      <c r="S10">
        <v>-13.84</v>
      </c>
      <c r="T10" s="6">
        <f t="shared" si="3"/>
        <v>39.2885838150289</v>
      </c>
      <c r="U10" s="4">
        <v>837.86</v>
      </c>
      <c r="V10" s="4">
        <v>1024.4480000000001</v>
      </c>
      <c r="W10" s="11">
        <v>3</v>
      </c>
      <c r="X10" s="9">
        <f t="shared" si="4"/>
        <v>0.51726783594677328</v>
      </c>
      <c r="Y10" s="9">
        <f t="shared" si="5"/>
        <v>-1.3509714499906289E-2</v>
      </c>
      <c r="Z10" s="9">
        <f t="shared" si="6"/>
        <v>5.7997033480904445</v>
      </c>
      <c r="AA10" s="9">
        <f t="shared" si="7"/>
        <v>0.81786484038233265</v>
      </c>
      <c r="AB10" s="9">
        <f t="shared" si="8"/>
        <v>3.6680877473563607</v>
      </c>
    </row>
    <row r="11" spans="1:28" ht="18" customHeight="1" x14ac:dyDescent="0.3">
      <c r="A11" t="s">
        <v>91</v>
      </c>
      <c r="B11" t="s">
        <v>92</v>
      </c>
      <c r="C11" s="15" t="s">
        <v>78</v>
      </c>
      <c r="D11" s="2" t="s">
        <v>93</v>
      </c>
      <c r="E11" s="2" t="s">
        <v>94</v>
      </c>
      <c r="F11" s="2" t="s">
        <v>95</v>
      </c>
      <c r="G11" s="12" t="s">
        <v>96</v>
      </c>
      <c r="H11" s="12" t="s">
        <v>97</v>
      </c>
      <c r="I11" s="17">
        <v>97.2</v>
      </c>
      <c r="J11" s="17">
        <v>74.11</v>
      </c>
      <c r="K11" s="6">
        <f t="shared" si="0"/>
        <v>0.31156389151261643</v>
      </c>
      <c r="L11" s="17">
        <v>51.7</v>
      </c>
      <c r="M11" s="17">
        <v>36.25</v>
      </c>
      <c r="N11" s="6">
        <f t="shared" si="1"/>
        <v>0.42620689655172422</v>
      </c>
      <c r="O11" s="4">
        <v>220.53</v>
      </c>
      <c r="P11" s="4">
        <v>166.53</v>
      </c>
      <c r="Q11" s="6">
        <f t="shared" si="2"/>
        <v>0.32426589803638983</v>
      </c>
      <c r="R11" s="4">
        <v>115.2</v>
      </c>
      <c r="S11" s="4">
        <v>82.8</v>
      </c>
      <c r="T11" s="6">
        <f t="shared" si="3"/>
        <v>0.39130434782608703</v>
      </c>
      <c r="U11" s="4">
        <v>18833</v>
      </c>
      <c r="V11" s="4">
        <v>104.51</v>
      </c>
      <c r="W11" s="11">
        <v>294.37</v>
      </c>
      <c r="X11" s="9">
        <f t="shared" si="4"/>
        <v>1.1022868625011961</v>
      </c>
      <c r="Y11" s="9">
        <f t="shared" si="5"/>
        <v>0.79226868242273463</v>
      </c>
      <c r="Z11" s="9">
        <f t="shared" si="6"/>
        <v>267.05389496527778</v>
      </c>
      <c r="AA11" s="9">
        <f>U11/V11</f>
        <v>180.20285140177972</v>
      </c>
      <c r="AB11" s="9">
        <f t="shared" si="8"/>
        <v>1.6335479583709447</v>
      </c>
    </row>
    <row r="12" spans="1:28" ht="18.75" customHeight="1" x14ac:dyDescent="0.3">
      <c r="A12" s="18" t="s">
        <v>98</v>
      </c>
      <c r="B12" t="s">
        <v>99</v>
      </c>
      <c r="C12" t="s">
        <v>100</v>
      </c>
      <c r="D12" s="2" t="s">
        <v>101</v>
      </c>
      <c r="E12" s="2" t="s">
        <v>102</v>
      </c>
      <c r="F12" s="2" t="s">
        <v>103</v>
      </c>
      <c r="G12" s="12" t="s">
        <v>104</v>
      </c>
      <c r="H12" s="12" t="s">
        <v>105</v>
      </c>
      <c r="I12" s="17">
        <v>8814</v>
      </c>
      <c r="J12" s="17">
        <v>8512</v>
      </c>
      <c r="K12" s="6">
        <f t="shared" si="0"/>
        <v>3.547932330827068E-2</v>
      </c>
      <c r="L12" s="17">
        <v>639</v>
      </c>
      <c r="M12" s="17">
        <v>525</v>
      </c>
      <c r="N12" s="6">
        <f t="shared" si="1"/>
        <v>0.21714285714285714</v>
      </c>
      <c r="O12" s="4">
        <f>21.69*1.51*1000</f>
        <v>32751.899999999998</v>
      </c>
      <c r="P12" s="4">
        <f>20.8*1.51*1000</f>
        <v>31408</v>
      </c>
      <c r="Q12" s="6">
        <f t="shared" si="2"/>
        <v>4.278846153846147E-2</v>
      </c>
      <c r="R12" s="4">
        <f>1.77*1.51*1000</f>
        <v>2672.7</v>
      </c>
      <c r="S12" s="4">
        <f>1.35*1.51*1000</f>
        <v>2038.5</v>
      </c>
      <c r="T12" s="6">
        <f t="shared" si="3"/>
        <v>0.31111111111111101</v>
      </c>
      <c r="U12" s="4">
        <v>16344</v>
      </c>
      <c r="V12" s="4">
        <v>1490</v>
      </c>
      <c r="W12" s="11">
        <v>20.72</v>
      </c>
      <c r="X12" s="9">
        <f t="shared" si="4"/>
        <v>1.7937583892617448</v>
      </c>
      <c r="Y12" s="9">
        <f t="shared" si="5"/>
        <v>1.3681208053691276</v>
      </c>
      <c r="Z12" s="9">
        <f t="shared" si="6"/>
        <v>11.551165488083212</v>
      </c>
      <c r="AA12" s="9">
        <f t="shared" si="7"/>
        <v>10.969127516778524</v>
      </c>
      <c r="AB12" s="9">
        <f t="shared" si="8"/>
        <v>1.8889378365149287</v>
      </c>
    </row>
    <row r="13" spans="1:28" ht="18.75" customHeight="1" x14ac:dyDescent="0.3">
      <c r="A13" t="s">
        <v>106</v>
      </c>
      <c r="B13" t="s">
        <v>107</v>
      </c>
      <c r="C13" t="s">
        <v>100</v>
      </c>
      <c r="D13" s="2" t="s">
        <v>108</v>
      </c>
      <c r="E13" s="2" t="s">
        <v>109</v>
      </c>
      <c r="F13" s="2" t="s">
        <v>110</v>
      </c>
      <c r="G13" s="12" t="s">
        <v>111</v>
      </c>
      <c r="H13" s="12" t="s">
        <v>112</v>
      </c>
      <c r="I13" s="17">
        <v>4930</v>
      </c>
      <c r="J13" s="17">
        <v>4496</v>
      </c>
      <c r="K13" s="6">
        <f t="shared" si="0"/>
        <v>9.6530249110320279E-2</v>
      </c>
      <c r="L13" s="17">
        <v>778</v>
      </c>
      <c r="M13" s="17">
        <v>407</v>
      </c>
      <c r="N13" s="6">
        <f t="shared" si="1"/>
        <v>0.91154791154791159</v>
      </c>
      <c r="O13" s="4">
        <f>15.52*1.51*1000</f>
        <v>23435.199999999997</v>
      </c>
      <c r="P13" s="4">
        <f>14.65*1.51*1000</f>
        <v>22121.5</v>
      </c>
      <c r="Q13" s="6">
        <f t="shared" si="2"/>
        <v>5.9385665529010111E-2</v>
      </c>
      <c r="R13" s="4">
        <f>1.35*1.51*1000</f>
        <v>2038.5</v>
      </c>
      <c r="S13" s="4">
        <f>0.89*1.51*1000</f>
        <v>1343.9</v>
      </c>
      <c r="T13" s="6">
        <f t="shared" si="3"/>
        <v>0.51685393258426959</v>
      </c>
      <c r="U13" s="4">
        <v>6660</v>
      </c>
      <c r="V13" s="4">
        <f>2.36*1000</f>
        <v>2360</v>
      </c>
      <c r="W13" s="11">
        <v>8.67</v>
      </c>
      <c r="X13" s="9">
        <f t="shared" si="4"/>
        <v>0.86377118644067796</v>
      </c>
      <c r="Y13" s="9">
        <f t="shared" si="5"/>
        <v>0.56944915254237294</v>
      </c>
      <c r="Z13" s="9">
        <f t="shared" si="6"/>
        <v>10.0373804267844</v>
      </c>
      <c r="AA13" s="9">
        <f t="shared" si="7"/>
        <v>2.8220338983050848</v>
      </c>
      <c r="AB13" s="9">
        <f t="shared" si="8"/>
        <v>3.0722522522522522</v>
      </c>
    </row>
    <row r="14" spans="1:28" ht="18.75" customHeight="1" x14ac:dyDescent="0.3">
      <c r="A14" t="s">
        <v>113</v>
      </c>
      <c r="B14" t="s">
        <v>114</v>
      </c>
      <c r="C14" t="s">
        <v>100</v>
      </c>
      <c r="D14" s="2" t="s">
        <v>115</v>
      </c>
      <c r="E14" s="2" t="s">
        <v>116</v>
      </c>
      <c r="F14" s="2" t="s">
        <v>117</v>
      </c>
      <c r="G14" s="12" t="s">
        <v>118</v>
      </c>
      <c r="H14" s="12" t="s">
        <v>119</v>
      </c>
      <c r="I14" s="17">
        <v>4270.7</v>
      </c>
      <c r="J14" s="17">
        <v>3997.4</v>
      </c>
      <c r="K14" s="6">
        <f t="shared" si="0"/>
        <v>6.8369440136088394E-2</v>
      </c>
      <c r="L14" s="17">
        <v>340.3</v>
      </c>
      <c r="M14" s="17">
        <v>343.2</v>
      </c>
      <c r="N14" s="6">
        <f t="shared" si="1"/>
        <v>-8.4498834498833841E-3</v>
      </c>
      <c r="O14" s="4">
        <v>8560</v>
      </c>
      <c r="P14" s="4">
        <v>8030</v>
      </c>
      <c r="Q14" s="6">
        <f t="shared" si="2"/>
        <v>6.6002490660024907E-2</v>
      </c>
      <c r="R14" s="4">
        <v>501</v>
      </c>
      <c r="S14" s="4">
        <v>393</v>
      </c>
      <c r="T14" s="6">
        <f t="shared" si="3"/>
        <v>0.27480916030534353</v>
      </c>
      <c r="U14" s="4">
        <v>2335.9</v>
      </c>
      <c r="V14" s="4">
        <v>2754</v>
      </c>
      <c r="W14" s="11">
        <v>4.8600000000000003</v>
      </c>
      <c r="X14" s="9">
        <f t="shared" si="4"/>
        <v>0.18191721132897604</v>
      </c>
      <c r="Y14" s="9">
        <f t="shared" si="5"/>
        <v>0.14270152505446623</v>
      </c>
      <c r="Z14" s="9">
        <f t="shared" si="6"/>
        <v>26.715449101796409</v>
      </c>
      <c r="AA14" s="9">
        <f t="shared" si="7"/>
        <v>0.8481844589687727</v>
      </c>
      <c r="AB14" s="9">
        <f t="shared" si="8"/>
        <v>5.729885697161694</v>
      </c>
    </row>
    <row r="15" spans="1:28" ht="18.75" customHeight="1" x14ac:dyDescent="0.3">
      <c r="A15" t="s">
        <v>120</v>
      </c>
      <c r="B15" t="s">
        <v>121</v>
      </c>
      <c r="C15" t="s">
        <v>122</v>
      </c>
      <c r="D15" s="2" t="s">
        <v>123</v>
      </c>
      <c r="E15" s="2" t="s">
        <v>124</v>
      </c>
      <c r="F15" s="2" t="s">
        <v>125</v>
      </c>
      <c r="G15" s="12" t="s">
        <v>126</v>
      </c>
      <c r="H15" s="12" t="s">
        <v>127</v>
      </c>
      <c r="I15" s="17">
        <v>872.9</v>
      </c>
      <c r="J15" s="17">
        <v>725.5</v>
      </c>
      <c r="K15" s="6">
        <f t="shared" si="0"/>
        <v>0.20317022742935903</v>
      </c>
      <c r="L15" s="17">
        <v>441.3</v>
      </c>
      <c r="M15" s="17">
        <v>127.4</v>
      </c>
      <c r="N15" s="6">
        <f t="shared" si="1"/>
        <v>2.4638932496075352</v>
      </c>
      <c r="O15" s="4">
        <v>1673</v>
      </c>
      <c r="P15" s="4">
        <v>1302</v>
      </c>
      <c r="Q15" s="6">
        <f t="shared" si="2"/>
        <v>0.28494623655913981</v>
      </c>
      <c r="R15" s="4">
        <v>678</v>
      </c>
      <c r="S15" s="4">
        <v>564</v>
      </c>
      <c r="T15" s="6">
        <f t="shared" si="3"/>
        <v>0.20212765957446807</v>
      </c>
      <c r="U15" s="4">
        <v>1951</v>
      </c>
      <c r="V15" s="4">
        <v>132.1</v>
      </c>
      <c r="W15" s="11">
        <v>228.61</v>
      </c>
      <c r="X15" s="9">
        <f t="shared" si="4"/>
        <v>5.1324753974261927</v>
      </c>
      <c r="Y15" s="9">
        <f t="shared" si="5"/>
        <v>4.269492808478426</v>
      </c>
      <c r="Z15" s="9">
        <f t="shared" si="6"/>
        <v>44.541859882005902</v>
      </c>
      <c r="AA15" s="9">
        <f t="shared" si="7"/>
        <v>14.769114307342923</v>
      </c>
      <c r="AB15" s="9">
        <f t="shared" si="8"/>
        <v>15.478924141465916</v>
      </c>
    </row>
    <row r="16" spans="1:28" ht="18.75" customHeight="1" x14ac:dyDescent="0.3">
      <c r="A16" t="s">
        <v>128</v>
      </c>
      <c r="B16" t="s">
        <v>129</v>
      </c>
      <c r="C16" t="s">
        <v>122</v>
      </c>
      <c r="D16" s="2" t="s">
        <v>130</v>
      </c>
      <c r="E16" s="2" t="s">
        <v>131</v>
      </c>
      <c r="F16" s="2" t="s">
        <v>132</v>
      </c>
      <c r="G16" s="12" t="s">
        <v>133</v>
      </c>
      <c r="H16" s="12" t="s">
        <v>134</v>
      </c>
      <c r="I16" s="17">
        <v>2238</v>
      </c>
      <c r="J16" s="17">
        <v>2135</v>
      </c>
      <c r="K16" s="6">
        <f t="shared" si="0"/>
        <v>4.8243559718969556E-2</v>
      </c>
      <c r="L16" s="17">
        <v>478</v>
      </c>
      <c r="M16" s="17">
        <v>400</v>
      </c>
      <c r="N16" s="6">
        <f t="shared" si="1"/>
        <v>0.19500000000000001</v>
      </c>
      <c r="O16" s="4">
        <v>12678</v>
      </c>
      <c r="P16" s="4">
        <v>12378</v>
      </c>
      <c r="Q16" s="6">
        <f t="shared" si="2"/>
        <v>2.4236548715462918E-2</v>
      </c>
      <c r="R16" s="4">
        <v>972</v>
      </c>
      <c r="S16" s="4">
        <v>569</v>
      </c>
      <c r="T16" s="6">
        <f t="shared" si="3"/>
        <v>0.70826010544815465</v>
      </c>
      <c r="U16" s="4">
        <v>13161</v>
      </c>
      <c r="V16" s="4">
        <v>188.5</v>
      </c>
      <c r="W16" s="11">
        <v>48.63</v>
      </c>
      <c r="X16" s="9">
        <f t="shared" si="4"/>
        <v>5.1564986737400531</v>
      </c>
      <c r="Y16" s="9">
        <f t="shared" si="5"/>
        <v>3.0185676392572942</v>
      </c>
      <c r="Z16" s="9">
        <f t="shared" si="6"/>
        <v>9.430817901234569</v>
      </c>
      <c r="AA16" s="9">
        <f t="shared" si="7"/>
        <v>69.819628647214856</v>
      </c>
      <c r="AB16" s="9">
        <f t="shared" si="8"/>
        <v>0.69650900387508552</v>
      </c>
    </row>
    <row r="17" spans="1:28" ht="25.5" customHeight="1" x14ac:dyDescent="0.3">
      <c r="A17" t="s">
        <v>135</v>
      </c>
      <c r="B17" t="s">
        <v>136</v>
      </c>
      <c r="C17" t="s">
        <v>122</v>
      </c>
      <c r="D17" s="2" t="s">
        <v>137</v>
      </c>
      <c r="E17" s="2" t="s">
        <v>138</v>
      </c>
      <c r="F17" s="15" t="s">
        <v>139</v>
      </c>
      <c r="G17" s="12" t="s">
        <v>140</v>
      </c>
      <c r="H17" s="12" t="s">
        <v>141</v>
      </c>
      <c r="I17" s="17">
        <v>579</v>
      </c>
      <c r="J17" s="17">
        <v>531</v>
      </c>
      <c r="K17" s="6">
        <f t="shared" si="0"/>
        <v>9.03954802259887E-2</v>
      </c>
      <c r="L17" s="17">
        <v>177</v>
      </c>
      <c r="M17" s="17">
        <v>163</v>
      </c>
      <c r="N17" s="6">
        <f t="shared" si="1"/>
        <v>8.5889570552147243E-2</v>
      </c>
      <c r="O17" s="4">
        <v>1310</v>
      </c>
      <c r="P17" s="4">
        <v>1231</v>
      </c>
      <c r="Q17" s="6">
        <f t="shared" si="2"/>
        <v>6.4175467099918768E-2</v>
      </c>
      <c r="R17" s="4">
        <v>438</v>
      </c>
      <c r="S17" s="4">
        <v>422</v>
      </c>
      <c r="T17" s="6">
        <f t="shared" si="3"/>
        <v>3.7914691943127965E-2</v>
      </c>
      <c r="U17" s="4">
        <v>3050.7</v>
      </c>
      <c r="V17" s="4">
        <v>378.15</v>
      </c>
      <c r="W17" s="11">
        <v>38.369999999999997</v>
      </c>
      <c r="X17" s="9">
        <f t="shared" ref="X17:X20" si="14">R17/V17</f>
        <v>1.1582705275684253</v>
      </c>
      <c r="Y17" s="9">
        <f t="shared" si="5"/>
        <v>1.1159592754198071</v>
      </c>
      <c r="Z17" s="9">
        <f t="shared" ref="Z17" si="15">W17/X17</f>
        <v>33.126976027397255</v>
      </c>
      <c r="AA17" s="9">
        <f t="shared" ref="AA17" si="16">U17/V17</f>
        <v>8.0674335581118601</v>
      </c>
      <c r="AB17" s="9">
        <f t="shared" ref="AB17" si="17">W17/AA17</f>
        <v>4.7561594060379582</v>
      </c>
    </row>
    <row r="18" spans="1:28" ht="21.75" customHeight="1" x14ac:dyDescent="0.3">
      <c r="A18" t="s">
        <v>142</v>
      </c>
      <c r="B18" t="s">
        <v>143</v>
      </c>
      <c r="C18" t="s">
        <v>144</v>
      </c>
      <c r="D18" t="s">
        <v>145</v>
      </c>
      <c r="E18" s="2" t="s">
        <v>146</v>
      </c>
      <c r="F18" s="2" t="s">
        <v>147</v>
      </c>
      <c r="G18" s="12" t="s">
        <v>148</v>
      </c>
      <c r="H18" s="12" t="s">
        <v>149</v>
      </c>
      <c r="I18" s="17">
        <v>1351.2</v>
      </c>
      <c r="J18" s="17">
        <v>1299.9000000000001</v>
      </c>
      <c r="K18" s="6">
        <f t="shared" si="0"/>
        <v>3.9464574198015197E-2</v>
      </c>
      <c r="L18" s="17">
        <v>11.28</v>
      </c>
      <c r="M18" s="17">
        <v>10.95</v>
      </c>
      <c r="N18" s="6">
        <f t="shared" si="1"/>
        <v>3.0136986301369871E-2</v>
      </c>
      <c r="O18" s="4">
        <f>2.63*1000</f>
        <v>2630</v>
      </c>
      <c r="P18" s="4">
        <f>2.51*1000</f>
        <v>2510</v>
      </c>
      <c r="Q18" s="6">
        <f t="shared" si="2"/>
        <v>4.7808764940239043E-2</v>
      </c>
      <c r="R18" s="4">
        <f>1.04*1000</f>
        <v>1040</v>
      </c>
      <c r="S18" s="4">
        <f>0.17*1000</f>
        <v>170</v>
      </c>
      <c r="T18" s="6">
        <f t="shared" si="3"/>
        <v>5.117647058823529</v>
      </c>
      <c r="U18" s="4">
        <v>36279.199999999997</v>
      </c>
      <c r="V18" s="4">
        <v>5216.4174119999998</v>
      </c>
      <c r="W18" s="11">
        <v>4.0949999999999998</v>
      </c>
      <c r="X18" s="9">
        <f t="shared" si="14"/>
        <v>0.1993705483781941</v>
      </c>
      <c r="Y18" s="9">
        <f t="shared" ref="Y18:Y19" si="18">S18/V18</f>
        <v>3.2589416561820191E-2</v>
      </c>
      <c r="Z18" s="9">
        <f t="shared" ref="Z18:Z19" si="19">W18/X18</f>
        <v>20.539643559749997</v>
      </c>
      <c r="AA18" s="9">
        <f t="shared" ref="AA18:AA19" si="20">U18/V18</f>
        <v>6.9548115372328638</v>
      </c>
      <c r="AB18" s="9">
        <f t="shared" ref="AB18:AB19" si="21">W18/AA18</f>
        <v>0.58880100173487837</v>
      </c>
    </row>
    <row r="19" spans="1:28" ht="21.75" customHeight="1" x14ac:dyDescent="0.3">
      <c r="A19" t="s">
        <v>150</v>
      </c>
      <c r="B19" t="s">
        <v>151</v>
      </c>
      <c r="C19" t="s">
        <v>144</v>
      </c>
      <c r="D19" t="s">
        <v>152</v>
      </c>
      <c r="E19" s="2" t="s">
        <v>153</v>
      </c>
      <c r="F19" s="2" t="s">
        <v>154</v>
      </c>
      <c r="G19" s="12" t="s">
        <v>155</v>
      </c>
      <c r="H19" s="12" t="s">
        <v>156</v>
      </c>
      <c r="I19" s="17">
        <v>1339.1</v>
      </c>
      <c r="J19" s="17">
        <v>1069.7</v>
      </c>
      <c r="K19" s="6">
        <f t="shared" si="0"/>
        <v>0.25184631205010738</v>
      </c>
      <c r="L19" s="17">
        <v>799.8</v>
      </c>
      <c r="M19" s="17">
        <v>220.1</v>
      </c>
      <c r="N19" s="6">
        <f t="shared" si="1"/>
        <v>2.6338028169014081</v>
      </c>
      <c r="O19" s="4">
        <f>2310</f>
        <v>2310</v>
      </c>
      <c r="P19" s="4">
        <v>1980</v>
      </c>
      <c r="Q19" s="6">
        <f t="shared" si="2"/>
        <v>0.16666666666666666</v>
      </c>
      <c r="R19" s="4">
        <v>1660</v>
      </c>
      <c r="S19" s="4">
        <v>-90</v>
      </c>
      <c r="T19" s="6">
        <f t="shared" si="3"/>
        <v>19.444444444444443</v>
      </c>
      <c r="U19" s="4">
        <v>23310.1</v>
      </c>
      <c r="V19" s="4">
        <v>2044.793036</v>
      </c>
      <c r="W19" s="11">
        <v>33.1</v>
      </c>
      <c r="X19" s="9">
        <f t="shared" si="14"/>
        <v>0.81181810128191378</v>
      </c>
      <c r="Y19" s="9">
        <f t="shared" si="18"/>
        <v>-4.4014234406850747E-2</v>
      </c>
      <c r="Z19" s="9">
        <f t="shared" si="19"/>
        <v>40.772680416626507</v>
      </c>
      <c r="AA19" s="9">
        <f t="shared" si="20"/>
        <v>11.399735616079239</v>
      </c>
      <c r="AB19" s="9">
        <f t="shared" si="21"/>
        <v>2.903576110424237</v>
      </c>
    </row>
    <row r="20" spans="1:28" ht="21.75" customHeight="1" x14ac:dyDescent="0.3">
      <c r="A20" t="s">
        <v>157</v>
      </c>
      <c r="B20" t="s">
        <v>158</v>
      </c>
      <c r="C20" t="s">
        <v>144</v>
      </c>
      <c r="D20" s="2" t="s">
        <v>159</v>
      </c>
      <c r="E20" s="2" t="s">
        <v>160</v>
      </c>
      <c r="F20" s="2" t="s">
        <v>161</v>
      </c>
      <c r="G20" s="12" t="s">
        <v>162</v>
      </c>
      <c r="H20" s="12" t="s">
        <v>163</v>
      </c>
      <c r="I20" s="17">
        <v>1013</v>
      </c>
      <c r="J20" t="s">
        <v>164</v>
      </c>
      <c r="K20" s="6" t="e">
        <f t="shared" si="0"/>
        <v>#VALUE!</v>
      </c>
      <c r="L20" s="17">
        <v>245</v>
      </c>
      <c r="M20" s="17">
        <v>102</v>
      </c>
      <c r="N20" s="6">
        <f t="shared" si="1"/>
        <v>1.4019607843137254</v>
      </c>
      <c r="O20" s="4">
        <v>3130</v>
      </c>
      <c r="P20" s="4">
        <v>2980</v>
      </c>
      <c r="Q20" s="6">
        <f t="shared" si="2"/>
        <v>5.0335570469798654E-2</v>
      </c>
      <c r="R20" s="4">
        <v>820</v>
      </c>
      <c r="S20" s="4">
        <v>300</v>
      </c>
      <c r="T20" s="6">
        <f t="shared" si="3"/>
        <v>1.7333333333333334</v>
      </c>
      <c r="U20" s="4">
        <v>10185</v>
      </c>
      <c r="V20" s="4">
        <v>2422.3689429999999</v>
      </c>
      <c r="W20" s="11">
        <v>6.085</v>
      </c>
      <c r="X20" s="9">
        <f t="shared" si="14"/>
        <v>0.33851160549658682</v>
      </c>
      <c r="Y20" s="9">
        <f t="shared" ref="Y20" si="22">S20/V20</f>
        <v>0.12384570932801957</v>
      </c>
      <c r="Z20" s="9">
        <f t="shared" ref="Z20" si="23">W20/X20</f>
        <v>17.975750022140243</v>
      </c>
      <c r="AA20" s="9">
        <f t="shared" ref="AA20" si="24">U20/V20</f>
        <v>4.2045618316862647</v>
      </c>
      <c r="AB20" s="9">
        <f t="shared" ref="AB20" si="25">W20/AA20</f>
        <v>1.4472376061026018</v>
      </c>
    </row>
    <row r="21" spans="1:28" ht="21.75" customHeight="1" x14ac:dyDescent="0.3">
      <c r="A21" t="s">
        <v>165</v>
      </c>
      <c r="B21" t="s">
        <v>166</v>
      </c>
      <c r="C21" t="s">
        <v>144</v>
      </c>
      <c r="D21" s="2" t="s">
        <v>167</v>
      </c>
      <c r="E21" s="2" t="s">
        <v>168</v>
      </c>
      <c r="F21" s="2" t="s">
        <v>169</v>
      </c>
      <c r="G21" s="12" t="s">
        <v>170</v>
      </c>
      <c r="H21" s="12" t="s">
        <v>171</v>
      </c>
      <c r="I21" s="17">
        <v>434.7</v>
      </c>
      <c r="J21">
        <v>480.6</v>
      </c>
      <c r="K21" s="6">
        <f t="shared" si="0"/>
        <v>-9.5505617977528157E-2</v>
      </c>
      <c r="L21" s="17">
        <v>10.3</v>
      </c>
      <c r="M21" s="17">
        <v>-597.20000000000005</v>
      </c>
      <c r="N21" s="6">
        <f t="shared" si="1"/>
        <v>1.0172471533824514</v>
      </c>
      <c r="O21" s="4">
        <f>0.95*1000</f>
        <v>950</v>
      </c>
      <c r="P21" s="4">
        <v>900</v>
      </c>
      <c r="Q21" s="6">
        <f t="shared" si="2"/>
        <v>5.5555555555555552E-2</v>
      </c>
      <c r="R21" s="4">
        <f>0.15*1000</f>
        <v>150</v>
      </c>
      <c r="S21" s="4">
        <f>-1.58*1000</f>
        <v>-1580</v>
      </c>
      <c r="T21" s="6">
        <f t="shared" si="3"/>
        <v>1.0949367088607596</v>
      </c>
      <c r="U21" s="4">
        <v>8814</v>
      </c>
      <c r="V21" s="4">
        <v>1075.5652459999999</v>
      </c>
      <c r="W21" s="11">
        <v>7.16</v>
      </c>
      <c r="X21" s="9">
        <f t="shared" ref="X21" si="26">R21/V21</f>
        <v>0.1394615534090993</v>
      </c>
      <c r="Y21" s="9">
        <f t="shared" ref="Y21" si="27">S21/V21</f>
        <v>-1.4689950292425125</v>
      </c>
      <c r="Z21" s="9">
        <f t="shared" ref="Z21" si="28">W21/X21</f>
        <v>51.340314409066657</v>
      </c>
      <c r="AA21" s="9">
        <f t="shared" ref="AA21" si="29">U21/V21</f>
        <v>8.1947608783186734</v>
      </c>
      <c r="AB21" s="9">
        <f t="shared" ref="AB21" si="30">W21/AA21</f>
        <v>0.87372897224415702</v>
      </c>
    </row>
    <row r="22" spans="1:28" ht="15" customHeight="1" x14ac:dyDescent="0.3">
      <c r="K22" s="6"/>
      <c r="N22" s="6"/>
      <c r="O22" s="4"/>
      <c r="P22" s="4"/>
      <c r="R22" s="4"/>
      <c r="S22" s="4"/>
      <c r="U22" s="4"/>
      <c r="V22" s="4"/>
      <c r="Z22" s="9"/>
    </row>
    <row r="23" spans="1:28" ht="15" customHeight="1" x14ac:dyDescent="0.3">
      <c r="N23" s="7"/>
      <c r="O23" s="4"/>
      <c r="P23" s="4"/>
      <c r="R23" s="4"/>
      <c r="S23" s="4"/>
      <c r="U23" s="4"/>
      <c r="V23" s="4"/>
      <c r="Z23" s="9"/>
    </row>
    <row r="24" spans="1:28" ht="15" customHeight="1" x14ac:dyDescent="0.3">
      <c r="O24" s="4"/>
      <c r="P24" s="4"/>
      <c r="R24" s="4"/>
      <c r="S24" s="4"/>
      <c r="U24" s="4"/>
      <c r="V24" s="4"/>
      <c r="Z24" s="9"/>
    </row>
    <row r="25" spans="1:28" ht="15" customHeight="1" x14ac:dyDescent="0.3">
      <c r="O25" s="4"/>
      <c r="P25" s="4"/>
      <c r="R25" s="4"/>
      <c r="S25" s="4"/>
      <c r="U25" s="4"/>
      <c r="V25" s="4"/>
    </row>
    <row r="26" spans="1:28" ht="15" customHeight="1" x14ac:dyDescent="0.3">
      <c r="O26" s="4"/>
      <c r="P26" s="4"/>
    </row>
    <row r="27" spans="1:28" ht="15" customHeight="1" x14ac:dyDescent="0.3">
      <c r="O27" s="4"/>
      <c r="P27" s="4"/>
    </row>
    <row r="28" spans="1:28" ht="15" customHeight="1" x14ac:dyDescent="0.3">
      <c r="O28" s="4"/>
      <c r="P28" s="4"/>
    </row>
    <row r="29" spans="1:28" ht="15" customHeight="1" x14ac:dyDescent="0.3">
      <c r="O29" s="4"/>
      <c r="P29" s="4"/>
    </row>
    <row r="30" spans="1:28" ht="15" customHeight="1" x14ac:dyDescent="0.3">
      <c r="O30" s="4"/>
      <c r="P30" s="4"/>
    </row>
    <row r="31" spans="1:28" ht="15" customHeight="1" x14ac:dyDescent="0.3">
      <c r="O31" s="4"/>
      <c r="P31" s="4"/>
    </row>
    <row r="32" spans="1:28" ht="15" customHeight="1" x14ac:dyDescent="0.3">
      <c r="O32" s="4"/>
      <c r="P32" s="4"/>
    </row>
    <row r="33" spans="15:16" ht="15" customHeight="1" x14ac:dyDescent="0.3">
      <c r="O33" s="4"/>
      <c r="P33" s="4"/>
    </row>
    <row r="34" spans="15:16" ht="15" customHeight="1" x14ac:dyDescent="0.3">
      <c r="O34" s="4"/>
      <c r="P34" s="4"/>
    </row>
    <row r="35" spans="15:16" ht="15" customHeight="1" x14ac:dyDescent="0.3">
      <c r="O35" s="4"/>
      <c r="P35" s="4"/>
    </row>
    <row r="36" spans="15:16" ht="15" customHeight="1" x14ac:dyDescent="0.3">
      <c r="O36" s="4"/>
      <c r="P36" s="4"/>
    </row>
    <row r="37" spans="15:16" ht="15" customHeight="1" x14ac:dyDescent="0.3">
      <c r="O37" s="4"/>
      <c r="P37" s="4"/>
    </row>
  </sheetData>
  <hyperlinks>
    <hyperlink ref="G2" r:id="rId1" xr:uid="{1D71EB79-5F0F-4915-882F-51593EAC9E69}"/>
    <hyperlink ref="H2" r:id="rId2" xr:uid="{82ACB03C-7AB4-468A-900B-A1E3BD1A1CE0}"/>
    <hyperlink ref="G3" r:id="rId3" xr:uid="{8B795B89-1857-4E97-909D-DA4E3F07062F}"/>
    <hyperlink ref="G4" r:id="rId4" xr:uid="{3867861A-BA6F-48F3-A07C-F19B7DA9BF87}"/>
    <hyperlink ref="H3" r:id="rId5" xr:uid="{891467AC-8A0C-43CD-9925-194271F9A132}"/>
    <hyperlink ref="H4" r:id="rId6" xr:uid="{7200B0C0-72F9-451D-85F7-1ACFF1FB92AB}"/>
    <hyperlink ref="H7" r:id="rId7" xr:uid="{90113EDD-0C3D-4555-88BA-74E3E4C6ECC5}"/>
    <hyperlink ref="G7" r:id="rId8" xr:uid="{80011F12-37C9-4414-8638-1ECDC2BEE0E9}"/>
    <hyperlink ref="H5" r:id="rId9" xr:uid="{B492ADEC-C492-4080-91F0-D0451E51F714}"/>
    <hyperlink ref="H6" r:id="rId10" xr:uid="{BF8A24AA-1E53-47C8-AA9F-06F82DE75DB5}"/>
    <hyperlink ref="G5" r:id="rId11" display="https://www.coles.com.au/browse/chips-chocolates-snacks/chips?cid=col_cpc_Brand|ColesSupermarkets|Confectionery|Australia&amp;s_kwcid=AL!12693!3!738567324869!b!!g!!coles%20chips&amp;gclsrc=aw.ds&amp;gad_source=1&amp;gad_campaignid=22331111435&amp;gbraid=0AAAAADzlvJcKkMFcZm78ZmREFaz4MsN6r&amp;gclid=EAIaIQobChMI8fbinvLyjwMVOdgWBR0mJjIwEAAYASAAEgKuRvD_BwE" xr:uid="{58666704-325F-4C47-8349-9F9F6AB1425D}"/>
    <hyperlink ref="G6" r:id="rId12" display="https://www.woolworths.com.au/shop/browse/footy-finals-kiosk/freezer-favourites/peters?utm_source=google&amp;utm_medium=cpc&amp;utm_campaign=WOW-20028933&amp;gclsrc=aw.ds&amp;gad_source=1&amp;gad_campaignid=22956875984&amp;gbraid=0AAAAACoj6t6ayemb1qhbfWniYHtYtW0nM&amp;gclid=EAIaIQobChMIh8vYs_LyjwMVCvMWBR3tgw0fEAAYASAAEgK0aPD_BwE" xr:uid="{68511383-2003-4822-94EF-9266C68001CC}"/>
    <hyperlink ref="H9" r:id="rId13" xr:uid="{FA47038A-1A7C-42B8-BB57-D6E86BE7D81A}"/>
    <hyperlink ref="G9" r:id="rId14" xr:uid="{96CA1473-FAB6-4F39-B8BD-71BC8F58CF6C}"/>
    <hyperlink ref="G10" r:id="rId15" xr:uid="{EB7F3083-AE0A-4AEB-AA9B-293800F34133}"/>
    <hyperlink ref="H10" r:id="rId16" xr:uid="{4064E956-F710-41C1-B667-16D2CCB21506}"/>
    <hyperlink ref="H11" r:id="rId17" xr:uid="{052CFD54-AB7A-49E6-BB6D-76862FEF6C88}"/>
    <hyperlink ref="G11" r:id="rId18" xr:uid="{F4AC72E1-4A87-4AE0-85A5-64185AD44AE5}"/>
    <hyperlink ref="H17" r:id="rId19" xr:uid="{817FA85A-D5E5-4CD6-9D25-4814A1573F61}"/>
    <hyperlink ref="H14" r:id="rId20" xr:uid="{2A351C4C-93B0-4BE6-BC55-480ABB423BA0}"/>
    <hyperlink ref="H12" r:id="rId21" xr:uid="{1032C1C0-C371-4276-8C5F-DD45117A9A3E}"/>
    <hyperlink ref="H13" r:id="rId22" xr:uid="{EFC472C1-EA10-4269-A48E-3CDDAA4A7109}"/>
    <hyperlink ref="H15" r:id="rId23" xr:uid="{71C6A9C3-B771-427B-A03C-3D8DDAA6F198}"/>
    <hyperlink ref="H16" r:id="rId24" xr:uid="{96BBB062-9238-4231-B8A4-8AA395C4BF34}"/>
    <hyperlink ref="G12" r:id="rId25" xr:uid="{CC7E7746-16EB-4F68-81E1-CF5D037752BC}"/>
    <hyperlink ref="G13" r:id="rId26" xr:uid="{37BAC884-3407-42E8-9EF0-3DDF4B3BFCF3}"/>
    <hyperlink ref="G14" r:id="rId27" xr:uid="{651F44E3-29B8-4D85-B2AF-B3FD28B8546D}"/>
    <hyperlink ref="G15" r:id="rId28" xr:uid="{EA383D14-7661-4F24-B8CC-795808A6ED1F}"/>
    <hyperlink ref="G16" r:id="rId29" xr:uid="{A5444570-F4E9-4A9D-AE32-1380290F190B}"/>
    <hyperlink ref="G17" r:id="rId30" xr:uid="{971C8DF4-235D-490D-B463-648EC65E39D2}"/>
    <hyperlink ref="G18" r:id="rId31" xr:uid="{8CBF8A1F-C9CB-4524-9F58-2731E4A5C2EF}"/>
    <hyperlink ref="H18" r:id="rId32" xr:uid="{D53CE9DD-6ED3-47B6-BDDF-14EC78A794B3}"/>
    <hyperlink ref="G19" r:id="rId33" xr:uid="{4DEC452B-DB6D-4299-9A3A-5D19B8DB2840}"/>
    <hyperlink ref="H19" r:id="rId34" xr:uid="{BB444141-B5C3-4455-8A30-19FF845F0342}"/>
    <hyperlink ref="G20" r:id="rId35" xr:uid="{0E43E152-9490-45BE-94C1-F28E6514562E}"/>
    <hyperlink ref="H20" r:id="rId36" xr:uid="{406F1C54-DDF8-4E5F-BD7E-4FCAF25CA3FA}"/>
    <hyperlink ref="G21" r:id="rId37" xr:uid="{E367C6E8-988F-4131-9964-6FC392097EE8}"/>
    <hyperlink ref="H21" r:id="rId38" xr:uid="{27EF2D71-5787-49CC-BFA5-A35E9B329C2D}"/>
    <hyperlink ref="H8" r:id="rId39" xr:uid="{D161FFC0-B1BB-4B98-9067-F0419D693FAF}"/>
    <hyperlink ref="G8" r:id="rId40" xr:uid="{73A8B344-0142-42A4-9A74-1A1847303EBC}"/>
  </hyperlinks>
  <pageMargins left="0.7" right="0.7" top="0.75" bottom="0.75" header="0.3" footer="0.3"/>
  <legacyDrawing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FA14D-7F56-42ED-AD0F-858836F52128}">
  <dimension ref="A1:AB4"/>
  <sheetViews>
    <sheetView workbookViewId="0">
      <selection activeCell="B6" sqref="B6"/>
    </sheetView>
  </sheetViews>
  <sheetFormatPr defaultRowHeight="14.4" x14ac:dyDescent="0.3"/>
  <sheetData>
    <row r="1" spans="1:28" ht="187.2" x14ac:dyDescent="0.3">
      <c r="A1" s="1" t="s">
        <v>0</v>
      </c>
      <c r="B1" s="1" t="s">
        <v>1</v>
      </c>
      <c r="C1" s="1" t="s">
        <v>2</v>
      </c>
      <c r="D1" s="1" t="s">
        <v>3</v>
      </c>
      <c r="E1" s="1" t="s">
        <v>4</v>
      </c>
      <c r="F1" s="1" t="s">
        <v>5</v>
      </c>
      <c r="G1" s="1" t="s">
        <v>6</v>
      </c>
      <c r="H1" s="1" t="s">
        <v>7</v>
      </c>
      <c r="I1" s="1" t="s">
        <v>8</v>
      </c>
      <c r="J1" s="1" t="s">
        <v>9</v>
      </c>
      <c r="K1" s="5" t="s">
        <v>10</v>
      </c>
      <c r="L1" s="1" t="s">
        <v>172</v>
      </c>
      <c r="M1" s="1" t="s">
        <v>173</v>
      </c>
      <c r="N1" s="5" t="s">
        <v>13</v>
      </c>
      <c r="O1" s="1" t="s">
        <v>14</v>
      </c>
      <c r="P1" s="1" t="s">
        <v>15</v>
      </c>
      <c r="Q1" s="5" t="s">
        <v>16</v>
      </c>
      <c r="R1" s="1" t="s">
        <v>174</v>
      </c>
      <c r="S1" s="1" t="s">
        <v>175</v>
      </c>
      <c r="T1" s="5" t="s">
        <v>19</v>
      </c>
      <c r="U1" s="10" t="s">
        <v>20</v>
      </c>
      <c r="V1" s="1" t="s">
        <v>21</v>
      </c>
      <c r="W1" s="1" t="s">
        <v>22</v>
      </c>
      <c r="X1" s="5" t="s">
        <v>176</v>
      </c>
      <c r="Y1" s="5" t="s">
        <v>177</v>
      </c>
      <c r="Z1" s="5" t="s">
        <v>178</v>
      </c>
      <c r="AA1" s="5" t="s">
        <v>179</v>
      </c>
      <c r="AB1" s="5" t="s">
        <v>180</v>
      </c>
    </row>
    <row r="2" spans="1:28" x14ac:dyDescent="0.3">
      <c r="A2" t="s">
        <v>38</v>
      </c>
      <c r="B2" t="s">
        <v>39</v>
      </c>
    </row>
    <row r="3" spans="1:28" x14ac:dyDescent="0.3">
      <c r="A3" t="s">
        <v>45</v>
      </c>
      <c r="B3" t="s">
        <v>46</v>
      </c>
    </row>
    <row r="4" spans="1:28" x14ac:dyDescent="0.3">
      <c r="A4" t="s">
        <v>53</v>
      </c>
      <c r="B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78F9-499C-4505-B42C-347B3E9C86ED}">
  <dimension ref="A1:K10"/>
  <sheetViews>
    <sheetView topLeftCell="D1" workbookViewId="0">
      <selection activeCell="K1" sqref="K1"/>
    </sheetView>
  </sheetViews>
  <sheetFormatPr defaultRowHeight="14.4" x14ac:dyDescent="0.3"/>
  <cols>
    <col min="2" max="2" width="13" customWidth="1"/>
    <col min="3" max="3" width="13.109375" customWidth="1"/>
    <col min="4" max="4" width="13.6640625" customWidth="1"/>
    <col min="5" max="5" width="19" customWidth="1"/>
  </cols>
  <sheetData>
    <row r="1" spans="1:11" ht="57.6" x14ac:dyDescent="0.3">
      <c r="A1" s="1" t="s">
        <v>1</v>
      </c>
      <c r="B1" s="1" t="s">
        <v>181</v>
      </c>
      <c r="C1" s="1" t="s">
        <v>182</v>
      </c>
      <c r="D1" s="1" t="s">
        <v>183</v>
      </c>
      <c r="E1" s="1" t="s">
        <v>184</v>
      </c>
      <c r="G1" s="1" t="s">
        <v>1</v>
      </c>
      <c r="H1" s="1" t="s">
        <v>185</v>
      </c>
      <c r="I1" s="2" t="s">
        <v>178</v>
      </c>
      <c r="J1" s="2" t="s">
        <v>186</v>
      </c>
      <c r="K1" s="2" t="s">
        <v>180</v>
      </c>
    </row>
    <row r="2" spans="1:11" x14ac:dyDescent="0.3">
      <c r="A2" s="2" t="s">
        <v>24</v>
      </c>
      <c r="B2" s="4">
        <f>53658*1.51</f>
        <v>81023.58</v>
      </c>
      <c r="C2" s="4">
        <f>54041*1.51</f>
        <v>81601.91</v>
      </c>
      <c r="D2" s="4">
        <f>11552*1.51</f>
        <v>17443.52</v>
      </c>
      <c r="E2" s="4">
        <f>10580*1.51</f>
        <v>15975.8</v>
      </c>
      <c r="G2" s="2" t="s">
        <v>24</v>
      </c>
      <c r="H2" s="16">
        <v>10.767604938271605</v>
      </c>
      <c r="I2" s="17">
        <v>10.7089738768322</v>
      </c>
      <c r="J2" s="17">
        <v>58.345679012345677</v>
      </c>
      <c r="K2" s="17">
        <v>1.9763245873889126</v>
      </c>
    </row>
    <row r="3" spans="1:11" x14ac:dyDescent="0.3">
      <c r="A3" t="s">
        <v>32</v>
      </c>
      <c r="B3" s="4">
        <f>51262*1.51</f>
        <v>77405.62</v>
      </c>
      <c r="C3" s="4">
        <f>55658*1.51</f>
        <v>84043.58</v>
      </c>
      <c r="D3" s="4">
        <f>11438*1.51</f>
        <v>17271.38</v>
      </c>
      <c r="E3" s="4">
        <f>9601*1.51</f>
        <v>14497.51</v>
      </c>
      <c r="G3" t="s">
        <v>32</v>
      </c>
      <c r="H3" s="16">
        <v>3.4032275862068966</v>
      </c>
      <c r="I3" s="17">
        <v>11.923974806877041</v>
      </c>
      <c r="J3" s="17">
        <v>20.493154679802956</v>
      </c>
      <c r="K3" s="17">
        <v>1.9801734107825599</v>
      </c>
    </row>
    <row r="4" spans="1:11" x14ac:dyDescent="0.3">
      <c r="A4" t="s">
        <v>39</v>
      </c>
      <c r="B4" s="4">
        <v>4470</v>
      </c>
      <c r="C4" s="4">
        <v>5280</v>
      </c>
      <c r="D4" s="4">
        <v>-896</v>
      </c>
      <c r="E4" s="4">
        <v>114</v>
      </c>
      <c r="G4" t="s">
        <v>39</v>
      </c>
      <c r="H4" s="16">
        <v>-4.5537710916853023</v>
      </c>
      <c r="I4" s="17">
        <v>-8.7839285714285715</v>
      </c>
      <c r="J4" s="17">
        <v>18.596259402317546</v>
      </c>
      <c r="K4" s="17">
        <v>2.1509702104400108</v>
      </c>
    </row>
    <row r="6" spans="1:11" x14ac:dyDescent="0.3">
      <c r="A6" s="1"/>
      <c r="B6" s="2"/>
    </row>
    <row r="7" spans="1:11" x14ac:dyDescent="0.3">
      <c r="A7" s="1"/>
      <c r="B7" s="4"/>
      <c r="C7" s="4"/>
      <c r="D7" s="4"/>
    </row>
    <row r="8" spans="1:11" x14ac:dyDescent="0.3">
      <c r="A8" s="1"/>
      <c r="B8" s="4"/>
      <c r="C8" s="4"/>
      <c r="D8" s="4"/>
    </row>
    <row r="9" spans="1:11" x14ac:dyDescent="0.3">
      <c r="A9" s="1"/>
      <c r="B9" s="4"/>
      <c r="C9" s="4"/>
      <c r="D9" s="4"/>
    </row>
    <row r="10" spans="1:11" x14ac:dyDescent="0.3">
      <c r="A10" s="1"/>
      <c r="B10" s="4"/>
      <c r="C10" s="4"/>
      <c r="D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Desh</dc:creator>
  <cp:keywords/>
  <dc:description/>
  <cp:lastModifiedBy>Migara De Mel</cp:lastModifiedBy>
  <cp:revision/>
  <dcterms:created xsi:type="dcterms:W3CDTF">2025-09-10T10:13:23Z</dcterms:created>
  <dcterms:modified xsi:type="dcterms:W3CDTF">2025-10-02T00:04:11Z</dcterms:modified>
  <cp:category/>
  <cp:contentStatus/>
</cp:coreProperties>
</file>