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4" sheetId="1" r:id="rId4"/>
    <sheet state="visible" name="KEYS" sheetId="2" r:id="rId5"/>
    <sheet state="visible" name="NVDA" sheetId="3" r:id="rId6"/>
    <sheet state="visible" name="BTCUSD" sheetId="4" r:id="rId7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sz val="11.0"/>
      <color rgb="FF000000"/>
      <name val="Inconsolata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IFERROR(__xludf.DUMMYFUNCTION("googlefinance(""KEYS"", ""Price"", date(2015,1,1), date(2021,1,1), ""Daily"")"),"Date")</f>
        <v>Date</v>
      </c>
      <c r="B1" s="2" t="str">
        <f>IFERROR(__xludf.DUMMYFUNCTION("""COMPUTED_VALUE"""),"Close")</f>
        <v>Close</v>
      </c>
      <c r="D1" s="1" t="str">
        <f>IFERROR(__xludf.DUMMYFUNCTION("googlefinance(""NVDA"", ""Price"", date(2015,1,1), date(2021,1,1), ""Daily"")"),"Date")</f>
        <v>Date</v>
      </c>
      <c r="E1" s="2" t="str">
        <f>IFERROR(__xludf.DUMMYFUNCTION("""COMPUTED_VALUE"""),"Close")</f>
        <v>Close</v>
      </c>
      <c r="G1" s="1" t="str">
        <f>IFERROR(__xludf.DUMMYFUNCTION("googlefinance(""BTCUSD"", ""Price"", date(2015,1,1), date(2021,1,1), ""Daily"")"),"Date")</f>
        <v>Date</v>
      </c>
      <c r="H1" s="2" t="str">
        <f>IFERROR(__xludf.DUMMYFUNCTION("""COMPUTED_VALUE"""),"Close")</f>
        <v>Close</v>
      </c>
    </row>
    <row r="2">
      <c r="A2" s="3">
        <f>IFERROR(__xludf.DUMMYFUNCTION("""COMPUTED_VALUE"""),42006.66666666667)</f>
        <v>42006.66667</v>
      </c>
      <c r="B2" s="2">
        <f>IFERROR(__xludf.DUMMYFUNCTION("""COMPUTED_VALUE"""),33.42)</f>
        <v>33.42</v>
      </c>
      <c r="D2" s="3">
        <f>IFERROR(__xludf.DUMMYFUNCTION("""COMPUTED_VALUE"""),42006.66666666667)</f>
        <v>42006.66667</v>
      </c>
      <c r="E2" s="2">
        <f>IFERROR(__xludf.DUMMYFUNCTION("""COMPUTED_VALUE"""),5.03)</f>
        <v>5.03</v>
      </c>
      <c r="G2" s="3">
        <f>IFERROR(__xludf.DUMMYFUNCTION("""COMPUTED_VALUE"""),42327.99861111111)</f>
        <v>42327.99861</v>
      </c>
      <c r="H2" s="2">
        <f>IFERROR(__xludf.DUMMYFUNCTION("""COMPUTED_VALUE"""),326.41)</f>
        <v>326.41</v>
      </c>
    </row>
    <row r="3">
      <c r="A3" s="3">
        <f>IFERROR(__xludf.DUMMYFUNCTION("""COMPUTED_VALUE"""),42009.66666666667)</f>
        <v>42009.66667</v>
      </c>
      <c r="B3" s="2">
        <f>IFERROR(__xludf.DUMMYFUNCTION("""COMPUTED_VALUE"""),33.54)</f>
        <v>33.54</v>
      </c>
      <c r="D3" s="3">
        <f>IFERROR(__xludf.DUMMYFUNCTION("""COMPUTED_VALUE"""),42009.66666666667)</f>
        <v>42009.66667</v>
      </c>
      <c r="E3" s="2">
        <f>IFERROR(__xludf.DUMMYFUNCTION("""COMPUTED_VALUE"""),4.95)</f>
        <v>4.95</v>
      </c>
      <c r="G3" s="3">
        <f>IFERROR(__xludf.DUMMYFUNCTION("""COMPUTED_VALUE"""),42328.99861111111)</f>
        <v>42328.99861</v>
      </c>
      <c r="H3" s="2">
        <f>IFERROR(__xludf.DUMMYFUNCTION("""COMPUTED_VALUE"""),322.39)</f>
        <v>322.39</v>
      </c>
    </row>
    <row r="4">
      <c r="A4" s="3">
        <f>IFERROR(__xludf.DUMMYFUNCTION("""COMPUTED_VALUE"""),42010.66666666667)</f>
        <v>42010.66667</v>
      </c>
      <c r="B4" s="2">
        <f>IFERROR(__xludf.DUMMYFUNCTION("""COMPUTED_VALUE"""),33.61)</f>
        <v>33.61</v>
      </c>
      <c r="D4" s="3">
        <f>IFERROR(__xludf.DUMMYFUNCTION("""COMPUTED_VALUE"""),42010.66666666667)</f>
        <v>42010.66667</v>
      </c>
      <c r="E4" s="2">
        <f>IFERROR(__xludf.DUMMYFUNCTION("""COMPUTED_VALUE"""),4.8)</f>
        <v>4.8</v>
      </c>
      <c r="G4" s="3">
        <f>IFERROR(__xludf.DUMMYFUNCTION("""COMPUTED_VALUE"""),42329.99861111111)</f>
        <v>42329.99861</v>
      </c>
      <c r="H4" s="2">
        <f>IFERROR(__xludf.DUMMYFUNCTION("""COMPUTED_VALUE"""),327.0)</f>
        <v>327</v>
      </c>
    </row>
    <row r="5">
      <c r="A5" s="3">
        <f>IFERROR(__xludf.DUMMYFUNCTION("""COMPUTED_VALUE"""),42011.66666666667)</f>
        <v>42011.66667</v>
      </c>
      <c r="B5" s="2">
        <f>IFERROR(__xludf.DUMMYFUNCTION("""COMPUTED_VALUE"""),33.88)</f>
        <v>33.88</v>
      </c>
      <c r="D5" s="3">
        <f>IFERROR(__xludf.DUMMYFUNCTION("""COMPUTED_VALUE"""),42011.66666666667)</f>
        <v>42011.66667</v>
      </c>
      <c r="E5" s="2">
        <f>IFERROR(__xludf.DUMMYFUNCTION("""COMPUTED_VALUE"""),4.78)</f>
        <v>4.78</v>
      </c>
      <c r="G5" s="3">
        <f>IFERROR(__xludf.DUMMYFUNCTION("""COMPUTED_VALUE"""),42330.99861111111)</f>
        <v>42330.99861</v>
      </c>
      <c r="H5" s="2">
        <f>IFERROR(__xludf.DUMMYFUNCTION("""COMPUTED_VALUE"""),323.71)</f>
        <v>323.71</v>
      </c>
    </row>
    <row r="6">
      <c r="A6" s="3">
        <f>IFERROR(__xludf.DUMMYFUNCTION("""COMPUTED_VALUE"""),42012.66666666667)</f>
        <v>42012.66667</v>
      </c>
      <c r="B6" s="2">
        <f>IFERROR(__xludf.DUMMYFUNCTION("""COMPUTED_VALUE"""),34.12)</f>
        <v>34.12</v>
      </c>
      <c r="D6" s="3">
        <f>IFERROR(__xludf.DUMMYFUNCTION("""COMPUTED_VALUE"""),42012.66666666667)</f>
        <v>42012.66667</v>
      </c>
      <c r="E6" s="2">
        <f>IFERROR(__xludf.DUMMYFUNCTION("""COMPUTED_VALUE"""),4.97)</f>
        <v>4.97</v>
      </c>
      <c r="G6" s="3">
        <f>IFERROR(__xludf.DUMMYFUNCTION("""COMPUTED_VALUE"""),42331.99861111111)</f>
        <v>42331.99861</v>
      </c>
      <c r="H6" s="2">
        <f>IFERROR(__xludf.DUMMYFUNCTION("""COMPUTED_VALUE"""),323.0)</f>
        <v>323</v>
      </c>
    </row>
    <row r="7">
      <c r="A7" s="3">
        <f>IFERROR(__xludf.DUMMYFUNCTION("""COMPUTED_VALUE"""),42013.66666666667)</f>
        <v>42013.66667</v>
      </c>
      <c r="B7" s="2">
        <f>IFERROR(__xludf.DUMMYFUNCTION("""COMPUTED_VALUE"""),33.96)</f>
        <v>33.96</v>
      </c>
      <c r="D7" s="3">
        <f>IFERROR(__xludf.DUMMYFUNCTION("""COMPUTED_VALUE"""),42013.66666666667)</f>
        <v>42013.66667</v>
      </c>
      <c r="E7" s="2">
        <f>IFERROR(__xludf.DUMMYFUNCTION("""COMPUTED_VALUE"""),4.99)</f>
        <v>4.99</v>
      </c>
      <c r="G7" s="3">
        <f>IFERROR(__xludf.DUMMYFUNCTION("""COMPUTED_VALUE"""),42332.99861111111)</f>
        <v>42332.99861</v>
      </c>
      <c r="H7" s="2">
        <f>IFERROR(__xludf.DUMMYFUNCTION("""COMPUTED_VALUE"""),321.0)</f>
        <v>321</v>
      </c>
    </row>
    <row r="8">
      <c r="A8" s="3">
        <f>IFERROR(__xludf.DUMMYFUNCTION("""COMPUTED_VALUE"""),42016.66666666667)</f>
        <v>42016.66667</v>
      </c>
      <c r="B8" s="2">
        <f>IFERROR(__xludf.DUMMYFUNCTION("""COMPUTED_VALUE"""),34.46)</f>
        <v>34.46</v>
      </c>
      <c r="D8" s="3">
        <f>IFERROR(__xludf.DUMMYFUNCTION("""COMPUTED_VALUE"""),42016.66666666667)</f>
        <v>42016.66667</v>
      </c>
      <c r="E8" s="2">
        <f>IFERROR(__xludf.DUMMYFUNCTION("""COMPUTED_VALUE"""),4.92)</f>
        <v>4.92</v>
      </c>
      <c r="G8" s="3">
        <f>IFERROR(__xludf.DUMMYFUNCTION("""COMPUTED_VALUE"""),42333.99861111111)</f>
        <v>42333.99861</v>
      </c>
      <c r="H8" s="2">
        <f>IFERROR(__xludf.DUMMYFUNCTION("""COMPUTED_VALUE"""),328.98)</f>
        <v>328.98</v>
      </c>
    </row>
    <row r="9">
      <c r="A9" s="3">
        <f>IFERROR(__xludf.DUMMYFUNCTION("""COMPUTED_VALUE"""),42017.66666666667)</f>
        <v>42017.66667</v>
      </c>
      <c r="B9" s="2">
        <f>IFERROR(__xludf.DUMMYFUNCTION("""COMPUTED_VALUE"""),34.69)</f>
        <v>34.69</v>
      </c>
      <c r="D9" s="3">
        <f>IFERROR(__xludf.DUMMYFUNCTION("""COMPUTED_VALUE"""),42017.66666666667)</f>
        <v>42017.66667</v>
      </c>
      <c r="E9" s="2">
        <f>IFERROR(__xludf.DUMMYFUNCTION("""COMPUTED_VALUE"""),4.91)</f>
        <v>4.91</v>
      </c>
      <c r="G9" s="3">
        <f>IFERROR(__xludf.DUMMYFUNCTION("""COMPUTED_VALUE"""),42334.99861111111)</f>
        <v>42334.99861</v>
      </c>
      <c r="H9" s="2">
        <f>IFERROR(__xludf.DUMMYFUNCTION("""COMPUTED_VALUE"""),352.57)</f>
        <v>352.57</v>
      </c>
    </row>
    <row r="10">
      <c r="A10" s="3">
        <f>IFERROR(__xludf.DUMMYFUNCTION("""COMPUTED_VALUE"""),42018.66666666667)</f>
        <v>42018.66667</v>
      </c>
      <c r="B10" s="2">
        <f>IFERROR(__xludf.DUMMYFUNCTION("""COMPUTED_VALUE"""),34.93)</f>
        <v>34.93</v>
      </c>
      <c r="D10" s="3">
        <f>IFERROR(__xludf.DUMMYFUNCTION("""COMPUTED_VALUE"""),42018.66666666667)</f>
        <v>42018.66667</v>
      </c>
      <c r="E10" s="2">
        <f>IFERROR(__xludf.DUMMYFUNCTION("""COMPUTED_VALUE"""),4.93)</f>
        <v>4.93</v>
      </c>
      <c r="G10" s="3">
        <f>IFERROR(__xludf.DUMMYFUNCTION("""COMPUTED_VALUE"""),42335.99861111111)</f>
        <v>42335.99861</v>
      </c>
      <c r="H10" s="2">
        <f>IFERROR(__xludf.DUMMYFUNCTION("""COMPUTED_VALUE"""),358.19)</f>
        <v>358.19</v>
      </c>
    </row>
    <row r="11">
      <c r="A11" s="3">
        <f>IFERROR(__xludf.DUMMYFUNCTION("""COMPUTED_VALUE"""),42019.66666666667)</f>
        <v>42019.66667</v>
      </c>
      <c r="B11" s="2">
        <f>IFERROR(__xludf.DUMMYFUNCTION("""COMPUTED_VALUE"""),34.47)</f>
        <v>34.47</v>
      </c>
      <c r="D11" s="3">
        <f>IFERROR(__xludf.DUMMYFUNCTION("""COMPUTED_VALUE"""),42019.66666666667)</f>
        <v>42019.66667</v>
      </c>
      <c r="E11" s="2">
        <f>IFERROR(__xludf.DUMMYFUNCTION("""COMPUTED_VALUE"""),4.9)</f>
        <v>4.9</v>
      </c>
      <c r="G11" s="3">
        <f>IFERROR(__xludf.DUMMYFUNCTION("""COMPUTED_VALUE"""),42336.99861111111)</f>
        <v>42336.99861</v>
      </c>
      <c r="H11" s="2">
        <f>IFERROR(__xludf.DUMMYFUNCTION("""COMPUTED_VALUE"""),357.24)</f>
        <v>357.24</v>
      </c>
    </row>
    <row r="12">
      <c r="A12" s="3">
        <f>IFERROR(__xludf.DUMMYFUNCTION("""COMPUTED_VALUE"""),42020.66666666667)</f>
        <v>42020.66667</v>
      </c>
      <c r="B12" s="2">
        <f>IFERROR(__xludf.DUMMYFUNCTION("""COMPUTED_VALUE"""),34.96)</f>
        <v>34.96</v>
      </c>
      <c r="D12" s="3">
        <f>IFERROR(__xludf.DUMMYFUNCTION("""COMPUTED_VALUE"""),42020.66666666667)</f>
        <v>42020.66667</v>
      </c>
      <c r="E12" s="2">
        <f>IFERROR(__xludf.DUMMYFUNCTION("""COMPUTED_VALUE"""),4.99)</f>
        <v>4.99</v>
      </c>
      <c r="G12" s="3">
        <f>IFERROR(__xludf.DUMMYFUNCTION("""COMPUTED_VALUE"""),42337.99861111111)</f>
        <v>42337.99861</v>
      </c>
      <c r="H12" s="2">
        <f>IFERROR(__xludf.DUMMYFUNCTION("""COMPUTED_VALUE"""),372.24)</f>
        <v>372.24</v>
      </c>
    </row>
    <row r="13">
      <c r="A13" s="3">
        <f>IFERROR(__xludf.DUMMYFUNCTION("""COMPUTED_VALUE"""),42024.66666666667)</f>
        <v>42024.66667</v>
      </c>
      <c r="B13" s="2">
        <f>IFERROR(__xludf.DUMMYFUNCTION("""COMPUTED_VALUE"""),34.92)</f>
        <v>34.92</v>
      </c>
      <c r="D13" s="3">
        <f>IFERROR(__xludf.DUMMYFUNCTION("""COMPUTED_VALUE"""),42024.66666666667)</f>
        <v>42024.66667</v>
      </c>
      <c r="E13" s="2">
        <f>IFERROR(__xludf.DUMMYFUNCTION("""COMPUTED_VALUE"""),5.01)</f>
        <v>5.01</v>
      </c>
      <c r="G13" s="3">
        <f>IFERROR(__xludf.DUMMYFUNCTION("""COMPUTED_VALUE"""),42338.99861111111)</f>
        <v>42338.99861</v>
      </c>
      <c r="H13" s="2">
        <f>IFERROR(__xludf.DUMMYFUNCTION("""COMPUTED_VALUE"""),376.86)</f>
        <v>376.86</v>
      </c>
    </row>
    <row r="14">
      <c r="A14" s="3">
        <f>IFERROR(__xludf.DUMMYFUNCTION("""COMPUTED_VALUE"""),42025.66666666667)</f>
        <v>42025.66667</v>
      </c>
      <c r="B14" s="2">
        <f>IFERROR(__xludf.DUMMYFUNCTION("""COMPUTED_VALUE"""),35.74)</f>
        <v>35.74</v>
      </c>
      <c r="D14" s="3">
        <f>IFERROR(__xludf.DUMMYFUNCTION("""COMPUTED_VALUE"""),42025.66666666667)</f>
        <v>42025.66667</v>
      </c>
      <c r="E14" s="2">
        <f>IFERROR(__xludf.DUMMYFUNCTION("""COMPUTED_VALUE"""),5.08)</f>
        <v>5.08</v>
      </c>
      <c r="G14" s="3">
        <f>IFERROR(__xludf.DUMMYFUNCTION("""COMPUTED_VALUE"""),42339.99861111111)</f>
        <v>42339.99861</v>
      </c>
      <c r="H14" s="2">
        <f>IFERROR(__xludf.DUMMYFUNCTION("""COMPUTED_VALUE"""),362.68)</f>
        <v>362.68</v>
      </c>
    </row>
    <row r="15">
      <c r="A15" s="3">
        <f>IFERROR(__xludf.DUMMYFUNCTION("""COMPUTED_VALUE"""),42026.66666666667)</f>
        <v>42026.66667</v>
      </c>
      <c r="B15" s="2">
        <f>IFERROR(__xludf.DUMMYFUNCTION("""COMPUTED_VALUE"""),35.78)</f>
        <v>35.78</v>
      </c>
      <c r="D15" s="3">
        <f>IFERROR(__xludf.DUMMYFUNCTION("""COMPUTED_VALUE"""),42026.66666666667)</f>
        <v>42026.66667</v>
      </c>
      <c r="E15" s="2">
        <f>IFERROR(__xludf.DUMMYFUNCTION("""COMPUTED_VALUE"""),5.16)</f>
        <v>5.16</v>
      </c>
      <c r="G15" s="3">
        <f>IFERROR(__xludf.DUMMYFUNCTION("""COMPUTED_VALUE"""),42340.99861111111)</f>
        <v>42340.99861</v>
      </c>
      <c r="H15" s="2">
        <f>IFERROR(__xludf.DUMMYFUNCTION("""COMPUTED_VALUE"""),360.0)</f>
        <v>360</v>
      </c>
    </row>
    <row r="16">
      <c r="A16" s="3">
        <f>IFERROR(__xludf.DUMMYFUNCTION("""COMPUTED_VALUE"""),42027.66666666667)</f>
        <v>42027.66667</v>
      </c>
      <c r="B16" s="2">
        <f>IFERROR(__xludf.DUMMYFUNCTION("""COMPUTED_VALUE"""),34.87)</f>
        <v>34.87</v>
      </c>
      <c r="D16" s="3">
        <f>IFERROR(__xludf.DUMMYFUNCTION("""COMPUTED_VALUE"""),42027.66666666667)</f>
        <v>42027.66667</v>
      </c>
      <c r="E16" s="2">
        <f>IFERROR(__xludf.DUMMYFUNCTION("""COMPUTED_VALUE"""),5.18)</f>
        <v>5.18</v>
      </c>
      <c r="G16" s="3">
        <f>IFERROR(__xludf.DUMMYFUNCTION("""COMPUTED_VALUE"""),42341.99861111111)</f>
        <v>42341.99861</v>
      </c>
      <c r="H16" s="2">
        <f>IFERROR(__xludf.DUMMYFUNCTION("""COMPUTED_VALUE"""),361.77)</f>
        <v>361.77</v>
      </c>
    </row>
    <row r="17">
      <c r="A17" s="3">
        <f>IFERROR(__xludf.DUMMYFUNCTION("""COMPUTED_VALUE"""),42030.66666666667)</f>
        <v>42030.66667</v>
      </c>
      <c r="B17" s="2">
        <f>IFERROR(__xludf.DUMMYFUNCTION("""COMPUTED_VALUE"""),34.33)</f>
        <v>34.33</v>
      </c>
      <c r="D17" s="3">
        <f>IFERROR(__xludf.DUMMYFUNCTION("""COMPUTED_VALUE"""),42030.66666666667)</f>
        <v>42030.66667</v>
      </c>
      <c r="E17" s="2">
        <f>IFERROR(__xludf.DUMMYFUNCTION("""COMPUTED_VALUE"""),5.15)</f>
        <v>5.15</v>
      </c>
      <c r="G17" s="3">
        <f>IFERROR(__xludf.DUMMYFUNCTION("""COMPUTED_VALUE"""),42342.99861111111)</f>
        <v>42342.99861</v>
      </c>
      <c r="H17" s="2">
        <f>IFERROR(__xludf.DUMMYFUNCTION("""COMPUTED_VALUE"""),363.98)</f>
        <v>363.98</v>
      </c>
    </row>
    <row r="18">
      <c r="A18" s="3">
        <f>IFERROR(__xludf.DUMMYFUNCTION("""COMPUTED_VALUE"""),42031.66666666667)</f>
        <v>42031.66667</v>
      </c>
      <c r="B18" s="2">
        <f>IFERROR(__xludf.DUMMYFUNCTION("""COMPUTED_VALUE"""),33.73)</f>
        <v>33.73</v>
      </c>
      <c r="D18" s="3">
        <f>IFERROR(__xludf.DUMMYFUNCTION("""COMPUTED_VALUE"""),42031.66666666667)</f>
        <v>42031.66667</v>
      </c>
      <c r="E18" s="2">
        <f>IFERROR(__xludf.DUMMYFUNCTION("""COMPUTED_VALUE"""),4.91)</f>
        <v>4.91</v>
      </c>
      <c r="G18" s="3">
        <f>IFERROR(__xludf.DUMMYFUNCTION("""COMPUTED_VALUE"""),42343.99861111111)</f>
        <v>42343.99861</v>
      </c>
      <c r="H18" s="2">
        <f>IFERROR(__xludf.DUMMYFUNCTION("""COMPUTED_VALUE"""),387.99)</f>
        <v>387.99</v>
      </c>
    </row>
    <row r="19">
      <c r="A19" s="3">
        <f>IFERROR(__xludf.DUMMYFUNCTION("""COMPUTED_VALUE"""),42032.66666666667)</f>
        <v>42032.66667</v>
      </c>
      <c r="B19" s="2">
        <f>IFERROR(__xludf.DUMMYFUNCTION("""COMPUTED_VALUE"""),33.34)</f>
        <v>33.34</v>
      </c>
      <c r="D19" s="3">
        <f>IFERROR(__xludf.DUMMYFUNCTION("""COMPUTED_VALUE"""),42032.66666666667)</f>
        <v>42032.66667</v>
      </c>
      <c r="E19" s="2">
        <f>IFERROR(__xludf.DUMMYFUNCTION("""COMPUTED_VALUE"""),4.83)</f>
        <v>4.83</v>
      </c>
      <c r="G19" s="3">
        <f>IFERROR(__xludf.DUMMYFUNCTION("""COMPUTED_VALUE"""),42344.99861111111)</f>
        <v>42344.99861</v>
      </c>
      <c r="H19" s="2">
        <f>IFERROR(__xludf.DUMMYFUNCTION("""COMPUTED_VALUE"""),387.55)</f>
        <v>387.55</v>
      </c>
    </row>
    <row r="20">
      <c r="A20" s="3">
        <f>IFERROR(__xludf.DUMMYFUNCTION("""COMPUTED_VALUE"""),42033.66666666667)</f>
        <v>42033.66667</v>
      </c>
      <c r="B20" s="2">
        <f>IFERROR(__xludf.DUMMYFUNCTION("""COMPUTED_VALUE"""),33.68)</f>
        <v>33.68</v>
      </c>
      <c r="D20" s="3">
        <f>IFERROR(__xludf.DUMMYFUNCTION("""COMPUTED_VALUE"""),42033.66666666667)</f>
        <v>42033.66667</v>
      </c>
      <c r="E20" s="2">
        <f>IFERROR(__xludf.DUMMYFUNCTION("""COMPUTED_VALUE"""),4.95)</f>
        <v>4.95</v>
      </c>
      <c r="G20" s="3">
        <f>IFERROR(__xludf.DUMMYFUNCTION("""COMPUTED_VALUE"""),42345.99861111111)</f>
        <v>42345.99861</v>
      </c>
      <c r="H20" s="2">
        <f>IFERROR(__xludf.DUMMYFUNCTION("""COMPUTED_VALUE"""),394.73)</f>
        <v>394.73</v>
      </c>
    </row>
    <row r="21">
      <c r="A21" s="3">
        <f>IFERROR(__xludf.DUMMYFUNCTION("""COMPUTED_VALUE"""),42034.66666666667)</f>
        <v>42034.66667</v>
      </c>
      <c r="B21" s="2">
        <f>IFERROR(__xludf.DUMMYFUNCTION("""COMPUTED_VALUE"""),33.39)</f>
        <v>33.39</v>
      </c>
      <c r="D21" s="3">
        <f>IFERROR(__xludf.DUMMYFUNCTION("""COMPUTED_VALUE"""),42034.66666666667)</f>
        <v>42034.66667</v>
      </c>
      <c r="E21" s="2">
        <f>IFERROR(__xludf.DUMMYFUNCTION("""COMPUTED_VALUE"""),4.8)</f>
        <v>4.8</v>
      </c>
      <c r="G21" s="3">
        <f>IFERROR(__xludf.DUMMYFUNCTION("""COMPUTED_VALUE"""),42346.99861111111)</f>
        <v>42346.99861</v>
      </c>
      <c r="H21" s="2">
        <f>IFERROR(__xludf.DUMMYFUNCTION("""COMPUTED_VALUE"""),418.94)</f>
        <v>418.94</v>
      </c>
    </row>
    <row r="22">
      <c r="A22" s="3">
        <f>IFERROR(__xludf.DUMMYFUNCTION("""COMPUTED_VALUE"""),42037.66666666667)</f>
        <v>42037.66667</v>
      </c>
      <c r="B22" s="2">
        <f>IFERROR(__xludf.DUMMYFUNCTION("""COMPUTED_VALUE"""),34.33)</f>
        <v>34.33</v>
      </c>
      <c r="D22" s="3">
        <f>IFERROR(__xludf.DUMMYFUNCTION("""COMPUTED_VALUE"""),42037.66666666667)</f>
        <v>42037.66667</v>
      </c>
      <c r="E22" s="2">
        <f>IFERROR(__xludf.DUMMYFUNCTION("""COMPUTED_VALUE"""),4.91)</f>
        <v>4.91</v>
      </c>
      <c r="G22" s="3">
        <f>IFERROR(__xludf.DUMMYFUNCTION("""COMPUTED_VALUE"""),42347.99861111111)</f>
        <v>42347.99861</v>
      </c>
      <c r="H22" s="2">
        <f>IFERROR(__xludf.DUMMYFUNCTION("""COMPUTED_VALUE"""),418.39)</f>
        <v>418.39</v>
      </c>
    </row>
    <row r="23">
      <c r="A23" s="3">
        <f>IFERROR(__xludf.DUMMYFUNCTION("""COMPUTED_VALUE"""),42038.66666666667)</f>
        <v>42038.66667</v>
      </c>
      <c r="B23" s="2">
        <f>IFERROR(__xludf.DUMMYFUNCTION("""COMPUTED_VALUE"""),34.05)</f>
        <v>34.05</v>
      </c>
      <c r="D23" s="3">
        <f>IFERROR(__xludf.DUMMYFUNCTION("""COMPUTED_VALUE"""),42038.66666666667)</f>
        <v>42038.66667</v>
      </c>
      <c r="E23" s="2">
        <f>IFERROR(__xludf.DUMMYFUNCTION("""COMPUTED_VALUE"""),5.03)</f>
        <v>5.03</v>
      </c>
      <c r="G23" s="3">
        <f>IFERROR(__xludf.DUMMYFUNCTION("""COMPUTED_VALUE"""),42348.99861111111)</f>
        <v>42348.99861</v>
      </c>
      <c r="H23" s="2">
        <f>IFERROR(__xludf.DUMMYFUNCTION("""COMPUTED_VALUE"""),415.68)</f>
        <v>415.68</v>
      </c>
    </row>
    <row r="24">
      <c r="A24" s="3">
        <f>IFERROR(__xludf.DUMMYFUNCTION("""COMPUTED_VALUE"""),42039.66666666667)</f>
        <v>42039.66667</v>
      </c>
      <c r="B24" s="2">
        <f>IFERROR(__xludf.DUMMYFUNCTION("""COMPUTED_VALUE"""),34.21)</f>
        <v>34.21</v>
      </c>
      <c r="D24" s="3">
        <f>IFERROR(__xludf.DUMMYFUNCTION("""COMPUTED_VALUE"""),42039.66666666667)</f>
        <v>42039.66667</v>
      </c>
      <c r="E24" s="2">
        <f>IFERROR(__xludf.DUMMYFUNCTION("""COMPUTED_VALUE"""),5.04)</f>
        <v>5.04</v>
      </c>
      <c r="G24" s="3">
        <f>IFERROR(__xludf.DUMMYFUNCTION("""COMPUTED_VALUE"""),42349.99861111111)</f>
        <v>42349.99861</v>
      </c>
      <c r="H24" s="2">
        <f>IFERROR(__xludf.DUMMYFUNCTION("""COMPUTED_VALUE"""),452.95)</f>
        <v>452.95</v>
      </c>
    </row>
    <row r="25">
      <c r="A25" s="3">
        <f>IFERROR(__xludf.DUMMYFUNCTION("""COMPUTED_VALUE"""),42040.66666666667)</f>
        <v>42040.66667</v>
      </c>
      <c r="B25" s="2">
        <f>IFERROR(__xludf.DUMMYFUNCTION("""COMPUTED_VALUE"""),34.61)</f>
        <v>34.61</v>
      </c>
      <c r="D25" s="3">
        <f>IFERROR(__xludf.DUMMYFUNCTION("""COMPUTED_VALUE"""),42040.66666666667)</f>
        <v>42040.66667</v>
      </c>
      <c r="E25" s="2">
        <f>IFERROR(__xludf.DUMMYFUNCTION("""COMPUTED_VALUE"""),5.12)</f>
        <v>5.12</v>
      </c>
      <c r="G25" s="3">
        <f>IFERROR(__xludf.DUMMYFUNCTION("""COMPUTED_VALUE"""),42350.99861111111)</f>
        <v>42350.99861</v>
      </c>
      <c r="H25" s="2">
        <f>IFERROR(__xludf.DUMMYFUNCTION("""COMPUTED_VALUE"""),436.87)</f>
        <v>436.87</v>
      </c>
    </row>
    <row r="26">
      <c r="A26" s="3">
        <f>IFERROR(__xludf.DUMMYFUNCTION("""COMPUTED_VALUE"""),42041.66666666667)</f>
        <v>42041.66667</v>
      </c>
      <c r="B26" s="2">
        <f>IFERROR(__xludf.DUMMYFUNCTION("""COMPUTED_VALUE"""),35.08)</f>
        <v>35.08</v>
      </c>
      <c r="D26" s="3">
        <f>IFERROR(__xludf.DUMMYFUNCTION("""COMPUTED_VALUE"""),42041.66666666667)</f>
        <v>42041.66667</v>
      </c>
      <c r="E26" s="2">
        <f>IFERROR(__xludf.DUMMYFUNCTION("""COMPUTED_VALUE"""),5.1)</f>
        <v>5.1</v>
      </c>
      <c r="G26" s="3">
        <f>IFERROR(__xludf.DUMMYFUNCTION("""COMPUTED_VALUE"""),42351.99861111111)</f>
        <v>42351.99861</v>
      </c>
      <c r="H26" s="2">
        <f>IFERROR(__xludf.DUMMYFUNCTION("""COMPUTED_VALUE"""),433.83)</f>
        <v>433.83</v>
      </c>
    </row>
    <row r="27">
      <c r="A27" s="3">
        <f>IFERROR(__xludf.DUMMYFUNCTION("""COMPUTED_VALUE"""),42044.66666666667)</f>
        <v>42044.66667</v>
      </c>
      <c r="B27" s="2">
        <f>IFERROR(__xludf.DUMMYFUNCTION("""COMPUTED_VALUE"""),34.97)</f>
        <v>34.97</v>
      </c>
      <c r="D27" s="3">
        <f>IFERROR(__xludf.DUMMYFUNCTION("""COMPUTED_VALUE"""),42044.66666666667)</f>
        <v>42044.66667</v>
      </c>
      <c r="E27" s="2">
        <f>IFERROR(__xludf.DUMMYFUNCTION("""COMPUTED_VALUE"""),5.1)</f>
        <v>5.1</v>
      </c>
      <c r="G27" s="3">
        <f>IFERROR(__xludf.DUMMYFUNCTION("""COMPUTED_VALUE"""),42352.99861111111)</f>
        <v>42352.99861</v>
      </c>
      <c r="H27" s="2">
        <f>IFERROR(__xludf.DUMMYFUNCTION("""COMPUTED_VALUE"""),444.01)</f>
        <v>444.01</v>
      </c>
    </row>
    <row r="28">
      <c r="A28" s="3">
        <f>IFERROR(__xludf.DUMMYFUNCTION("""COMPUTED_VALUE"""),42045.66666666667)</f>
        <v>42045.66667</v>
      </c>
      <c r="B28" s="2">
        <f>IFERROR(__xludf.DUMMYFUNCTION("""COMPUTED_VALUE"""),35.76)</f>
        <v>35.76</v>
      </c>
      <c r="D28" s="3">
        <f>IFERROR(__xludf.DUMMYFUNCTION("""COMPUTED_VALUE"""),42045.66666666667)</f>
        <v>42045.66667</v>
      </c>
      <c r="E28" s="2">
        <f>IFERROR(__xludf.DUMMYFUNCTION("""COMPUTED_VALUE"""),5.24)</f>
        <v>5.24</v>
      </c>
      <c r="G28" s="3">
        <f>IFERROR(__xludf.DUMMYFUNCTION("""COMPUTED_VALUE"""),42353.99861111111)</f>
        <v>42353.99861</v>
      </c>
      <c r="H28" s="2">
        <f>IFERROR(__xludf.DUMMYFUNCTION("""COMPUTED_VALUE"""),464.27)</f>
        <v>464.27</v>
      </c>
    </row>
    <row r="29">
      <c r="A29" s="3">
        <f>IFERROR(__xludf.DUMMYFUNCTION("""COMPUTED_VALUE"""),42046.66666666667)</f>
        <v>42046.66667</v>
      </c>
      <c r="B29" s="2">
        <f>IFERROR(__xludf.DUMMYFUNCTION("""COMPUTED_VALUE"""),35.57)</f>
        <v>35.57</v>
      </c>
      <c r="D29" s="3">
        <f>IFERROR(__xludf.DUMMYFUNCTION("""COMPUTED_VALUE"""),42046.66666666667)</f>
        <v>42046.66667</v>
      </c>
      <c r="E29" s="2">
        <f>IFERROR(__xludf.DUMMYFUNCTION("""COMPUTED_VALUE"""),5.2)</f>
        <v>5.2</v>
      </c>
      <c r="G29" s="3">
        <f>IFERROR(__xludf.DUMMYFUNCTION("""COMPUTED_VALUE"""),42354.99861111111)</f>
        <v>42354.99861</v>
      </c>
      <c r="H29" s="2">
        <f>IFERROR(__xludf.DUMMYFUNCTION("""COMPUTED_VALUE"""),453.97)</f>
        <v>453.97</v>
      </c>
    </row>
    <row r="30">
      <c r="A30" s="3">
        <f>IFERROR(__xludf.DUMMYFUNCTION("""COMPUTED_VALUE"""),42047.66666666667)</f>
        <v>42047.66667</v>
      </c>
      <c r="B30" s="2">
        <f>IFERROR(__xludf.DUMMYFUNCTION("""COMPUTED_VALUE"""),36.22)</f>
        <v>36.22</v>
      </c>
      <c r="D30" s="3">
        <f>IFERROR(__xludf.DUMMYFUNCTION("""COMPUTED_VALUE"""),42047.66666666667)</f>
        <v>42047.66667</v>
      </c>
      <c r="E30" s="2">
        <f>IFERROR(__xludf.DUMMYFUNCTION("""COMPUTED_VALUE"""),5.58)</f>
        <v>5.58</v>
      </c>
      <c r="G30" s="3">
        <f>IFERROR(__xludf.DUMMYFUNCTION("""COMPUTED_VALUE"""),42355.99861111111)</f>
        <v>42355.99861</v>
      </c>
      <c r="H30" s="2">
        <f>IFERROR(__xludf.DUMMYFUNCTION("""COMPUTED_VALUE"""),455.5)</f>
        <v>455.5</v>
      </c>
    </row>
    <row r="31">
      <c r="A31" s="3">
        <f>IFERROR(__xludf.DUMMYFUNCTION("""COMPUTED_VALUE"""),42048.66666666667)</f>
        <v>42048.66667</v>
      </c>
      <c r="B31" s="2">
        <f>IFERROR(__xludf.DUMMYFUNCTION("""COMPUTED_VALUE"""),36.49)</f>
        <v>36.49</v>
      </c>
      <c r="D31" s="3">
        <f>IFERROR(__xludf.DUMMYFUNCTION("""COMPUTED_VALUE"""),42048.66666666667)</f>
        <v>42048.66667</v>
      </c>
      <c r="E31" s="2">
        <f>IFERROR(__xludf.DUMMYFUNCTION("""COMPUTED_VALUE"""),5.58)</f>
        <v>5.58</v>
      </c>
      <c r="G31" s="3">
        <f>IFERROR(__xludf.DUMMYFUNCTION("""COMPUTED_VALUE"""),42356.99861111111)</f>
        <v>42356.99861</v>
      </c>
      <c r="H31" s="2">
        <f>IFERROR(__xludf.DUMMYFUNCTION("""COMPUTED_VALUE"""),463.17)</f>
        <v>463.17</v>
      </c>
    </row>
    <row r="32">
      <c r="A32" s="3">
        <f>IFERROR(__xludf.DUMMYFUNCTION("""COMPUTED_VALUE"""),42052.66666666667)</f>
        <v>42052.66667</v>
      </c>
      <c r="B32" s="2">
        <f>IFERROR(__xludf.DUMMYFUNCTION("""COMPUTED_VALUE"""),36.52)</f>
        <v>36.52</v>
      </c>
      <c r="D32" s="3">
        <f>IFERROR(__xludf.DUMMYFUNCTION("""COMPUTED_VALUE"""),42052.66666666667)</f>
        <v>42052.66667</v>
      </c>
      <c r="E32" s="2">
        <f>IFERROR(__xludf.DUMMYFUNCTION("""COMPUTED_VALUE"""),5.59)</f>
        <v>5.59</v>
      </c>
      <c r="G32" s="3">
        <f>IFERROR(__xludf.DUMMYFUNCTION("""COMPUTED_VALUE"""),42357.99861111111)</f>
        <v>42357.99861</v>
      </c>
      <c r="H32" s="2">
        <f>IFERROR(__xludf.DUMMYFUNCTION("""COMPUTED_VALUE"""),461.29)</f>
        <v>461.29</v>
      </c>
    </row>
    <row r="33">
      <c r="A33" s="3">
        <f>IFERROR(__xludf.DUMMYFUNCTION("""COMPUTED_VALUE"""),42053.66666666667)</f>
        <v>42053.66667</v>
      </c>
      <c r="B33" s="2">
        <f>IFERROR(__xludf.DUMMYFUNCTION("""COMPUTED_VALUE"""),36.5)</f>
        <v>36.5</v>
      </c>
      <c r="D33" s="3">
        <f>IFERROR(__xludf.DUMMYFUNCTION("""COMPUTED_VALUE"""),42053.66666666667)</f>
        <v>42053.66667</v>
      </c>
      <c r="E33" s="2">
        <f>IFERROR(__xludf.DUMMYFUNCTION("""COMPUTED_VALUE"""),5.53)</f>
        <v>5.53</v>
      </c>
      <c r="G33" s="3">
        <f>IFERROR(__xludf.DUMMYFUNCTION("""COMPUTED_VALUE"""),42358.99861111111)</f>
        <v>42358.99861</v>
      </c>
      <c r="H33" s="2">
        <f>IFERROR(__xludf.DUMMYFUNCTION("""COMPUTED_VALUE"""),442.22)</f>
        <v>442.22</v>
      </c>
    </row>
    <row r="34">
      <c r="A34" s="3">
        <f>IFERROR(__xludf.DUMMYFUNCTION("""COMPUTED_VALUE"""),42054.66666666667)</f>
        <v>42054.66667</v>
      </c>
      <c r="B34" s="2">
        <f>IFERROR(__xludf.DUMMYFUNCTION("""COMPUTED_VALUE"""),37.31)</f>
        <v>37.31</v>
      </c>
      <c r="D34" s="3">
        <f>IFERROR(__xludf.DUMMYFUNCTION("""COMPUTED_VALUE"""),42054.66666666667)</f>
        <v>42054.66667</v>
      </c>
      <c r="E34" s="2">
        <f>IFERROR(__xludf.DUMMYFUNCTION("""COMPUTED_VALUE"""),5.54)</f>
        <v>5.54</v>
      </c>
      <c r="G34" s="3">
        <f>IFERROR(__xludf.DUMMYFUNCTION("""COMPUTED_VALUE"""),42359.99861111111)</f>
        <v>42359.99861</v>
      </c>
      <c r="H34" s="2">
        <f>IFERROR(__xludf.DUMMYFUNCTION("""COMPUTED_VALUE"""),436.81)</f>
        <v>436.81</v>
      </c>
    </row>
    <row r="35">
      <c r="A35" s="3">
        <f>IFERROR(__xludf.DUMMYFUNCTION("""COMPUTED_VALUE"""),42055.66666666667)</f>
        <v>42055.66667</v>
      </c>
      <c r="B35" s="2">
        <f>IFERROR(__xludf.DUMMYFUNCTION("""COMPUTED_VALUE"""),37.3)</f>
        <v>37.3</v>
      </c>
      <c r="D35" s="3">
        <f>IFERROR(__xludf.DUMMYFUNCTION("""COMPUTED_VALUE"""),42055.66666666667)</f>
        <v>42055.66667</v>
      </c>
      <c r="E35" s="2">
        <f>IFERROR(__xludf.DUMMYFUNCTION("""COMPUTED_VALUE"""),5.58)</f>
        <v>5.58</v>
      </c>
      <c r="G35" s="3">
        <f>IFERROR(__xludf.DUMMYFUNCTION("""COMPUTED_VALUE"""),42360.99861111111)</f>
        <v>42360.99861</v>
      </c>
      <c r="H35" s="2">
        <f>IFERROR(__xludf.DUMMYFUNCTION("""COMPUTED_VALUE"""),433.92)</f>
        <v>433.92</v>
      </c>
    </row>
    <row r="36">
      <c r="A36" s="3">
        <f>IFERROR(__xludf.DUMMYFUNCTION("""COMPUTED_VALUE"""),42058.66666666667)</f>
        <v>42058.66667</v>
      </c>
      <c r="B36" s="2">
        <f>IFERROR(__xludf.DUMMYFUNCTION("""COMPUTED_VALUE"""),36.69)</f>
        <v>36.69</v>
      </c>
      <c r="D36" s="3">
        <f>IFERROR(__xludf.DUMMYFUNCTION("""COMPUTED_VALUE"""),42058.66666666667)</f>
        <v>42058.66667</v>
      </c>
      <c r="E36" s="2">
        <f>IFERROR(__xludf.DUMMYFUNCTION("""COMPUTED_VALUE"""),5.54)</f>
        <v>5.54</v>
      </c>
      <c r="G36" s="3">
        <f>IFERROR(__xludf.DUMMYFUNCTION("""COMPUTED_VALUE"""),42361.99861111111)</f>
        <v>42361.99861</v>
      </c>
      <c r="H36" s="2">
        <f>IFERROR(__xludf.DUMMYFUNCTION("""COMPUTED_VALUE"""),442.43)</f>
        <v>442.43</v>
      </c>
    </row>
    <row r="37">
      <c r="A37" s="3">
        <f>IFERROR(__xludf.DUMMYFUNCTION("""COMPUTED_VALUE"""),42059.66666666667)</f>
        <v>42059.66667</v>
      </c>
      <c r="B37" s="2">
        <f>IFERROR(__xludf.DUMMYFUNCTION("""COMPUTED_VALUE"""),37.59)</f>
        <v>37.59</v>
      </c>
      <c r="D37" s="3">
        <f>IFERROR(__xludf.DUMMYFUNCTION("""COMPUTED_VALUE"""),42059.66666666667)</f>
        <v>42059.66667</v>
      </c>
      <c r="E37" s="2">
        <f>IFERROR(__xludf.DUMMYFUNCTION("""COMPUTED_VALUE"""),5.58)</f>
        <v>5.58</v>
      </c>
      <c r="G37" s="3">
        <f>IFERROR(__xludf.DUMMYFUNCTION("""COMPUTED_VALUE"""),42362.99861111111)</f>
        <v>42362.99861</v>
      </c>
      <c r="H37" s="2">
        <f>IFERROR(__xludf.DUMMYFUNCTION("""COMPUTED_VALUE"""),455.74)</f>
        <v>455.74</v>
      </c>
    </row>
    <row r="38">
      <c r="A38" s="3">
        <f>IFERROR(__xludf.DUMMYFUNCTION("""COMPUTED_VALUE"""),42060.66666666667)</f>
        <v>42060.66667</v>
      </c>
      <c r="B38" s="2">
        <f>IFERROR(__xludf.DUMMYFUNCTION("""COMPUTED_VALUE"""),37.3)</f>
        <v>37.3</v>
      </c>
      <c r="D38" s="3">
        <f>IFERROR(__xludf.DUMMYFUNCTION("""COMPUTED_VALUE"""),42060.66666666667)</f>
        <v>42060.66667</v>
      </c>
      <c r="E38" s="2">
        <f>IFERROR(__xludf.DUMMYFUNCTION("""COMPUTED_VALUE"""),5.54)</f>
        <v>5.54</v>
      </c>
      <c r="G38" s="3">
        <f>IFERROR(__xludf.DUMMYFUNCTION("""COMPUTED_VALUE"""),42363.99861111111)</f>
        <v>42363.99861</v>
      </c>
      <c r="H38" s="2">
        <f>IFERROR(__xludf.DUMMYFUNCTION("""COMPUTED_VALUE"""),455.84)</f>
        <v>455.84</v>
      </c>
    </row>
    <row r="39">
      <c r="A39" s="3">
        <f>IFERROR(__xludf.DUMMYFUNCTION("""COMPUTED_VALUE"""),42061.66666666667)</f>
        <v>42061.66667</v>
      </c>
      <c r="B39" s="2">
        <f>IFERROR(__xludf.DUMMYFUNCTION("""COMPUTED_VALUE"""),37.44)</f>
        <v>37.44</v>
      </c>
      <c r="D39" s="3">
        <f>IFERROR(__xludf.DUMMYFUNCTION("""COMPUTED_VALUE"""),42061.66666666667)</f>
        <v>42061.66667</v>
      </c>
      <c r="E39" s="2">
        <f>IFERROR(__xludf.DUMMYFUNCTION("""COMPUTED_VALUE"""),5.55)</f>
        <v>5.55</v>
      </c>
      <c r="G39" s="3">
        <f>IFERROR(__xludf.DUMMYFUNCTION("""COMPUTED_VALUE"""),42364.99861111111)</f>
        <v>42364.99861</v>
      </c>
      <c r="H39" s="2">
        <f>IFERROR(__xludf.DUMMYFUNCTION("""COMPUTED_VALUE"""),419.41)</f>
        <v>419.41</v>
      </c>
    </row>
    <row r="40">
      <c r="A40" s="3">
        <f>IFERROR(__xludf.DUMMYFUNCTION("""COMPUTED_VALUE"""),42062.66666666667)</f>
        <v>42062.66667</v>
      </c>
      <c r="B40" s="2">
        <f>IFERROR(__xludf.DUMMYFUNCTION("""COMPUTED_VALUE"""),37.54)</f>
        <v>37.54</v>
      </c>
      <c r="D40" s="3">
        <f>IFERROR(__xludf.DUMMYFUNCTION("""COMPUTED_VALUE"""),42062.66666666667)</f>
        <v>42062.66667</v>
      </c>
      <c r="E40" s="2">
        <f>IFERROR(__xludf.DUMMYFUNCTION("""COMPUTED_VALUE"""),5.52)</f>
        <v>5.52</v>
      </c>
      <c r="G40" s="3">
        <f>IFERROR(__xludf.DUMMYFUNCTION("""COMPUTED_VALUE"""),42365.99861111111)</f>
        <v>42365.99861</v>
      </c>
      <c r="H40" s="2">
        <f>IFERROR(__xludf.DUMMYFUNCTION("""COMPUTED_VALUE"""),424.72)</f>
        <v>424.72</v>
      </c>
    </row>
    <row r="41">
      <c r="A41" s="3">
        <f>IFERROR(__xludf.DUMMYFUNCTION("""COMPUTED_VALUE"""),42065.66666666667)</f>
        <v>42065.66667</v>
      </c>
      <c r="B41" s="2">
        <f>IFERROR(__xludf.DUMMYFUNCTION("""COMPUTED_VALUE"""),37.88)</f>
        <v>37.88</v>
      </c>
      <c r="D41" s="3">
        <f>IFERROR(__xludf.DUMMYFUNCTION("""COMPUTED_VALUE"""),42065.66666666667)</f>
        <v>42065.66667</v>
      </c>
      <c r="E41" s="2">
        <f>IFERROR(__xludf.DUMMYFUNCTION("""COMPUTED_VALUE"""),5.65)</f>
        <v>5.65</v>
      </c>
      <c r="G41" s="3">
        <f>IFERROR(__xludf.DUMMYFUNCTION("""COMPUTED_VALUE"""),42366.99861111111)</f>
        <v>42366.99861</v>
      </c>
      <c r="H41" s="2">
        <f>IFERROR(__xludf.DUMMYFUNCTION("""COMPUTED_VALUE"""),421.94)</f>
        <v>421.94</v>
      </c>
    </row>
    <row r="42">
      <c r="A42" s="3">
        <f>IFERROR(__xludf.DUMMYFUNCTION("""COMPUTED_VALUE"""),42066.66666666667)</f>
        <v>42066.66667</v>
      </c>
      <c r="B42" s="2">
        <f>IFERROR(__xludf.DUMMYFUNCTION("""COMPUTED_VALUE"""),37.53)</f>
        <v>37.53</v>
      </c>
      <c r="D42" s="3">
        <f>IFERROR(__xludf.DUMMYFUNCTION("""COMPUTED_VALUE"""),42066.66666666667)</f>
        <v>42066.66667</v>
      </c>
      <c r="E42" s="2">
        <f>IFERROR(__xludf.DUMMYFUNCTION("""COMPUTED_VALUE"""),5.55)</f>
        <v>5.55</v>
      </c>
      <c r="G42" s="3">
        <f>IFERROR(__xludf.DUMMYFUNCTION("""COMPUTED_VALUE"""),42367.99861111111)</f>
        <v>42367.99861</v>
      </c>
      <c r="H42" s="2">
        <f>IFERROR(__xludf.DUMMYFUNCTION("""COMPUTED_VALUE"""),433.89)</f>
        <v>433.89</v>
      </c>
    </row>
    <row r="43">
      <c r="A43" s="3">
        <f>IFERROR(__xludf.DUMMYFUNCTION("""COMPUTED_VALUE"""),42067.66666666667)</f>
        <v>42067.66667</v>
      </c>
      <c r="B43" s="2">
        <f>IFERROR(__xludf.DUMMYFUNCTION("""COMPUTED_VALUE"""),37.68)</f>
        <v>37.68</v>
      </c>
      <c r="D43" s="3">
        <f>IFERROR(__xludf.DUMMYFUNCTION("""COMPUTED_VALUE"""),42067.66666666667)</f>
        <v>42067.66667</v>
      </c>
      <c r="E43" s="2">
        <f>IFERROR(__xludf.DUMMYFUNCTION("""COMPUTED_VALUE"""),5.61)</f>
        <v>5.61</v>
      </c>
      <c r="G43" s="3">
        <f>IFERROR(__xludf.DUMMYFUNCTION("""COMPUTED_VALUE"""),42368.99861111111)</f>
        <v>42368.99861</v>
      </c>
      <c r="H43" s="2">
        <f>IFERROR(__xludf.DUMMYFUNCTION("""COMPUTED_VALUE"""),427.95)</f>
        <v>427.95</v>
      </c>
    </row>
    <row r="44">
      <c r="A44" s="3">
        <f>IFERROR(__xludf.DUMMYFUNCTION("""COMPUTED_VALUE"""),42068.66666666667)</f>
        <v>42068.66667</v>
      </c>
      <c r="B44" s="2">
        <f>IFERROR(__xludf.DUMMYFUNCTION("""COMPUTED_VALUE"""),37.34)</f>
        <v>37.34</v>
      </c>
      <c r="D44" s="3">
        <f>IFERROR(__xludf.DUMMYFUNCTION("""COMPUTED_VALUE"""),42068.66666666667)</f>
        <v>42068.66667</v>
      </c>
      <c r="E44" s="2">
        <f>IFERROR(__xludf.DUMMYFUNCTION("""COMPUTED_VALUE"""),5.72)</f>
        <v>5.72</v>
      </c>
      <c r="G44" s="3">
        <f>IFERROR(__xludf.DUMMYFUNCTION("""COMPUTED_VALUE"""),42369.99861111111)</f>
        <v>42369.99861</v>
      </c>
      <c r="H44" s="2">
        <f>IFERROR(__xludf.DUMMYFUNCTION("""COMPUTED_VALUE"""),430.35)</f>
        <v>430.35</v>
      </c>
    </row>
    <row r="45">
      <c r="A45" s="3">
        <f>IFERROR(__xludf.DUMMYFUNCTION("""COMPUTED_VALUE"""),42069.66666666667)</f>
        <v>42069.66667</v>
      </c>
      <c r="B45" s="2">
        <f>IFERROR(__xludf.DUMMYFUNCTION("""COMPUTED_VALUE"""),37.13)</f>
        <v>37.13</v>
      </c>
      <c r="D45" s="3">
        <f>IFERROR(__xludf.DUMMYFUNCTION("""COMPUTED_VALUE"""),42069.66666666667)</f>
        <v>42069.66667</v>
      </c>
      <c r="E45" s="2">
        <f>IFERROR(__xludf.DUMMYFUNCTION("""COMPUTED_VALUE"""),5.64)</f>
        <v>5.64</v>
      </c>
      <c r="G45" s="3">
        <f>IFERROR(__xludf.DUMMYFUNCTION("""COMPUTED_VALUE"""),42370.99861111111)</f>
        <v>42370.99861</v>
      </c>
      <c r="H45" s="2">
        <f>IFERROR(__xludf.DUMMYFUNCTION("""COMPUTED_VALUE"""),435.66)</f>
        <v>435.66</v>
      </c>
    </row>
    <row r="46">
      <c r="A46" s="3">
        <f>IFERROR(__xludf.DUMMYFUNCTION("""COMPUTED_VALUE"""),42072.66666666667)</f>
        <v>42072.66667</v>
      </c>
      <c r="B46" s="2">
        <f>IFERROR(__xludf.DUMMYFUNCTION("""COMPUTED_VALUE"""),37.39)</f>
        <v>37.39</v>
      </c>
      <c r="D46" s="3">
        <f>IFERROR(__xludf.DUMMYFUNCTION("""COMPUTED_VALUE"""),42072.66666666667)</f>
        <v>42072.66667</v>
      </c>
      <c r="E46" s="2">
        <f>IFERROR(__xludf.DUMMYFUNCTION("""COMPUTED_VALUE"""),5.65)</f>
        <v>5.65</v>
      </c>
      <c r="G46" s="3">
        <f>IFERROR(__xludf.DUMMYFUNCTION("""COMPUTED_VALUE"""),42371.99861111111)</f>
        <v>42371.99861</v>
      </c>
      <c r="H46" s="2">
        <f>IFERROR(__xludf.DUMMYFUNCTION("""COMPUTED_VALUE"""),435.4)</f>
        <v>435.4</v>
      </c>
    </row>
    <row r="47">
      <c r="A47" s="3">
        <f>IFERROR(__xludf.DUMMYFUNCTION("""COMPUTED_VALUE"""),42073.66666666667)</f>
        <v>42073.66667</v>
      </c>
      <c r="B47" s="2">
        <f>IFERROR(__xludf.DUMMYFUNCTION("""COMPUTED_VALUE"""),36.77)</f>
        <v>36.77</v>
      </c>
      <c r="D47" s="3">
        <f>IFERROR(__xludf.DUMMYFUNCTION("""COMPUTED_VALUE"""),42073.66666666667)</f>
        <v>42073.66667</v>
      </c>
      <c r="E47" s="2">
        <f>IFERROR(__xludf.DUMMYFUNCTION("""COMPUTED_VALUE"""),5.75)</f>
        <v>5.75</v>
      </c>
      <c r="G47" s="3">
        <f>IFERROR(__xludf.DUMMYFUNCTION("""COMPUTED_VALUE"""),42372.99861111111)</f>
        <v>42372.99861</v>
      </c>
      <c r="H47" s="2">
        <f>IFERROR(__xludf.DUMMYFUNCTION("""COMPUTED_VALUE"""),431.91)</f>
        <v>431.91</v>
      </c>
    </row>
    <row r="48">
      <c r="A48" s="3">
        <f>IFERROR(__xludf.DUMMYFUNCTION("""COMPUTED_VALUE"""),42074.66666666667)</f>
        <v>42074.66667</v>
      </c>
      <c r="B48" s="2">
        <f>IFERROR(__xludf.DUMMYFUNCTION("""COMPUTED_VALUE"""),37.24)</f>
        <v>37.24</v>
      </c>
      <c r="D48" s="3">
        <f>IFERROR(__xludf.DUMMYFUNCTION("""COMPUTED_VALUE"""),42074.66666666667)</f>
        <v>42074.66667</v>
      </c>
      <c r="E48" s="2">
        <f>IFERROR(__xludf.DUMMYFUNCTION("""COMPUTED_VALUE"""),5.72)</f>
        <v>5.72</v>
      </c>
      <c r="G48" s="3">
        <f>IFERROR(__xludf.DUMMYFUNCTION("""COMPUTED_VALUE"""),42373.99861111111)</f>
        <v>42373.99861</v>
      </c>
      <c r="H48" s="2">
        <f>IFERROR(__xludf.DUMMYFUNCTION("""COMPUTED_VALUE"""),433.85)</f>
        <v>433.85</v>
      </c>
    </row>
    <row r="49">
      <c r="A49" s="3">
        <f>IFERROR(__xludf.DUMMYFUNCTION("""COMPUTED_VALUE"""),42075.66666666667)</f>
        <v>42075.66667</v>
      </c>
      <c r="B49" s="2">
        <f>IFERROR(__xludf.DUMMYFUNCTION("""COMPUTED_VALUE"""),37.33)</f>
        <v>37.33</v>
      </c>
      <c r="D49" s="3">
        <f>IFERROR(__xludf.DUMMYFUNCTION("""COMPUTED_VALUE"""),42075.66666666667)</f>
        <v>42075.66667</v>
      </c>
      <c r="E49" s="2">
        <f>IFERROR(__xludf.DUMMYFUNCTION("""COMPUTED_VALUE"""),5.67)</f>
        <v>5.67</v>
      </c>
      <c r="G49" s="3">
        <f>IFERROR(__xludf.DUMMYFUNCTION("""COMPUTED_VALUE"""),42374.99861111111)</f>
        <v>42374.99861</v>
      </c>
      <c r="H49" s="2">
        <f>IFERROR(__xludf.DUMMYFUNCTION("""COMPUTED_VALUE"""),433.34)</f>
        <v>433.34</v>
      </c>
    </row>
    <row r="50">
      <c r="A50" s="3">
        <f>IFERROR(__xludf.DUMMYFUNCTION("""COMPUTED_VALUE"""),42076.66666666667)</f>
        <v>42076.66667</v>
      </c>
      <c r="B50" s="2">
        <f>IFERROR(__xludf.DUMMYFUNCTION("""COMPUTED_VALUE"""),37.25)</f>
        <v>37.25</v>
      </c>
      <c r="D50" s="3">
        <f>IFERROR(__xludf.DUMMYFUNCTION("""COMPUTED_VALUE"""),42076.66666666667)</f>
        <v>42076.66667</v>
      </c>
      <c r="E50" s="2">
        <f>IFERROR(__xludf.DUMMYFUNCTION("""COMPUTED_VALUE"""),5.68)</f>
        <v>5.68</v>
      </c>
      <c r="G50" s="3">
        <f>IFERROR(__xludf.DUMMYFUNCTION("""COMPUTED_VALUE"""),42375.99861111111)</f>
        <v>42375.99861</v>
      </c>
      <c r="H50" s="2">
        <f>IFERROR(__xludf.DUMMYFUNCTION("""COMPUTED_VALUE"""),430.87)</f>
        <v>430.87</v>
      </c>
    </row>
    <row r="51">
      <c r="A51" s="3">
        <f>IFERROR(__xludf.DUMMYFUNCTION("""COMPUTED_VALUE"""),42079.66666666667)</f>
        <v>42079.66667</v>
      </c>
      <c r="B51" s="2">
        <f>IFERROR(__xludf.DUMMYFUNCTION("""COMPUTED_VALUE"""),37.94)</f>
        <v>37.94</v>
      </c>
      <c r="D51" s="3">
        <f>IFERROR(__xludf.DUMMYFUNCTION("""COMPUTED_VALUE"""),42079.66666666667)</f>
        <v>42079.66667</v>
      </c>
      <c r="E51" s="2">
        <f>IFERROR(__xludf.DUMMYFUNCTION("""COMPUTED_VALUE"""),5.74)</f>
        <v>5.74</v>
      </c>
      <c r="G51" s="3">
        <f>IFERROR(__xludf.DUMMYFUNCTION("""COMPUTED_VALUE"""),42376.99861111111)</f>
        <v>42376.99861</v>
      </c>
      <c r="H51" s="2">
        <f>IFERROR(__xludf.DUMMYFUNCTION("""COMPUTED_VALUE"""),459.07)</f>
        <v>459.07</v>
      </c>
    </row>
    <row r="52">
      <c r="A52" s="3">
        <f>IFERROR(__xludf.DUMMYFUNCTION("""COMPUTED_VALUE"""),42080.66666666667)</f>
        <v>42080.66667</v>
      </c>
      <c r="B52" s="2">
        <f>IFERROR(__xludf.DUMMYFUNCTION("""COMPUTED_VALUE"""),38.19)</f>
        <v>38.19</v>
      </c>
      <c r="D52" s="3">
        <f>IFERROR(__xludf.DUMMYFUNCTION("""COMPUTED_VALUE"""),42080.66666666667)</f>
        <v>42080.66667</v>
      </c>
      <c r="E52" s="2">
        <f>IFERROR(__xludf.DUMMYFUNCTION("""COMPUTED_VALUE"""),5.81)</f>
        <v>5.81</v>
      </c>
      <c r="G52" s="3">
        <f>IFERROR(__xludf.DUMMYFUNCTION("""COMPUTED_VALUE"""),42377.99861111111)</f>
        <v>42377.99861</v>
      </c>
      <c r="H52" s="2">
        <f>IFERROR(__xludf.DUMMYFUNCTION("""COMPUTED_VALUE"""),454.44)</f>
        <v>454.44</v>
      </c>
    </row>
    <row r="53">
      <c r="A53" s="3">
        <f>IFERROR(__xludf.DUMMYFUNCTION("""COMPUTED_VALUE"""),42081.66666666667)</f>
        <v>42081.66667</v>
      </c>
      <c r="B53" s="2">
        <f>IFERROR(__xludf.DUMMYFUNCTION("""COMPUTED_VALUE"""),38.72)</f>
        <v>38.72</v>
      </c>
      <c r="D53" s="3">
        <f>IFERROR(__xludf.DUMMYFUNCTION("""COMPUTED_VALUE"""),42081.66666666667)</f>
        <v>42081.66667</v>
      </c>
      <c r="E53" s="2">
        <f>IFERROR(__xludf.DUMMYFUNCTION("""COMPUTED_VALUE"""),5.72)</f>
        <v>5.72</v>
      </c>
      <c r="G53" s="3">
        <f>IFERROR(__xludf.DUMMYFUNCTION("""COMPUTED_VALUE"""),42378.99861111111)</f>
        <v>42378.99861</v>
      </c>
      <c r="H53" s="2">
        <f>IFERROR(__xludf.DUMMYFUNCTION("""COMPUTED_VALUE"""),450.38)</f>
        <v>450.38</v>
      </c>
    </row>
    <row r="54">
      <c r="A54" s="3">
        <f>IFERROR(__xludf.DUMMYFUNCTION("""COMPUTED_VALUE"""),42082.66666666667)</f>
        <v>42082.66667</v>
      </c>
      <c r="B54" s="2">
        <f>IFERROR(__xludf.DUMMYFUNCTION("""COMPUTED_VALUE"""),38.72)</f>
        <v>38.72</v>
      </c>
      <c r="D54" s="3">
        <f>IFERROR(__xludf.DUMMYFUNCTION("""COMPUTED_VALUE"""),42082.66666666667)</f>
        <v>42082.66667</v>
      </c>
      <c r="E54" s="2">
        <f>IFERROR(__xludf.DUMMYFUNCTION("""COMPUTED_VALUE"""),5.8)</f>
        <v>5.8</v>
      </c>
      <c r="G54" s="3">
        <f>IFERROR(__xludf.DUMMYFUNCTION("""COMPUTED_VALUE"""),42379.99861111111)</f>
        <v>42379.99861</v>
      </c>
      <c r="H54" s="2">
        <f>IFERROR(__xludf.DUMMYFUNCTION("""COMPUTED_VALUE"""),449.99)</f>
        <v>449.99</v>
      </c>
    </row>
    <row r="55">
      <c r="A55" s="3">
        <f>IFERROR(__xludf.DUMMYFUNCTION("""COMPUTED_VALUE"""),42083.66666666667)</f>
        <v>42083.66667</v>
      </c>
      <c r="B55" s="2">
        <f>IFERROR(__xludf.DUMMYFUNCTION("""COMPUTED_VALUE"""),38.74)</f>
        <v>38.74</v>
      </c>
      <c r="D55" s="3">
        <f>IFERROR(__xludf.DUMMYFUNCTION("""COMPUTED_VALUE"""),42083.66666666667)</f>
        <v>42083.66667</v>
      </c>
      <c r="E55" s="2">
        <f>IFERROR(__xludf.DUMMYFUNCTION("""COMPUTED_VALUE"""),5.87)</f>
        <v>5.87</v>
      </c>
      <c r="G55" s="3">
        <f>IFERROR(__xludf.DUMMYFUNCTION("""COMPUTED_VALUE"""),42380.99861111111)</f>
        <v>42380.99861</v>
      </c>
      <c r="H55" s="2">
        <f>IFERROR(__xludf.DUMMYFUNCTION("""COMPUTED_VALUE"""),449.19)</f>
        <v>449.19</v>
      </c>
    </row>
    <row r="56">
      <c r="A56" s="3">
        <f>IFERROR(__xludf.DUMMYFUNCTION("""COMPUTED_VALUE"""),42086.66666666667)</f>
        <v>42086.66667</v>
      </c>
      <c r="B56" s="2">
        <f>IFERROR(__xludf.DUMMYFUNCTION("""COMPUTED_VALUE"""),38.89)</f>
        <v>38.89</v>
      </c>
      <c r="D56" s="3">
        <f>IFERROR(__xludf.DUMMYFUNCTION("""COMPUTED_VALUE"""),42086.66666666667)</f>
        <v>42086.66667</v>
      </c>
      <c r="E56" s="2">
        <f>IFERROR(__xludf.DUMMYFUNCTION("""COMPUTED_VALUE"""),5.68)</f>
        <v>5.68</v>
      </c>
      <c r="G56" s="3">
        <f>IFERROR(__xludf.DUMMYFUNCTION("""COMPUTED_VALUE"""),42381.99861111111)</f>
        <v>42381.99861</v>
      </c>
      <c r="H56" s="2">
        <f>IFERROR(__xludf.DUMMYFUNCTION("""COMPUTED_VALUE"""),434.01)</f>
        <v>434.01</v>
      </c>
    </row>
    <row r="57">
      <c r="A57" s="3">
        <f>IFERROR(__xludf.DUMMYFUNCTION("""COMPUTED_VALUE"""),42087.66666666667)</f>
        <v>42087.66667</v>
      </c>
      <c r="B57" s="2">
        <f>IFERROR(__xludf.DUMMYFUNCTION("""COMPUTED_VALUE"""),38.68)</f>
        <v>38.68</v>
      </c>
      <c r="D57" s="3">
        <f>IFERROR(__xludf.DUMMYFUNCTION("""COMPUTED_VALUE"""),42087.66666666667)</f>
        <v>42087.66667</v>
      </c>
      <c r="E57" s="2">
        <f>IFERROR(__xludf.DUMMYFUNCTION("""COMPUTED_VALUE"""),5.6)</f>
        <v>5.6</v>
      </c>
      <c r="G57" s="3">
        <f>IFERROR(__xludf.DUMMYFUNCTION("""COMPUTED_VALUE"""),42382.99861111111)</f>
        <v>42382.99861</v>
      </c>
      <c r="H57" s="2">
        <f>IFERROR(__xludf.DUMMYFUNCTION("""COMPUTED_VALUE"""),432.77)</f>
        <v>432.77</v>
      </c>
    </row>
    <row r="58">
      <c r="A58" s="3">
        <f>IFERROR(__xludf.DUMMYFUNCTION("""COMPUTED_VALUE"""),42088.66666666667)</f>
        <v>42088.66667</v>
      </c>
      <c r="B58" s="2">
        <f>IFERROR(__xludf.DUMMYFUNCTION("""COMPUTED_VALUE"""),37.26)</f>
        <v>37.26</v>
      </c>
      <c r="D58" s="3">
        <f>IFERROR(__xludf.DUMMYFUNCTION("""COMPUTED_VALUE"""),42088.66666666667)</f>
        <v>42088.66667</v>
      </c>
      <c r="E58" s="2">
        <f>IFERROR(__xludf.DUMMYFUNCTION("""COMPUTED_VALUE"""),5.26)</f>
        <v>5.26</v>
      </c>
      <c r="G58" s="3">
        <f>IFERROR(__xludf.DUMMYFUNCTION("""COMPUTED_VALUE"""),42383.99861111111)</f>
        <v>42383.99861</v>
      </c>
      <c r="H58" s="2">
        <f>IFERROR(__xludf.DUMMYFUNCTION("""COMPUTED_VALUE"""),430.03)</f>
        <v>430.03</v>
      </c>
    </row>
    <row r="59">
      <c r="A59" s="3">
        <f>IFERROR(__xludf.DUMMYFUNCTION("""COMPUTED_VALUE"""),42089.66666666667)</f>
        <v>42089.66667</v>
      </c>
      <c r="B59" s="2">
        <f>IFERROR(__xludf.DUMMYFUNCTION("""COMPUTED_VALUE"""),36.72)</f>
        <v>36.72</v>
      </c>
      <c r="D59" s="3">
        <f>IFERROR(__xludf.DUMMYFUNCTION("""COMPUTED_VALUE"""),42089.66666666667)</f>
        <v>42089.66667</v>
      </c>
      <c r="E59" s="2">
        <f>IFERROR(__xludf.DUMMYFUNCTION("""COMPUTED_VALUE"""),5.24)</f>
        <v>5.24</v>
      </c>
      <c r="G59" s="3">
        <f>IFERROR(__xludf.DUMMYFUNCTION("""COMPUTED_VALUE"""),42384.99861111111)</f>
        <v>42384.99861</v>
      </c>
      <c r="H59" s="2">
        <f>IFERROR(__xludf.DUMMYFUNCTION("""COMPUTED_VALUE"""),357.53)</f>
        <v>357.53</v>
      </c>
    </row>
    <row r="60">
      <c r="A60" s="3">
        <f>IFERROR(__xludf.DUMMYFUNCTION("""COMPUTED_VALUE"""),42090.66666666667)</f>
        <v>42090.66667</v>
      </c>
      <c r="B60" s="2">
        <f>IFERROR(__xludf.DUMMYFUNCTION("""COMPUTED_VALUE"""),36.27)</f>
        <v>36.27</v>
      </c>
      <c r="D60" s="3">
        <f>IFERROR(__xludf.DUMMYFUNCTION("""COMPUTED_VALUE"""),42090.66666666667)</f>
        <v>42090.66667</v>
      </c>
      <c r="E60" s="2">
        <f>IFERROR(__xludf.DUMMYFUNCTION("""COMPUTED_VALUE"""),5.35)</f>
        <v>5.35</v>
      </c>
      <c r="G60" s="3">
        <f>IFERROR(__xludf.DUMMYFUNCTION("""COMPUTED_VALUE"""),42385.99861111111)</f>
        <v>42385.99861</v>
      </c>
      <c r="H60" s="2">
        <f>IFERROR(__xludf.DUMMYFUNCTION("""COMPUTED_VALUE"""),388.7)</f>
        <v>388.7</v>
      </c>
    </row>
    <row r="61">
      <c r="A61" s="3">
        <f>IFERROR(__xludf.DUMMYFUNCTION("""COMPUTED_VALUE"""),42093.66666666667)</f>
        <v>42093.66667</v>
      </c>
      <c r="B61" s="2">
        <f>IFERROR(__xludf.DUMMYFUNCTION("""COMPUTED_VALUE"""),36.12)</f>
        <v>36.12</v>
      </c>
      <c r="D61" s="3">
        <f>IFERROR(__xludf.DUMMYFUNCTION("""COMPUTED_VALUE"""),42093.66666666667)</f>
        <v>42093.66667</v>
      </c>
      <c r="E61" s="2">
        <f>IFERROR(__xludf.DUMMYFUNCTION("""COMPUTED_VALUE"""),5.37)</f>
        <v>5.37</v>
      </c>
      <c r="G61" s="3">
        <f>IFERROR(__xludf.DUMMYFUNCTION("""COMPUTED_VALUE"""),42386.99861111111)</f>
        <v>42386.99861</v>
      </c>
      <c r="H61" s="2">
        <f>IFERROR(__xludf.DUMMYFUNCTION("""COMPUTED_VALUE"""),378.46)</f>
        <v>378.46</v>
      </c>
    </row>
    <row r="62">
      <c r="A62" s="3">
        <f>IFERROR(__xludf.DUMMYFUNCTION("""COMPUTED_VALUE"""),42094.66666666667)</f>
        <v>42094.66667</v>
      </c>
      <c r="B62" s="2">
        <f>IFERROR(__xludf.DUMMYFUNCTION("""COMPUTED_VALUE"""),37.15)</f>
        <v>37.15</v>
      </c>
      <c r="D62" s="3">
        <f>IFERROR(__xludf.DUMMYFUNCTION("""COMPUTED_VALUE"""),42094.66666666667)</f>
        <v>42094.66667</v>
      </c>
      <c r="E62" s="2">
        <f>IFERROR(__xludf.DUMMYFUNCTION("""COMPUTED_VALUE"""),5.23)</f>
        <v>5.23</v>
      </c>
      <c r="G62" s="3">
        <f>IFERROR(__xludf.DUMMYFUNCTION("""COMPUTED_VALUE"""),42387.99861111111)</f>
        <v>42387.99861</v>
      </c>
      <c r="H62" s="2">
        <f>IFERROR(__xludf.DUMMYFUNCTION("""COMPUTED_VALUE"""),384.89)</f>
        <v>384.89</v>
      </c>
    </row>
    <row r="63">
      <c r="A63" s="3">
        <f>IFERROR(__xludf.DUMMYFUNCTION("""COMPUTED_VALUE"""),42095.66666666667)</f>
        <v>42095.66667</v>
      </c>
      <c r="B63" s="2">
        <f>IFERROR(__xludf.DUMMYFUNCTION("""COMPUTED_VALUE"""),36.61)</f>
        <v>36.61</v>
      </c>
      <c r="D63" s="3">
        <f>IFERROR(__xludf.DUMMYFUNCTION("""COMPUTED_VALUE"""),42095.66666666667)</f>
        <v>42095.66667</v>
      </c>
      <c r="E63" s="2">
        <f>IFERROR(__xludf.DUMMYFUNCTION("""COMPUTED_VALUE"""),5.25)</f>
        <v>5.25</v>
      </c>
      <c r="G63" s="3">
        <f>IFERROR(__xludf.DUMMYFUNCTION("""COMPUTED_VALUE"""),42388.99861111111)</f>
        <v>42388.99861</v>
      </c>
      <c r="H63" s="2">
        <f>IFERROR(__xludf.DUMMYFUNCTION("""COMPUTED_VALUE"""),375.27)</f>
        <v>375.27</v>
      </c>
    </row>
    <row r="64">
      <c r="A64" s="3">
        <f>IFERROR(__xludf.DUMMYFUNCTION("""COMPUTED_VALUE"""),42096.66666666667)</f>
        <v>42096.66667</v>
      </c>
      <c r="B64" s="2">
        <f>IFERROR(__xludf.DUMMYFUNCTION("""COMPUTED_VALUE"""),36.79)</f>
        <v>36.79</v>
      </c>
      <c r="D64" s="3">
        <f>IFERROR(__xludf.DUMMYFUNCTION("""COMPUTED_VALUE"""),42096.66666666667)</f>
        <v>42096.66667</v>
      </c>
      <c r="E64" s="2">
        <f>IFERROR(__xludf.DUMMYFUNCTION("""COMPUTED_VALUE"""),5.27)</f>
        <v>5.27</v>
      </c>
      <c r="G64" s="3">
        <f>IFERROR(__xludf.DUMMYFUNCTION("""COMPUTED_VALUE"""),42389.99861111111)</f>
        <v>42389.99861</v>
      </c>
      <c r="H64" s="2">
        <f>IFERROR(__xludf.DUMMYFUNCTION("""COMPUTED_VALUE"""),418.54)</f>
        <v>418.54</v>
      </c>
    </row>
    <row r="65">
      <c r="A65" s="3">
        <f>IFERROR(__xludf.DUMMYFUNCTION("""COMPUTED_VALUE"""),42100.66666666667)</f>
        <v>42100.66667</v>
      </c>
      <c r="B65" s="2">
        <f>IFERROR(__xludf.DUMMYFUNCTION("""COMPUTED_VALUE"""),36.73)</f>
        <v>36.73</v>
      </c>
      <c r="D65" s="3">
        <f>IFERROR(__xludf.DUMMYFUNCTION("""COMPUTED_VALUE"""),42100.66666666667)</f>
        <v>42100.66667</v>
      </c>
      <c r="E65" s="2">
        <f>IFERROR(__xludf.DUMMYFUNCTION("""COMPUTED_VALUE"""),5.42)</f>
        <v>5.42</v>
      </c>
      <c r="G65" s="3">
        <f>IFERROR(__xludf.DUMMYFUNCTION("""COMPUTED_VALUE"""),42390.99861111111)</f>
        <v>42390.99861</v>
      </c>
      <c r="H65" s="2">
        <f>IFERROR(__xludf.DUMMYFUNCTION("""COMPUTED_VALUE"""),409.38)</f>
        <v>409.38</v>
      </c>
    </row>
    <row r="66">
      <c r="A66" s="3">
        <f>IFERROR(__xludf.DUMMYFUNCTION("""COMPUTED_VALUE"""),42101.66666666667)</f>
        <v>42101.66667</v>
      </c>
      <c r="B66" s="2">
        <f>IFERROR(__xludf.DUMMYFUNCTION("""COMPUTED_VALUE"""),36.38)</f>
        <v>36.38</v>
      </c>
      <c r="D66" s="3">
        <f>IFERROR(__xludf.DUMMYFUNCTION("""COMPUTED_VALUE"""),42101.66666666667)</f>
        <v>42101.66667</v>
      </c>
      <c r="E66" s="2">
        <f>IFERROR(__xludf.DUMMYFUNCTION("""COMPUTED_VALUE"""),5.47)</f>
        <v>5.47</v>
      </c>
      <c r="G66" s="3">
        <f>IFERROR(__xludf.DUMMYFUNCTION("""COMPUTED_VALUE"""),42391.99861111111)</f>
        <v>42391.99861</v>
      </c>
      <c r="H66" s="2">
        <f>IFERROR(__xludf.DUMMYFUNCTION("""COMPUTED_VALUE"""),382.9)</f>
        <v>382.9</v>
      </c>
    </row>
    <row r="67">
      <c r="A67" s="3">
        <f>IFERROR(__xludf.DUMMYFUNCTION("""COMPUTED_VALUE"""),42102.66666666667)</f>
        <v>42102.66667</v>
      </c>
      <c r="B67" s="2">
        <f>IFERROR(__xludf.DUMMYFUNCTION("""COMPUTED_VALUE"""),36.49)</f>
        <v>36.49</v>
      </c>
      <c r="D67" s="3">
        <f>IFERROR(__xludf.DUMMYFUNCTION("""COMPUTED_VALUE"""),42102.66666666667)</f>
        <v>42102.66667</v>
      </c>
      <c r="E67" s="2">
        <f>IFERROR(__xludf.DUMMYFUNCTION("""COMPUTED_VALUE"""),5.51)</f>
        <v>5.51</v>
      </c>
      <c r="G67" s="3">
        <f>IFERROR(__xludf.DUMMYFUNCTION("""COMPUTED_VALUE"""),42392.99861111111)</f>
        <v>42392.99861</v>
      </c>
      <c r="H67" s="2">
        <f>IFERROR(__xludf.DUMMYFUNCTION("""COMPUTED_VALUE"""),387.5)</f>
        <v>387.5</v>
      </c>
    </row>
    <row r="68">
      <c r="A68" s="3">
        <f>IFERROR(__xludf.DUMMYFUNCTION("""COMPUTED_VALUE"""),42103.66666666667)</f>
        <v>42103.66667</v>
      </c>
      <c r="B68" s="2">
        <f>IFERROR(__xludf.DUMMYFUNCTION("""COMPUTED_VALUE"""),37.18)</f>
        <v>37.18</v>
      </c>
      <c r="D68" s="3">
        <f>IFERROR(__xludf.DUMMYFUNCTION("""COMPUTED_VALUE"""),42103.66666666667)</f>
        <v>42103.66667</v>
      </c>
      <c r="E68" s="2">
        <f>IFERROR(__xludf.DUMMYFUNCTION("""COMPUTED_VALUE"""),5.63)</f>
        <v>5.63</v>
      </c>
      <c r="G68" s="3">
        <f>IFERROR(__xludf.DUMMYFUNCTION("""COMPUTED_VALUE"""),42393.99861111111)</f>
        <v>42393.99861</v>
      </c>
      <c r="H68" s="2">
        <f>IFERROR(__xludf.DUMMYFUNCTION("""COMPUTED_VALUE"""),403.05)</f>
        <v>403.05</v>
      </c>
    </row>
    <row r="69">
      <c r="A69" s="3">
        <f>IFERROR(__xludf.DUMMYFUNCTION("""COMPUTED_VALUE"""),42104.66666666667)</f>
        <v>42104.66667</v>
      </c>
      <c r="B69" s="2">
        <f>IFERROR(__xludf.DUMMYFUNCTION("""COMPUTED_VALUE"""),37.05)</f>
        <v>37.05</v>
      </c>
      <c r="D69" s="3">
        <f>IFERROR(__xludf.DUMMYFUNCTION("""COMPUTED_VALUE"""),42104.66666666667)</f>
        <v>42104.66667</v>
      </c>
      <c r="E69" s="2">
        <f>IFERROR(__xludf.DUMMYFUNCTION("""COMPUTED_VALUE"""),5.69)</f>
        <v>5.69</v>
      </c>
      <c r="G69" s="3">
        <f>IFERROR(__xludf.DUMMYFUNCTION("""COMPUTED_VALUE"""),42394.99861111111)</f>
        <v>42394.99861</v>
      </c>
      <c r="H69" s="2">
        <f>IFERROR(__xludf.DUMMYFUNCTION("""COMPUTED_VALUE"""),391.4)</f>
        <v>391.4</v>
      </c>
    </row>
    <row r="70">
      <c r="A70" s="3">
        <f>IFERROR(__xludf.DUMMYFUNCTION("""COMPUTED_VALUE"""),42107.66666666667)</f>
        <v>42107.66667</v>
      </c>
      <c r="B70" s="2">
        <f>IFERROR(__xludf.DUMMYFUNCTION("""COMPUTED_VALUE"""),36.59)</f>
        <v>36.59</v>
      </c>
      <c r="D70" s="3">
        <f>IFERROR(__xludf.DUMMYFUNCTION("""COMPUTED_VALUE"""),42107.66666666667)</f>
        <v>42107.66667</v>
      </c>
      <c r="E70" s="2">
        <f>IFERROR(__xludf.DUMMYFUNCTION("""COMPUTED_VALUE"""),5.64)</f>
        <v>5.64</v>
      </c>
      <c r="G70" s="3">
        <f>IFERROR(__xludf.DUMMYFUNCTION("""COMPUTED_VALUE"""),42395.99861111111)</f>
        <v>42395.99861</v>
      </c>
      <c r="H70" s="2">
        <f>IFERROR(__xludf.DUMMYFUNCTION("""COMPUTED_VALUE"""),391.54)</f>
        <v>391.54</v>
      </c>
    </row>
    <row r="71">
      <c r="A71" s="3">
        <f>IFERROR(__xludf.DUMMYFUNCTION("""COMPUTED_VALUE"""),42108.66666666667)</f>
        <v>42108.66667</v>
      </c>
      <c r="B71" s="2">
        <f>IFERROR(__xludf.DUMMYFUNCTION("""COMPUTED_VALUE"""),36.15)</f>
        <v>36.15</v>
      </c>
      <c r="D71" s="3">
        <f>IFERROR(__xludf.DUMMYFUNCTION("""COMPUTED_VALUE"""),42108.66666666667)</f>
        <v>42108.66667</v>
      </c>
      <c r="E71" s="2">
        <f>IFERROR(__xludf.DUMMYFUNCTION("""COMPUTED_VALUE"""),5.59)</f>
        <v>5.59</v>
      </c>
      <c r="G71" s="3">
        <f>IFERROR(__xludf.DUMMYFUNCTION("""COMPUTED_VALUE"""),42396.99861111111)</f>
        <v>42396.99861</v>
      </c>
      <c r="H71" s="2">
        <f>IFERROR(__xludf.DUMMYFUNCTION("""COMPUTED_VALUE"""),394.79)</f>
        <v>394.79</v>
      </c>
    </row>
    <row r="72">
      <c r="A72" s="3">
        <f>IFERROR(__xludf.DUMMYFUNCTION("""COMPUTED_VALUE"""),42109.66666666667)</f>
        <v>42109.66667</v>
      </c>
      <c r="B72" s="2">
        <f>IFERROR(__xludf.DUMMYFUNCTION("""COMPUTED_VALUE"""),36.19)</f>
        <v>36.19</v>
      </c>
      <c r="D72" s="3">
        <f>IFERROR(__xludf.DUMMYFUNCTION("""COMPUTED_VALUE"""),42109.66666666667)</f>
        <v>42109.66667</v>
      </c>
      <c r="E72" s="2">
        <f>IFERROR(__xludf.DUMMYFUNCTION("""COMPUTED_VALUE"""),5.66)</f>
        <v>5.66</v>
      </c>
      <c r="G72" s="3">
        <f>IFERROR(__xludf.DUMMYFUNCTION("""COMPUTED_VALUE"""),42397.99861111111)</f>
        <v>42397.99861</v>
      </c>
      <c r="H72" s="2">
        <f>IFERROR(__xludf.DUMMYFUNCTION("""COMPUTED_VALUE"""),379.61)</f>
        <v>379.61</v>
      </c>
    </row>
    <row r="73">
      <c r="A73" s="3">
        <f>IFERROR(__xludf.DUMMYFUNCTION("""COMPUTED_VALUE"""),42110.66666666667)</f>
        <v>42110.66667</v>
      </c>
      <c r="B73" s="2">
        <f>IFERROR(__xludf.DUMMYFUNCTION("""COMPUTED_VALUE"""),36.07)</f>
        <v>36.07</v>
      </c>
      <c r="D73" s="3">
        <f>IFERROR(__xludf.DUMMYFUNCTION("""COMPUTED_VALUE"""),42110.66666666667)</f>
        <v>42110.66667</v>
      </c>
      <c r="E73" s="2">
        <f>IFERROR(__xludf.DUMMYFUNCTION("""COMPUTED_VALUE"""),5.62)</f>
        <v>5.62</v>
      </c>
      <c r="G73" s="3">
        <f>IFERROR(__xludf.DUMMYFUNCTION("""COMPUTED_VALUE"""),42398.99861111111)</f>
        <v>42398.99861</v>
      </c>
      <c r="H73" s="2">
        <f>IFERROR(__xludf.DUMMYFUNCTION("""COMPUTED_VALUE"""),378.68)</f>
        <v>378.68</v>
      </c>
    </row>
    <row r="74">
      <c r="A74" s="3">
        <f>IFERROR(__xludf.DUMMYFUNCTION("""COMPUTED_VALUE"""),42111.66666666667)</f>
        <v>42111.66667</v>
      </c>
      <c r="B74" s="2">
        <f>IFERROR(__xludf.DUMMYFUNCTION("""COMPUTED_VALUE"""),35.36)</f>
        <v>35.36</v>
      </c>
      <c r="D74" s="3">
        <f>IFERROR(__xludf.DUMMYFUNCTION("""COMPUTED_VALUE"""),42111.66666666667)</f>
        <v>42111.66667</v>
      </c>
      <c r="E74" s="2">
        <f>IFERROR(__xludf.DUMMYFUNCTION("""COMPUTED_VALUE"""),5.55)</f>
        <v>5.55</v>
      </c>
      <c r="G74" s="3">
        <f>IFERROR(__xludf.DUMMYFUNCTION("""COMPUTED_VALUE"""),42399.99861111111)</f>
        <v>42399.99861</v>
      </c>
      <c r="H74" s="2">
        <f>IFERROR(__xludf.DUMMYFUNCTION("""COMPUTED_VALUE"""),378.46)</f>
        <v>378.46</v>
      </c>
    </row>
    <row r="75">
      <c r="A75" s="3">
        <f>IFERROR(__xludf.DUMMYFUNCTION("""COMPUTED_VALUE"""),42114.66666666667)</f>
        <v>42114.66667</v>
      </c>
      <c r="B75" s="2">
        <f>IFERROR(__xludf.DUMMYFUNCTION("""COMPUTED_VALUE"""),36.13)</f>
        <v>36.13</v>
      </c>
      <c r="D75" s="3">
        <f>IFERROR(__xludf.DUMMYFUNCTION("""COMPUTED_VALUE"""),42114.66666666667)</f>
        <v>42114.66667</v>
      </c>
      <c r="E75" s="2">
        <f>IFERROR(__xludf.DUMMYFUNCTION("""COMPUTED_VALUE"""),5.52)</f>
        <v>5.52</v>
      </c>
      <c r="G75" s="3">
        <f>IFERROR(__xludf.DUMMYFUNCTION("""COMPUTED_VALUE"""),42400.99861111111)</f>
        <v>42400.99861</v>
      </c>
      <c r="H75" s="2">
        <f>IFERROR(__xludf.DUMMYFUNCTION("""COMPUTED_VALUE"""),367.95)</f>
        <v>367.95</v>
      </c>
    </row>
    <row r="76">
      <c r="A76" s="3">
        <f>IFERROR(__xludf.DUMMYFUNCTION("""COMPUTED_VALUE"""),42115.66666666667)</f>
        <v>42115.66667</v>
      </c>
      <c r="B76" s="2">
        <f>IFERROR(__xludf.DUMMYFUNCTION("""COMPUTED_VALUE"""),36.21)</f>
        <v>36.21</v>
      </c>
      <c r="D76" s="3">
        <f>IFERROR(__xludf.DUMMYFUNCTION("""COMPUTED_VALUE"""),42115.66666666667)</f>
        <v>42115.66667</v>
      </c>
      <c r="E76" s="2">
        <f>IFERROR(__xludf.DUMMYFUNCTION("""COMPUTED_VALUE"""),5.51)</f>
        <v>5.51</v>
      </c>
      <c r="G76" s="3">
        <f>IFERROR(__xludf.DUMMYFUNCTION("""COMPUTED_VALUE"""),42401.99861111111)</f>
        <v>42401.99861</v>
      </c>
      <c r="H76" s="2">
        <f>IFERROR(__xludf.DUMMYFUNCTION("""COMPUTED_VALUE"""),371.33)</f>
        <v>371.33</v>
      </c>
    </row>
    <row r="77">
      <c r="A77" s="3">
        <f>IFERROR(__xludf.DUMMYFUNCTION("""COMPUTED_VALUE"""),42116.66666666667)</f>
        <v>42116.66667</v>
      </c>
      <c r="B77" s="2">
        <f>IFERROR(__xludf.DUMMYFUNCTION("""COMPUTED_VALUE"""),36.01)</f>
        <v>36.01</v>
      </c>
      <c r="D77" s="3">
        <f>IFERROR(__xludf.DUMMYFUNCTION("""COMPUTED_VALUE"""),42116.66666666667)</f>
        <v>42116.66667</v>
      </c>
      <c r="E77" s="2">
        <f>IFERROR(__xludf.DUMMYFUNCTION("""COMPUTED_VALUE"""),5.58)</f>
        <v>5.58</v>
      </c>
      <c r="G77" s="3">
        <f>IFERROR(__xludf.DUMMYFUNCTION("""COMPUTED_VALUE"""),42402.99861111111)</f>
        <v>42402.99861</v>
      </c>
      <c r="H77" s="2">
        <f>IFERROR(__xludf.DUMMYFUNCTION("""COMPUTED_VALUE"""),372.93)</f>
        <v>372.93</v>
      </c>
    </row>
    <row r="78">
      <c r="A78" s="3">
        <f>IFERROR(__xludf.DUMMYFUNCTION("""COMPUTED_VALUE"""),42117.66666666667)</f>
        <v>42117.66667</v>
      </c>
      <c r="B78" s="2">
        <f>IFERROR(__xludf.DUMMYFUNCTION("""COMPUTED_VALUE"""),35.44)</f>
        <v>35.44</v>
      </c>
      <c r="D78" s="3">
        <f>IFERROR(__xludf.DUMMYFUNCTION("""COMPUTED_VALUE"""),42117.66666666667)</f>
        <v>42117.66667</v>
      </c>
      <c r="E78" s="2">
        <f>IFERROR(__xludf.DUMMYFUNCTION("""COMPUTED_VALUE"""),5.56)</f>
        <v>5.56</v>
      </c>
      <c r="G78" s="3">
        <f>IFERROR(__xludf.DUMMYFUNCTION("""COMPUTED_VALUE"""),42403.99861111111)</f>
        <v>42403.99861</v>
      </c>
      <c r="H78" s="2">
        <f>IFERROR(__xludf.DUMMYFUNCTION("""COMPUTED_VALUE"""),368.87)</f>
        <v>368.87</v>
      </c>
    </row>
    <row r="79">
      <c r="A79" s="3">
        <f>IFERROR(__xludf.DUMMYFUNCTION("""COMPUTED_VALUE"""),42118.66666666667)</f>
        <v>42118.66667</v>
      </c>
      <c r="B79" s="2">
        <f>IFERROR(__xludf.DUMMYFUNCTION("""COMPUTED_VALUE"""),34.99)</f>
        <v>34.99</v>
      </c>
      <c r="D79" s="3">
        <f>IFERROR(__xludf.DUMMYFUNCTION("""COMPUTED_VALUE"""),42118.66666666667)</f>
        <v>42118.66667</v>
      </c>
      <c r="E79" s="2">
        <f>IFERROR(__xludf.DUMMYFUNCTION("""COMPUTED_VALUE"""),5.51)</f>
        <v>5.51</v>
      </c>
      <c r="G79" s="3">
        <f>IFERROR(__xludf.DUMMYFUNCTION("""COMPUTED_VALUE"""),42404.99861111111)</f>
        <v>42404.99861</v>
      </c>
      <c r="H79" s="2">
        <f>IFERROR(__xludf.DUMMYFUNCTION("""COMPUTED_VALUE"""),387.99)</f>
        <v>387.99</v>
      </c>
    </row>
    <row r="80">
      <c r="A80" s="3">
        <f>IFERROR(__xludf.DUMMYFUNCTION("""COMPUTED_VALUE"""),42121.66666666667)</f>
        <v>42121.66667</v>
      </c>
      <c r="B80" s="2">
        <f>IFERROR(__xludf.DUMMYFUNCTION("""COMPUTED_VALUE"""),34.34)</f>
        <v>34.34</v>
      </c>
      <c r="D80" s="3">
        <f>IFERROR(__xludf.DUMMYFUNCTION("""COMPUTED_VALUE"""),42121.66666666667)</f>
        <v>42121.66667</v>
      </c>
      <c r="E80" s="2">
        <f>IFERROR(__xludf.DUMMYFUNCTION("""COMPUTED_VALUE"""),5.55)</f>
        <v>5.55</v>
      </c>
      <c r="G80" s="3">
        <f>IFERROR(__xludf.DUMMYFUNCTION("""COMPUTED_VALUE"""),42405.99861111111)</f>
        <v>42405.99861</v>
      </c>
      <c r="H80" s="2">
        <f>IFERROR(__xludf.DUMMYFUNCTION("""COMPUTED_VALUE"""),384.5)</f>
        <v>384.5</v>
      </c>
    </row>
    <row r="81">
      <c r="A81" s="3">
        <f>IFERROR(__xludf.DUMMYFUNCTION("""COMPUTED_VALUE"""),42122.66666666667)</f>
        <v>42122.66667</v>
      </c>
      <c r="B81" s="2">
        <f>IFERROR(__xludf.DUMMYFUNCTION("""COMPUTED_VALUE"""),33.94)</f>
        <v>33.94</v>
      </c>
      <c r="D81" s="3">
        <f>IFERROR(__xludf.DUMMYFUNCTION("""COMPUTED_VALUE"""),42122.66666666667)</f>
        <v>42122.66667</v>
      </c>
      <c r="E81" s="2">
        <f>IFERROR(__xludf.DUMMYFUNCTION("""COMPUTED_VALUE"""),5.58)</f>
        <v>5.58</v>
      </c>
      <c r="G81" s="3">
        <f>IFERROR(__xludf.DUMMYFUNCTION("""COMPUTED_VALUE"""),42406.99861111111)</f>
        <v>42406.99861</v>
      </c>
      <c r="H81" s="2">
        <f>IFERROR(__xludf.DUMMYFUNCTION("""COMPUTED_VALUE"""),375.44)</f>
        <v>375.44</v>
      </c>
    </row>
    <row r="82">
      <c r="A82" s="3">
        <f>IFERROR(__xludf.DUMMYFUNCTION("""COMPUTED_VALUE"""),42123.66666666667)</f>
        <v>42123.66667</v>
      </c>
      <c r="B82" s="2">
        <f>IFERROR(__xludf.DUMMYFUNCTION("""COMPUTED_VALUE"""),33.78)</f>
        <v>33.78</v>
      </c>
      <c r="D82" s="3">
        <f>IFERROR(__xludf.DUMMYFUNCTION("""COMPUTED_VALUE"""),42123.66666666667)</f>
        <v>42123.66667</v>
      </c>
      <c r="E82" s="2">
        <f>IFERROR(__xludf.DUMMYFUNCTION("""COMPUTED_VALUE"""),5.54)</f>
        <v>5.54</v>
      </c>
      <c r="G82" s="3">
        <f>IFERROR(__xludf.DUMMYFUNCTION("""COMPUTED_VALUE"""),42407.99861111111)</f>
        <v>42407.99861</v>
      </c>
      <c r="H82" s="2">
        <f>IFERROR(__xludf.DUMMYFUNCTION("""COMPUTED_VALUE"""),377.49)</f>
        <v>377.49</v>
      </c>
    </row>
    <row r="83">
      <c r="A83" s="3">
        <f>IFERROR(__xludf.DUMMYFUNCTION("""COMPUTED_VALUE"""),42124.66666666667)</f>
        <v>42124.66667</v>
      </c>
      <c r="B83" s="2">
        <f>IFERROR(__xludf.DUMMYFUNCTION("""COMPUTED_VALUE"""),33.46)</f>
        <v>33.46</v>
      </c>
      <c r="D83" s="3">
        <f>IFERROR(__xludf.DUMMYFUNCTION("""COMPUTED_VALUE"""),42124.66666666667)</f>
        <v>42124.66667</v>
      </c>
      <c r="E83" s="2">
        <f>IFERROR(__xludf.DUMMYFUNCTION("""COMPUTED_VALUE"""),5.55)</f>
        <v>5.55</v>
      </c>
      <c r="G83" s="3">
        <f>IFERROR(__xludf.DUMMYFUNCTION("""COMPUTED_VALUE"""),42408.99861111111)</f>
        <v>42408.99861</v>
      </c>
      <c r="H83" s="2">
        <f>IFERROR(__xludf.DUMMYFUNCTION("""COMPUTED_VALUE"""),371.14)</f>
        <v>371.14</v>
      </c>
    </row>
    <row r="84">
      <c r="A84" s="3">
        <f>IFERROR(__xludf.DUMMYFUNCTION("""COMPUTED_VALUE"""),42125.66666666667)</f>
        <v>42125.66667</v>
      </c>
      <c r="B84" s="2">
        <f>IFERROR(__xludf.DUMMYFUNCTION("""COMPUTED_VALUE"""),33.61)</f>
        <v>33.61</v>
      </c>
      <c r="D84" s="3">
        <f>IFERROR(__xludf.DUMMYFUNCTION("""COMPUTED_VALUE"""),42125.66666666667)</f>
        <v>42125.66667</v>
      </c>
      <c r="E84" s="2">
        <f>IFERROR(__xludf.DUMMYFUNCTION("""COMPUTED_VALUE"""),5.69)</f>
        <v>5.69</v>
      </c>
      <c r="G84" s="3">
        <f>IFERROR(__xludf.DUMMYFUNCTION("""COMPUTED_VALUE"""),42409.99861111111)</f>
        <v>42409.99861</v>
      </c>
      <c r="H84" s="2">
        <f>IFERROR(__xludf.DUMMYFUNCTION("""COMPUTED_VALUE"""),372.68)</f>
        <v>372.68</v>
      </c>
    </row>
    <row r="85">
      <c r="A85" s="3">
        <f>IFERROR(__xludf.DUMMYFUNCTION("""COMPUTED_VALUE"""),42128.66666666667)</f>
        <v>42128.66667</v>
      </c>
      <c r="B85" s="2">
        <f>IFERROR(__xludf.DUMMYFUNCTION("""COMPUTED_VALUE"""),34.48)</f>
        <v>34.48</v>
      </c>
      <c r="D85" s="3">
        <f>IFERROR(__xludf.DUMMYFUNCTION("""COMPUTED_VALUE"""),42128.66666666667)</f>
        <v>42128.66667</v>
      </c>
      <c r="E85" s="2">
        <f>IFERROR(__xludf.DUMMYFUNCTION("""COMPUTED_VALUE"""),5.65)</f>
        <v>5.65</v>
      </c>
      <c r="G85" s="3">
        <f>IFERROR(__xludf.DUMMYFUNCTION("""COMPUTED_VALUE"""),42410.99861111111)</f>
        <v>42410.99861</v>
      </c>
      <c r="H85" s="2">
        <f>IFERROR(__xludf.DUMMYFUNCTION("""COMPUTED_VALUE"""),378.44)</f>
        <v>378.44</v>
      </c>
    </row>
    <row r="86">
      <c r="A86" s="3">
        <f>IFERROR(__xludf.DUMMYFUNCTION("""COMPUTED_VALUE"""),42129.66666666667)</f>
        <v>42129.66667</v>
      </c>
      <c r="B86" s="2">
        <f>IFERROR(__xludf.DUMMYFUNCTION("""COMPUTED_VALUE"""),34.0)</f>
        <v>34</v>
      </c>
      <c r="D86" s="3">
        <f>IFERROR(__xludf.DUMMYFUNCTION("""COMPUTED_VALUE"""),42129.66666666667)</f>
        <v>42129.66667</v>
      </c>
      <c r="E86" s="2">
        <f>IFERROR(__xludf.DUMMYFUNCTION("""COMPUTED_VALUE"""),5.51)</f>
        <v>5.51</v>
      </c>
      <c r="G86" s="3">
        <f>IFERROR(__xludf.DUMMYFUNCTION("""COMPUTED_VALUE"""),42411.99861111111)</f>
        <v>42411.99861</v>
      </c>
      <c r="H86" s="2">
        <f>IFERROR(__xludf.DUMMYFUNCTION("""COMPUTED_VALUE"""),378.23)</f>
        <v>378.23</v>
      </c>
    </row>
    <row r="87">
      <c r="A87" s="3">
        <f>IFERROR(__xludf.DUMMYFUNCTION("""COMPUTED_VALUE"""),42130.66666666667)</f>
        <v>42130.66667</v>
      </c>
      <c r="B87" s="2">
        <f>IFERROR(__xludf.DUMMYFUNCTION("""COMPUTED_VALUE"""),33.65)</f>
        <v>33.65</v>
      </c>
      <c r="D87" s="3">
        <f>IFERROR(__xludf.DUMMYFUNCTION("""COMPUTED_VALUE"""),42130.66666666667)</f>
        <v>42130.66667</v>
      </c>
      <c r="E87" s="2">
        <f>IFERROR(__xludf.DUMMYFUNCTION("""COMPUTED_VALUE"""),5.53)</f>
        <v>5.53</v>
      </c>
      <c r="G87" s="3">
        <f>IFERROR(__xludf.DUMMYFUNCTION("""COMPUTED_VALUE"""),42412.99861111111)</f>
        <v>42412.99861</v>
      </c>
      <c r="H87" s="2">
        <f>IFERROR(__xludf.DUMMYFUNCTION("""COMPUTED_VALUE"""),382.05)</f>
        <v>382.05</v>
      </c>
    </row>
    <row r="88">
      <c r="A88" s="3">
        <f>IFERROR(__xludf.DUMMYFUNCTION("""COMPUTED_VALUE"""),42131.66666666667)</f>
        <v>42131.66667</v>
      </c>
      <c r="B88" s="2">
        <f>IFERROR(__xludf.DUMMYFUNCTION("""COMPUTED_VALUE"""),33.91)</f>
        <v>33.91</v>
      </c>
      <c r="D88" s="3">
        <f>IFERROR(__xludf.DUMMYFUNCTION("""COMPUTED_VALUE"""),42131.66666666667)</f>
        <v>42131.66667</v>
      </c>
      <c r="E88" s="2">
        <f>IFERROR(__xludf.DUMMYFUNCTION("""COMPUTED_VALUE"""),5.62)</f>
        <v>5.62</v>
      </c>
      <c r="G88" s="3">
        <f>IFERROR(__xludf.DUMMYFUNCTION("""COMPUTED_VALUE"""),42413.99861111111)</f>
        <v>42413.99861</v>
      </c>
      <c r="H88" s="2">
        <f>IFERROR(__xludf.DUMMYFUNCTION("""COMPUTED_VALUE"""),391.0)</f>
        <v>391</v>
      </c>
    </row>
    <row r="89">
      <c r="A89" s="3">
        <f>IFERROR(__xludf.DUMMYFUNCTION("""COMPUTED_VALUE"""),42132.66666666667)</f>
        <v>42132.66667</v>
      </c>
      <c r="B89" s="2">
        <f>IFERROR(__xludf.DUMMYFUNCTION("""COMPUTED_VALUE"""),34.58)</f>
        <v>34.58</v>
      </c>
      <c r="D89" s="3">
        <f>IFERROR(__xludf.DUMMYFUNCTION("""COMPUTED_VALUE"""),42132.66666666667)</f>
        <v>42132.66667</v>
      </c>
      <c r="E89" s="2">
        <f>IFERROR(__xludf.DUMMYFUNCTION("""COMPUTED_VALUE"""),5.21)</f>
        <v>5.21</v>
      </c>
      <c r="G89" s="3">
        <f>IFERROR(__xludf.DUMMYFUNCTION("""COMPUTED_VALUE"""),42414.99861111111)</f>
        <v>42414.99861</v>
      </c>
      <c r="H89" s="2">
        <f>IFERROR(__xludf.DUMMYFUNCTION("""COMPUTED_VALUE"""),406.59)</f>
        <v>406.59</v>
      </c>
    </row>
    <row r="90">
      <c r="A90" s="3">
        <f>IFERROR(__xludf.DUMMYFUNCTION("""COMPUTED_VALUE"""),42135.66666666667)</f>
        <v>42135.66667</v>
      </c>
      <c r="B90" s="2">
        <f>IFERROR(__xludf.DUMMYFUNCTION("""COMPUTED_VALUE"""),35.02)</f>
        <v>35.02</v>
      </c>
      <c r="D90" s="3">
        <f>IFERROR(__xludf.DUMMYFUNCTION("""COMPUTED_VALUE"""),42135.66666666667)</f>
        <v>42135.66667</v>
      </c>
      <c r="E90" s="2">
        <f>IFERROR(__xludf.DUMMYFUNCTION("""COMPUTED_VALUE"""),5.16)</f>
        <v>5.16</v>
      </c>
      <c r="G90" s="3">
        <f>IFERROR(__xludf.DUMMYFUNCTION("""COMPUTED_VALUE"""),42415.99861111111)</f>
        <v>42415.99861</v>
      </c>
      <c r="H90" s="2">
        <f>IFERROR(__xludf.DUMMYFUNCTION("""COMPUTED_VALUE"""),398.95)</f>
        <v>398.95</v>
      </c>
    </row>
    <row r="91">
      <c r="A91" s="3">
        <f>IFERROR(__xludf.DUMMYFUNCTION("""COMPUTED_VALUE"""),42136.66666666667)</f>
        <v>42136.66667</v>
      </c>
      <c r="B91" s="2">
        <f>IFERROR(__xludf.DUMMYFUNCTION("""COMPUTED_VALUE"""),34.76)</f>
        <v>34.76</v>
      </c>
      <c r="D91" s="3">
        <f>IFERROR(__xludf.DUMMYFUNCTION("""COMPUTED_VALUE"""),42136.66666666667)</f>
        <v>42136.66667</v>
      </c>
      <c r="E91" s="2">
        <f>IFERROR(__xludf.DUMMYFUNCTION("""COMPUTED_VALUE"""),5.21)</f>
        <v>5.21</v>
      </c>
      <c r="G91" s="3">
        <f>IFERROR(__xludf.DUMMYFUNCTION("""COMPUTED_VALUE"""),42416.99861111111)</f>
        <v>42416.99861</v>
      </c>
      <c r="H91" s="2">
        <f>IFERROR(__xludf.DUMMYFUNCTION("""COMPUTED_VALUE"""),407.42)</f>
        <v>407.42</v>
      </c>
    </row>
    <row r="92">
      <c r="A92" s="3">
        <f>IFERROR(__xludf.DUMMYFUNCTION("""COMPUTED_VALUE"""),42137.66666666667)</f>
        <v>42137.66667</v>
      </c>
      <c r="B92" s="2">
        <f>IFERROR(__xludf.DUMMYFUNCTION("""COMPUTED_VALUE"""),35.25)</f>
        <v>35.25</v>
      </c>
      <c r="D92" s="3">
        <f>IFERROR(__xludf.DUMMYFUNCTION("""COMPUTED_VALUE"""),42137.66666666667)</f>
        <v>42137.66667</v>
      </c>
      <c r="E92" s="2">
        <f>IFERROR(__xludf.DUMMYFUNCTION("""COMPUTED_VALUE"""),5.24)</f>
        <v>5.24</v>
      </c>
      <c r="G92" s="3">
        <f>IFERROR(__xludf.DUMMYFUNCTION("""COMPUTED_VALUE"""),42417.99861111111)</f>
        <v>42417.99861</v>
      </c>
      <c r="H92" s="2">
        <f>IFERROR(__xludf.DUMMYFUNCTION("""COMPUTED_VALUE"""),415.2)</f>
        <v>415.2</v>
      </c>
    </row>
    <row r="93">
      <c r="A93" s="3">
        <f>IFERROR(__xludf.DUMMYFUNCTION("""COMPUTED_VALUE"""),42138.66666666667)</f>
        <v>42138.66667</v>
      </c>
      <c r="B93" s="2">
        <f>IFERROR(__xludf.DUMMYFUNCTION("""COMPUTED_VALUE"""),35.19)</f>
        <v>35.19</v>
      </c>
      <c r="D93" s="3">
        <f>IFERROR(__xludf.DUMMYFUNCTION("""COMPUTED_VALUE"""),42138.66666666667)</f>
        <v>42138.66667</v>
      </c>
      <c r="E93" s="2">
        <f>IFERROR(__xludf.DUMMYFUNCTION("""COMPUTED_VALUE"""),5.32)</f>
        <v>5.32</v>
      </c>
      <c r="G93" s="3">
        <f>IFERROR(__xludf.DUMMYFUNCTION("""COMPUTED_VALUE"""),42418.99861111111)</f>
        <v>42418.99861</v>
      </c>
      <c r="H93" s="2">
        <f>IFERROR(__xludf.DUMMYFUNCTION("""COMPUTED_VALUE"""),421.19)</f>
        <v>421.19</v>
      </c>
    </row>
    <row r="94">
      <c r="A94" s="3">
        <f>IFERROR(__xludf.DUMMYFUNCTION("""COMPUTED_VALUE"""),42139.66666666667)</f>
        <v>42139.66667</v>
      </c>
      <c r="B94" s="2">
        <f>IFERROR(__xludf.DUMMYFUNCTION("""COMPUTED_VALUE"""),35.33)</f>
        <v>35.33</v>
      </c>
      <c r="D94" s="3">
        <f>IFERROR(__xludf.DUMMYFUNCTION("""COMPUTED_VALUE"""),42139.66666666667)</f>
        <v>42139.66667</v>
      </c>
      <c r="E94" s="2">
        <f>IFERROR(__xludf.DUMMYFUNCTION("""COMPUTED_VALUE"""),5.33)</f>
        <v>5.33</v>
      </c>
      <c r="G94" s="3">
        <f>IFERROR(__xludf.DUMMYFUNCTION("""COMPUTED_VALUE"""),42419.99861111111)</f>
        <v>42419.99861</v>
      </c>
      <c r="H94" s="2">
        <f>IFERROR(__xludf.DUMMYFUNCTION("""COMPUTED_VALUE"""),420.72)</f>
        <v>420.72</v>
      </c>
    </row>
    <row r="95">
      <c r="A95" s="3">
        <f>IFERROR(__xludf.DUMMYFUNCTION("""COMPUTED_VALUE"""),42142.66666666667)</f>
        <v>42142.66667</v>
      </c>
      <c r="B95" s="2">
        <f>IFERROR(__xludf.DUMMYFUNCTION("""COMPUTED_VALUE"""),36.22)</f>
        <v>36.22</v>
      </c>
      <c r="D95" s="3">
        <f>IFERROR(__xludf.DUMMYFUNCTION("""COMPUTED_VALUE"""),42142.66666666667)</f>
        <v>42142.66667</v>
      </c>
      <c r="E95" s="2">
        <f>IFERROR(__xludf.DUMMYFUNCTION("""COMPUTED_VALUE"""),5.32)</f>
        <v>5.32</v>
      </c>
      <c r="G95" s="3">
        <f>IFERROR(__xludf.DUMMYFUNCTION("""COMPUTED_VALUE"""),42420.99861111111)</f>
        <v>42420.99861</v>
      </c>
      <c r="H95" s="2">
        <f>IFERROR(__xludf.DUMMYFUNCTION("""COMPUTED_VALUE"""),437.46)</f>
        <v>437.46</v>
      </c>
    </row>
    <row r="96">
      <c r="A96" s="3">
        <f>IFERROR(__xludf.DUMMYFUNCTION("""COMPUTED_VALUE"""),42143.66666666667)</f>
        <v>42143.66667</v>
      </c>
      <c r="B96" s="2">
        <f>IFERROR(__xludf.DUMMYFUNCTION("""COMPUTED_VALUE"""),34.99)</f>
        <v>34.99</v>
      </c>
      <c r="D96" s="3">
        <f>IFERROR(__xludf.DUMMYFUNCTION("""COMPUTED_VALUE"""),42143.66666666667)</f>
        <v>42143.66667</v>
      </c>
      <c r="E96" s="2">
        <f>IFERROR(__xludf.DUMMYFUNCTION("""COMPUTED_VALUE"""),5.26)</f>
        <v>5.26</v>
      </c>
      <c r="G96" s="3">
        <f>IFERROR(__xludf.DUMMYFUNCTION("""COMPUTED_VALUE"""),42421.99861111111)</f>
        <v>42421.99861</v>
      </c>
      <c r="H96" s="2">
        <f>IFERROR(__xludf.DUMMYFUNCTION("""COMPUTED_VALUE"""),438.56)</f>
        <v>438.56</v>
      </c>
    </row>
    <row r="97">
      <c r="A97" s="3">
        <f>IFERROR(__xludf.DUMMYFUNCTION("""COMPUTED_VALUE"""),42144.66666666667)</f>
        <v>42144.66667</v>
      </c>
      <c r="B97" s="2">
        <f>IFERROR(__xludf.DUMMYFUNCTION("""COMPUTED_VALUE"""),32.38)</f>
        <v>32.38</v>
      </c>
      <c r="D97" s="3">
        <f>IFERROR(__xludf.DUMMYFUNCTION("""COMPUTED_VALUE"""),42144.66666666667)</f>
        <v>42144.66667</v>
      </c>
      <c r="E97" s="2">
        <f>IFERROR(__xludf.DUMMYFUNCTION("""COMPUTED_VALUE"""),5.26)</f>
        <v>5.26</v>
      </c>
      <c r="G97" s="3">
        <f>IFERROR(__xludf.DUMMYFUNCTION("""COMPUTED_VALUE"""),42422.99861111111)</f>
        <v>42422.99861</v>
      </c>
      <c r="H97" s="2">
        <f>IFERROR(__xludf.DUMMYFUNCTION("""COMPUTED_VALUE"""),437.55)</f>
        <v>437.55</v>
      </c>
    </row>
    <row r="98">
      <c r="A98" s="3">
        <f>IFERROR(__xludf.DUMMYFUNCTION("""COMPUTED_VALUE"""),42145.66666666667)</f>
        <v>42145.66667</v>
      </c>
      <c r="B98" s="2">
        <f>IFERROR(__xludf.DUMMYFUNCTION("""COMPUTED_VALUE"""),33.03)</f>
        <v>33.03</v>
      </c>
      <c r="D98" s="3">
        <f>IFERROR(__xludf.DUMMYFUNCTION("""COMPUTED_VALUE"""),42145.66666666667)</f>
        <v>42145.66667</v>
      </c>
      <c r="E98" s="2">
        <f>IFERROR(__xludf.DUMMYFUNCTION("""COMPUTED_VALUE"""),5.22)</f>
        <v>5.22</v>
      </c>
      <c r="G98" s="3">
        <f>IFERROR(__xludf.DUMMYFUNCTION("""COMPUTED_VALUE"""),42423.99861111111)</f>
        <v>42423.99861</v>
      </c>
      <c r="H98" s="2">
        <f>IFERROR(__xludf.DUMMYFUNCTION("""COMPUTED_VALUE"""),419.97)</f>
        <v>419.97</v>
      </c>
    </row>
    <row r="99">
      <c r="A99" s="3">
        <f>IFERROR(__xludf.DUMMYFUNCTION("""COMPUTED_VALUE"""),42146.66666666667)</f>
        <v>42146.66667</v>
      </c>
      <c r="B99" s="2">
        <f>IFERROR(__xludf.DUMMYFUNCTION("""COMPUTED_VALUE"""),33.08)</f>
        <v>33.08</v>
      </c>
      <c r="D99" s="3">
        <f>IFERROR(__xludf.DUMMYFUNCTION("""COMPUTED_VALUE"""),42146.66666666667)</f>
        <v>42146.66667</v>
      </c>
      <c r="E99" s="2">
        <f>IFERROR(__xludf.DUMMYFUNCTION("""COMPUTED_VALUE"""),5.22)</f>
        <v>5.22</v>
      </c>
      <c r="G99" s="3">
        <f>IFERROR(__xludf.DUMMYFUNCTION("""COMPUTED_VALUE"""),42424.99861111111)</f>
        <v>42424.99861</v>
      </c>
      <c r="H99" s="2">
        <f>IFERROR(__xludf.DUMMYFUNCTION("""COMPUTED_VALUE"""),423.94)</f>
        <v>423.94</v>
      </c>
    </row>
    <row r="100">
      <c r="A100" s="3">
        <f>IFERROR(__xludf.DUMMYFUNCTION("""COMPUTED_VALUE"""),42150.66666666667)</f>
        <v>42150.66667</v>
      </c>
      <c r="B100" s="2">
        <f>IFERROR(__xludf.DUMMYFUNCTION("""COMPUTED_VALUE"""),32.61)</f>
        <v>32.61</v>
      </c>
      <c r="D100" s="3">
        <f>IFERROR(__xludf.DUMMYFUNCTION("""COMPUTED_VALUE"""),42150.66666666667)</f>
        <v>42150.66667</v>
      </c>
      <c r="E100" s="2">
        <f>IFERROR(__xludf.DUMMYFUNCTION("""COMPUTED_VALUE"""),5.18)</f>
        <v>5.18</v>
      </c>
      <c r="G100" s="3">
        <f>IFERROR(__xludf.DUMMYFUNCTION("""COMPUTED_VALUE"""),42425.99861111111)</f>
        <v>42425.99861</v>
      </c>
      <c r="H100" s="2">
        <f>IFERROR(__xludf.DUMMYFUNCTION("""COMPUTED_VALUE"""),423.54)</f>
        <v>423.54</v>
      </c>
    </row>
    <row r="101">
      <c r="A101" s="3">
        <f>IFERROR(__xludf.DUMMYFUNCTION("""COMPUTED_VALUE"""),42151.66666666667)</f>
        <v>42151.66667</v>
      </c>
      <c r="B101" s="2">
        <f>IFERROR(__xludf.DUMMYFUNCTION("""COMPUTED_VALUE"""),32.97)</f>
        <v>32.97</v>
      </c>
      <c r="D101" s="3">
        <f>IFERROR(__xludf.DUMMYFUNCTION("""COMPUTED_VALUE"""),42151.66666666667)</f>
        <v>42151.66667</v>
      </c>
      <c r="E101" s="2">
        <f>IFERROR(__xludf.DUMMYFUNCTION("""COMPUTED_VALUE"""),5.46)</f>
        <v>5.46</v>
      </c>
      <c r="G101" s="3">
        <f>IFERROR(__xludf.DUMMYFUNCTION("""COMPUTED_VALUE"""),42426.99861111111)</f>
        <v>42426.99861</v>
      </c>
      <c r="H101" s="2">
        <f>IFERROR(__xludf.DUMMYFUNCTION("""COMPUTED_VALUE"""),430.85)</f>
        <v>430.85</v>
      </c>
    </row>
    <row r="102">
      <c r="A102" s="3">
        <f>IFERROR(__xludf.DUMMYFUNCTION("""COMPUTED_VALUE"""),42152.66666666667)</f>
        <v>42152.66667</v>
      </c>
      <c r="B102" s="2">
        <f>IFERROR(__xludf.DUMMYFUNCTION("""COMPUTED_VALUE"""),32.9)</f>
        <v>32.9</v>
      </c>
      <c r="D102" s="3">
        <f>IFERROR(__xludf.DUMMYFUNCTION("""COMPUTED_VALUE"""),42152.66666666667)</f>
        <v>42152.66667</v>
      </c>
      <c r="E102" s="2">
        <f>IFERROR(__xludf.DUMMYFUNCTION("""COMPUTED_VALUE"""),5.54)</f>
        <v>5.54</v>
      </c>
      <c r="G102" s="3">
        <f>IFERROR(__xludf.DUMMYFUNCTION("""COMPUTED_VALUE"""),42427.99861111111)</f>
        <v>42427.99861</v>
      </c>
      <c r="H102" s="2">
        <f>IFERROR(__xludf.DUMMYFUNCTION("""COMPUTED_VALUE"""),433.12)</f>
        <v>433.12</v>
      </c>
    </row>
    <row r="103">
      <c r="A103" s="3">
        <f>IFERROR(__xludf.DUMMYFUNCTION("""COMPUTED_VALUE"""),42153.66666666667)</f>
        <v>42153.66667</v>
      </c>
      <c r="B103" s="2">
        <f>IFERROR(__xludf.DUMMYFUNCTION("""COMPUTED_VALUE"""),32.86)</f>
        <v>32.86</v>
      </c>
      <c r="D103" s="3">
        <f>IFERROR(__xludf.DUMMYFUNCTION("""COMPUTED_VALUE"""),42153.66666666667)</f>
        <v>42153.66667</v>
      </c>
      <c r="E103" s="2">
        <f>IFERROR(__xludf.DUMMYFUNCTION("""COMPUTED_VALUE"""),5.53)</f>
        <v>5.53</v>
      </c>
      <c r="G103" s="3">
        <f>IFERROR(__xludf.DUMMYFUNCTION("""COMPUTED_VALUE"""),42428.99861111111)</f>
        <v>42428.99861</v>
      </c>
      <c r="H103" s="2">
        <f>IFERROR(__xludf.DUMMYFUNCTION("""COMPUTED_VALUE"""),433.73)</f>
        <v>433.73</v>
      </c>
    </row>
    <row r="104">
      <c r="A104" s="3">
        <f>IFERROR(__xludf.DUMMYFUNCTION("""COMPUTED_VALUE"""),42156.66666666667)</f>
        <v>42156.66667</v>
      </c>
      <c r="B104" s="2">
        <f>IFERROR(__xludf.DUMMYFUNCTION("""COMPUTED_VALUE"""),32.84)</f>
        <v>32.84</v>
      </c>
      <c r="D104" s="3">
        <f>IFERROR(__xludf.DUMMYFUNCTION("""COMPUTED_VALUE"""),42156.66666666667)</f>
        <v>42156.66667</v>
      </c>
      <c r="E104" s="2">
        <f>IFERROR(__xludf.DUMMYFUNCTION("""COMPUTED_VALUE"""),5.6)</f>
        <v>5.6</v>
      </c>
      <c r="G104" s="3">
        <f>IFERROR(__xludf.DUMMYFUNCTION("""COMPUTED_VALUE"""),42429.99861111111)</f>
        <v>42429.99861</v>
      </c>
      <c r="H104" s="2">
        <f>IFERROR(__xludf.DUMMYFUNCTION("""COMPUTED_VALUE"""),436.44)</f>
        <v>436.44</v>
      </c>
    </row>
    <row r="105">
      <c r="A105" s="3">
        <f>IFERROR(__xludf.DUMMYFUNCTION("""COMPUTED_VALUE"""),42157.66666666667)</f>
        <v>42157.66667</v>
      </c>
      <c r="B105" s="2">
        <f>IFERROR(__xludf.DUMMYFUNCTION("""COMPUTED_VALUE"""),32.97)</f>
        <v>32.97</v>
      </c>
      <c r="D105" s="3">
        <f>IFERROR(__xludf.DUMMYFUNCTION("""COMPUTED_VALUE"""),42157.66666666667)</f>
        <v>42157.66667</v>
      </c>
      <c r="E105" s="2">
        <f>IFERROR(__xludf.DUMMYFUNCTION("""COMPUTED_VALUE"""),5.48)</f>
        <v>5.48</v>
      </c>
      <c r="G105" s="3">
        <f>IFERROR(__xludf.DUMMYFUNCTION("""COMPUTED_VALUE"""),42430.99861111111)</f>
        <v>42430.99861</v>
      </c>
      <c r="H105" s="2">
        <f>IFERROR(__xludf.DUMMYFUNCTION("""COMPUTED_VALUE"""),433.08)</f>
        <v>433.08</v>
      </c>
    </row>
    <row r="106">
      <c r="A106" s="3">
        <f>IFERROR(__xludf.DUMMYFUNCTION("""COMPUTED_VALUE"""),42158.66666666667)</f>
        <v>42158.66667</v>
      </c>
      <c r="B106" s="2">
        <f>IFERROR(__xludf.DUMMYFUNCTION("""COMPUTED_VALUE"""),33.22)</f>
        <v>33.22</v>
      </c>
      <c r="D106" s="3">
        <f>IFERROR(__xludf.DUMMYFUNCTION("""COMPUTED_VALUE"""),42158.66666666667)</f>
        <v>42158.66667</v>
      </c>
      <c r="E106" s="2">
        <f>IFERROR(__xludf.DUMMYFUNCTION("""COMPUTED_VALUE"""),5.43)</f>
        <v>5.43</v>
      </c>
      <c r="G106" s="3">
        <f>IFERROR(__xludf.DUMMYFUNCTION("""COMPUTED_VALUE"""),42431.99861111111)</f>
        <v>42431.99861</v>
      </c>
      <c r="H106" s="2">
        <f>IFERROR(__xludf.DUMMYFUNCTION("""COMPUTED_VALUE"""),420.39)</f>
        <v>420.39</v>
      </c>
    </row>
    <row r="107">
      <c r="A107" s="3">
        <f>IFERROR(__xludf.DUMMYFUNCTION("""COMPUTED_VALUE"""),42159.66666666667)</f>
        <v>42159.66667</v>
      </c>
      <c r="B107" s="2">
        <f>IFERROR(__xludf.DUMMYFUNCTION("""COMPUTED_VALUE"""),32.88)</f>
        <v>32.88</v>
      </c>
      <c r="D107" s="3">
        <f>IFERROR(__xludf.DUMMYFUNCTION("""COMPUTED_VALUE"""),42159.66666666667)</f>
        <v>42159.66667</v>
      </c>
      <c r="E107" s="2">
        <f>IFERROR(__xludf.DUMMYFUNCTION("""COMPUTED_VALUE"""),5.52)</f>
        <v>5.52</v>
      </c>
      <c r="G107" s="3">
        <f>IFERROR(__xludf.DUMMYFUNCTION("""COMPUTED_VALUE"""),42432.99861111111)</f>
        <v>42432.99861</v>
      </c>
      <c r="H107" s="2">
        <f>IFERROR(__xludf.DUMMYFUNCTION("""COMPUTED_VALUE"""),418.8)</f>
        <v>418.8</v>
      </c>
    </row>
    <row r="108">
      <c r="A108" s="3">
        <f>IFERROR(__xludf.DUMMYFUNCTION("""COMPUTED_VALUE"""),42160.66666666667)</f>
        <v>42160.66667</v>
      </c>
      <c r="B108" s="2">
        <f>IFERROR(__xludf.DUMMYFUNCTION("""COMPUTED_VALUE"""),32.89)</f>
        <v>32.89</v>
      </c>
      <c r="D108" s="3">
        <f>IFERROR(__xludf.DUMMYFUNCTION("""COMPUTED_VALUE"""),42160.66666666667)</f>
        <v>42160.66667</v>
      </c>
      <c r="E108" s="2">
        <f>IFERROR(__xludf.DUMMYFUNCTION("""COMPUTED_VALUE"""),5.57)</f>
        <v>5.57</v>
      </c>
      <c r="G108" s="3">
        <f>IFERROR(__xludf.DUMMYFUNCTION("""COMPUTED_VALUE"""),42433.99861111111)</f>
        <v>42433.99861</v>
      </c>
      <c r="H108" s="2">
        <f>IFERROR(__xludf.DUMMYFUNCTION("""COMPUTED_VALUE"""),407.35)</f>
        <v>407.35</v>
      </c>
    </row>
    <row r="109">
      <c r="A109" s="3">
        <f>IFERROR(__xludf.DUMMYFUNCTION("""COMPUTED_VALUE"""),42163.66666666667)</f>
        <v>42163.66667</v>
      </c>
      <c r="B109" s="2">
        <f>IFERROR(__xludf.DUMMYFUNCTION("""COMPUTED_VALUE"""),32.77)</f>
        <v>32.77</v>
      </c>
      <c r="D109" s="3">
        <f>IFERROR(__xludf.DUMMYFUNCTION("""COMPUTED_VALUE"""),42163.66666666667)</f>
        <v>42163.66667</v>
      </c>
      <c r="E109" s="2">
        <f>IFERROR(__xludf.DUMMYFUNCTION("""COMPUTED_VALUE"""),5.44)</f>
        <v>5.44</v>
      </c>
      <c r="G109" s="3">
        <f>IFERROR(__xludf.DUMMYFUNCTION("""COMPUTED_VALUE"""),42434.99861111111)</f>
        <v>42434.99861</v>
      </c>
      <c r="H109" s="2">
        <f>IFERROR(__xludf.DUMMYFUNCTION("""COMPUTED_VALUE"""),396.08)</f>
        <v>396.08</v>
      </c>
    </row>
    <row r="110">
      <c r="A110" s="3">
        <f>IFERROR(__xludf.DUMMYFUNCTION("""COMPUTED_VALUE"""),42164.66666666667)</f>
        <v>42164.66667</v>
      </c>
      <c r="B110" s="2">
        <f>IFERROR(__xludf.DUMMYFUNCTION("""COMPUTED_VALUE"""),32.86)</f>
        <v>32.86</v>
      </c>
      <c r="D110" s="3">
        <f>IFERROR(__xludf.DUMMYFUNCTION("""COMPUTED_VALUE"""),42164.66666666667)</f>
        <v>42164.66667</v>
      </c>
      <c r="E110" s="2">
        <f>IFERROR(__xludf.DUMMYFUNCTION("""COMPUTED_VALUE"""),5.47)</f>
        <v>5.47</v>
      </c>
      <c r="G110" s="3">
        <f>IFERROR(__xludf.DUMMYFUNCTION("""COMPUTED_VALUE"""),42435.99861111111)</f>
        <v>42435.99861</v>
      </c>
      <c r="H110" s="2">
        <f>IFERROR(__xludf.DUMMYFUNCTION("""COMPUTED_VALUE"""),403.24)</f>
        <v>403.24</v>
      </c>
    </row>
    <row r="111">
      <c r="A111" s="3">
        <f>IFERROR(__xludf.DUMMYFUNCTION("""COMPUTED_VALUE"""),42165.66666666667)</f>
        <v>42165.66667</v>
      </c>
      <c r="B111" s="2">
        <f>IFERROR(__xludf.DUMMYFUNCTION("""COMPUTED_VALUE"""),33.11)</f>
        <v>33.11</v>
      </c>
      <c r="D111" s="3">
        <f>IFERROR(__xludf.DUMMYFUNCTION("""COMPUTED_VALUE"""),42165.66666666667)</f>
        <v>42165.66667</v>
      </c>
      <c r="E111" s="2">
        <f>IFERROR(__xludf.DUMMYFUNCTION("""COMPUTED_VALUE"""),5.37)</f>
        <v>5.37</v>
      </c>
      <c r="G111" s="3">
        <f>IFERROR(__xludf.DUMMYFUNCTION("""COMPUTED_VALUE"""),42436.99861111111)</f>
        <v>42436.99861</v>
      </c>
      <c r="H111" s="2">
        <f>IFERROR(__xludf.DUMMYFUNCTION("""COMPUTED_VALUE"""),412.21)</f>
        <v>412.21</v>
      </c>
    </row>
    <row r="112">
      <c r="A112" s="3">
        <f>IFERROR(__xludf.DUMMYFUNCTION("""COMPUTED_VALUE"""),42166.66666666667)</f>
        <v>42166.66667</v>
      </c>
      <c r="B112" s="2">
        <f>IFERROR(__xludf.DUMMYFUNCTION("""COMPUTED_VALUE"""),33.15)</f>
        <v>33.15</v>
      </c>
      <c r="D112" s="3">
        <f>IFERROR(__xludf.DUMMYFUNCTION("""COMPUTED_VALUE"""),42166.66666666667)</f>
        <v>42166.66667</v>
      </c>
      <c r="E112" s="2">
        <f>IFERROR(__xludf.DUMMYFUNCTION("""COMPUTED_VALUE"""),5.43)</f>
        <v>5.43</v>
      </c>
      <c r="G112" s="3">
        <f>IFERROR(__xludf.DUMMYFUNCTION("""COMPUTED_VALUE"""),42437.99861111111)</f>
        <v>42437.99861</v>
      </c>
      <c r="H112" s="2">
        <f>IFERROR(__xludf.DUMMYFUNCTION("""COMPUTED_VALUE"""),411.18)</f>
        <v>411.18</v>
      </c>
    </row>
    <row r="113">
      <c r="A113" s="3">
        <f>IFERROR(__xludf.DUMMYFUNCTION("""COMPUTED_VALUE"""),42167.66666666667)</f>
        <v>42167.66667</v>
      </c>
      <c r="B113" s="2">
        <f>IFERROR(__xludf.DUMMYFUNCTION("""COMPUTED_VALUE"""),33.03)</f>
        <v>33.03</v>
      </c>
      <c r="D113" s="3">
        <f>IFERROR(__xludf.DUMMYFUNCTION("""COMPUTED_VALUE"""),42167.66666666667)</f>
        <v>42167.66667</v>
      </c>
      <c r="E113" s="2">
        <f>IFERROR(__xludf.DUMMYFUNCTION("""COMPUTED_VALUE"""),5.28)</f>
        <v>5.28</v>
      </c>
      <c r="G113" s="3">
        <f>IFERROR(__xludf.DUMMYFUNCTION("""COMPUTED_VALUE"""),42438.99861111111)</f>
        <v>42438.99861</v>
      </c>
      <c r="H113" s="2">
        <f>IFERROR(__xludf.DUMMYFUNCTION("""COMPUTED_VALUE"""),412.8)</f>
        <v>412.8</v>
      </c>
    </row>
    <row r="114">
      <c r="A114" s="3">
        <f>IFERROR(__xludf.DUMMYFUNCTION("""COMPUTED_VALUE"""),42170.66666666667)</f>
        <v>42170.66667</v>
      </c>
      <c r="B114" s="2">
        <f>IFERROR(__xludf.DUMMYFUNCTION("""COMPUTED_VALUE"""),32.62)</f>
        <v>32.62</v>
      </c>
      <c r="D114" s="3">
        <f>IFERROR(__xludf.DUMMYFUNCTION("""COMPUTED_VALUE"""),42170.66666666667)</f>
        <v>42170.66667</v>
      </c>
      <c r="E114" s="2">
        <f>IFERROR(__xludf.DUMMYFUNCTION("""COMPUTED_VALUE"""),5.27)</f>
        <v>5.27</v>
      </c>
      <c r="G114" s="3">
        <f>IFERROR(__xludf.DUMMYFUNCTION("""COMPUTED_VALUE"""),42439.99861111111)</f>
        <v>42439.99861</v>
      </c>
      <c r="H114" s="2">
        <f>IFERROR(__xludf.DUMMYFUNCTION("""COMPUTED_VALUE"""),415.98)</f>
        <v>415.98</v>
      </c>
    </row>
    <row r="115">
      <c r="A115" s="3">
        <f>IFERROR(__xludf.DUMMYFUNCTION("""COMPUTED_VALUE"""),42171.66666666667)</f>
        <v>42171.66667</v>
      </c>
      <c r="B115" s="2">
        <f>IFERROR(__xludf.DUMMYFUNCTION("""COMPUTED_VALUE"""),32.62)</f>
        <v>32.62</v>
      </c>
      <c r="D115" s="3">
        <f>IFERROR(__xludf.DUMMYFUNCTION("""COMPUTED_VALUE"""),42171.66666666667)</f>
        <v>42171.66667</v>
      </c>
      <c r="E115" s="2">
        <f>IFERROR(__xludf.DUMMYFUNCTION("""COMPUTED_VALUE"""),5.33)</f>
        <v>5.33</v>
      </c>
      <c r="G115" s="3">
        <f>IFERROR(__xludf.DUMMYFUNCTION("""COMPUTED_VALUE"""),42440.99861111111)</f>
        <v>42440.99861</v>
      </c>
      <c r="H115" s="2">
        <f>IFERROR(__xludf.DUMMYFUNCTION("""COMPUTED_VALUE"""),419.39)</f>
        <v>419.39</v>
      </c>
    </row>
    <row r="116">
      <c r="A116" s="3">
        <f>IFERROR(__xludf.DUMMYFUNCTION("""COMPUTED_VALUE"""),42172.66666666667)</f>
        <v>42172.66667</v>
      </c>
      <c r="B116" s="2">
        <f>IFERROR(__xludf.DUMMYFUNCTION("""COMPUTED_VALUE"""),33.01)</f>
        <v>33.01</v>
      </c>
      <c r="D116" s="3">
        <f>IFERROR(__xludf.DUMMYFUNCTION("""COMPUTED_VALUE"""),42172.66666666667)</f>
        <v>42172.66667</v>
      </c>
      <c r="E116" s="2">
        <f>IFERROR(__xludf.DUMMYFUNCTION("""COMPUTED_VALUE"""),5.4)</f>
        <v>5.4</v>
      </c>
      <c r="G116" s="3">
        <f>IFERROR(__xludf.DUMMYFUNCTION("""COMPUTED_VALUE"""),42441.99861111111)</f>
        <v>42441.99861</v>
      </c>
      <c r="H116" s="2">
        <f>IFERROR(__xludf.DUMMYFUNCTION("""COMPUTED_VALUE"""),410.58)</f>
        <v>410.58</v>
      </c>
    </row>
    <row r="117">
      <c r="A117" s="3">
        <f>IFERROR(__xludf.DUMMYFUNCTION("""COMPUTED_VALUE"""),42173.66666666667)</f>
        <v>42173.66667</v>
      </c>
      <c r="B117" s="2">
        <f>IFERROR(__xludf.DUMMYFUNCTION("""COMPUTED_VALUE"""),33.4)</f>
        <v>33.4</v>
      </c>
      <c r="D117" s="3">
        <f>IFERROR(__xludf.DUMMYFUNCTION("""COMPUTED_VALUE"""),42173.66666666667)</f>
        <v>42173.66667</v>
      </c>
      <c r="E117" s="2">
        <f>IFERROR(__xludf.DUMMYFUNCTION("""COMPUTED_VALUE"""),5.49)</f>
        <v>5.49</v>
      </c>
      <c r="G117" s="3">
        <f>IFERROR(__xludf.DUMMYFUNCTION("""COMPUTED_VALUE"""),42442.99861111111)</f>
        <v>42442.99861</v>
      </c>
      <c r="H117" s="2">
        <f>IFERROR(__xludf.DUMMYFUNCTION("""COMPUTED_VALUE"""),412.52)</f>
        <v>412.52</v>
      </c>
    </row>
    <row r="118">
      <c r="A118" s="3">
        <f>IFERROR(__xludf.DUMMYFUNCTION("""COMPUTED_VALUE"""),42174.66666666667)</f>
        <v>42174.66667</v>
      </c>
      <c r="B118" s="2">
        <f>IFERROR(__xludf.DUMMYFUNCTION("""COMPUTED_VALUE"""),33.29)</f>
        <v>33.29</v>
      </c>
      <c r="D118" s="3">
        <f>IFERROR(__xludf.DUMMYFUNCTION("""COMPUTED_VALUE"""),42174.66666666667)</f>
        <v>42174.66667</v>
      </c>
      <c r="E118" s="2">
        <f>IFERROR(__xludf.DUMMYFUNCTION("""COMPUTED_VALUE"""),5.47)</f>
        <v>5.47</v>
      </c>
      <c r="G118" s="3">
        <f>IFERROR(__xludf.DUMMYFUNCTION("""COMPUTED_VALUE"""),42443.99861111111)</f>
        <v>42443.99861</v>
      </c>
      <c r="H118" s="2">
        <f>IFERROR(__xludf.DUMMYFUNCTION("""COMPUTED_VALUE"""),415.02)</f>
        <v>415.02</v>
      </c>
    </row>
    <row r="119">
      <c r="A119" s="3">
        <f>IFERROR(__xludf.DUMMYFUNCTION("""COMPUTED_VALUE"""),42177.66666666667)</f>
        <v>42177.66667</v>
      </c>
      <c r="B119" s="2">
        <f>IFERROR(__xludf.DUMMYFUNCTION("""COMPUTED_VALUE"""),33.5)</f>
        <v>33.5</v>
      </c>
      <c r="D119" s="3">
        <f>IFERROR(__xludf.DUMMYFUNCTION("""COMPUTED_VALUE"""),42177.66666666667)</f>
        <v>42177.66667</v>
      </c>
      <c r="E119" s="2">
        <f>IFERROR(__xludf.DUMMYFUNCTION("""COMPUTED_VALUE"""),5.44)</f>
        <v>5.44</v>
      </c>
      <c r="G119" s="3">
        <f>IFERROR(__xludf.DUMMYFUNCTION("""COMPUTED_VALUE"""),42444.99861111111)</f>
        <v>42444.99861</v>
      </c>
      <c r="H119" s="2">
        <f>IFERROR(__xludf.DUMMYFUNCTION("""COMPUTED_VALUE"""),415.41)</f>
        <v>415.41</v>
      </c>
    </row>
    <row r="120">
      <c r="A120" s="3">
        <f>IFERROR(__xludf.DUMMYFUNCTION("""COMPUTED_VALUE"""),42178.66666666667)</f>
        <v>42178.66667</v>
      </c>
      <c r="B120" s="2">
        <f>IFERROR(__xludf.DUMMYFUNCTION("""COMPUTED_VALUE"""),32.89)</f>
        <v>32.89</v>
      </c>
      <c r="D120" s="3">
        <f>IFERROR(__xludf.DUMMYFUNCTION("""COMPUTED_VALUE"""),42178.66666666667)</f>
        <v>42178.66667</v>
      </c>
      <c r="E120" s="2">
        <f>IFERROR(__xludf.DUMMYFUNCTION("""COMPUTED_VALUE"""),5.31)</f>
        <v>5.31</v>
      </c>
      <c r="G120" s="3">
        <f>IFERROR(__xludf.DUMMYFUNCTION("""COMPUTED_VALUE"""),42445.99861111111)</f>
        <v>42445.99861</v>
      </c>
      <c r="H120" s="2">
        <f>IFERROR(__xludf.DUMMYFUNCTION("""COMPUTED_VALUE"""),416.07)</f>
        <v>416.07</v>
      </c>
    </row>
    <row r="121">
      <c r="A121" s="3">
        <f>IFERROR(__xludf.DUMMYFUNCTION("""COMPUTED_VALUE"""),42179.66666666667)</f>
        <v>42179.66667</v>
      </c>
      <c r="B121" s="2">
        <f>IFERROR(__xludf.DUMMYFUNCTION("""COMPUTED_VALUE"""),32.46)</f>
        <v>32.46</v>
      </c>
      <c r="D121" s="3">
        <f>IFERROR(__xludf.DUMMYFUNCTION("""COMPUTED_VALUE"""),42179.66666666667)</f>
        <v>42179.66667</v>
      </c>
      <c r="E121" s="2">
        <f>IFERROR(__xludf.DUMMYFUNCTION("""COMPUTED_VALUE"""),5.25)</f>
        <v>5.25</v>
      </c>
      <c r="G121" s="3">
        <f>IFERROR(__xludf.DUMMYFUNCTION("""COMPUTED_VALUE"""),42446.99861111111)</f>
        <v>42446.99861</v>
      </c>
      <c r="H121" s="2">
        <f>IFERROR(__xludf.DUMMYFUNCTION("""COMPUTED_VALUE"""),418.41)</f>
        <v>418.41</v>
      </c>
    </row>
    <row r="122">
      <c r="A122" s="3">
        <f>IFERROR(__xludf.DUMMYFUNCTION("""COMPUTED_VALUE"""),42180.66666666667)</f>
        <v>42180.66667</v>
      </c>
      <c r="B122" s="2">
        <f>IFERROR(__xludf.DUMMYFUNCTION("""COMPUTED_VALUE"""),32.16)</f>
        <v>32.16</v>
      </c>
      <c r="D122" s="3">
        <f>IFERROR(__xludf.DUMMYFUNCTION("""COMPUTED_VALUE"""),42180.66666666667)</f>
        <v>42180.66667</v>
      </c>
      <c r="E122" s="2">
        <f>IFERROR(__xludf.DUMMYFUNCTION("""COMPUTED_VALUE"""),5.29)</f>
        <v>5.29</v>
      </c>
      <c r="G122" s="3">
        <f>IFERROR(__xludf.DUMMYFUNCTION("""COMPUTED_VALUE"""),42447.99861111111)</f>
        <v>42447.99861</v>
      </c>
      <c r="H122" s="2">
        <f>IFERROR(__xludf.DUMMYFUNCTION("""COMPUTED_VALUE"""),409.65)</f>
        <v>409.65</v>
      </c>
    </row>
    <row r="123">
      <c r="A123" s="3">
        <f>IFERROR(__xludf.DUMMYFUNCTION("""COMPUTED_VALUE"""),42181.66666666667)</f>
        <v>42181.66667</v>
      </c>
      <c r="B123" s="2">
        <f>IFERROR(__xludf.DUMMYFUNCTION("""COMPUTED_VALUE"""),32.25)</f>
        <v>32.25</v>
      </c>
      <c r="D123" s="3">
        <f>IFERROR(__xludf.DUMMYFUNCTION("""COMPUTED_VALUE"""),42181.66666666667)</f>
        <v>42181.66667</v>
      </c>
      <c r="E123" s="2">
        <f>IFERROR(__xludf.DUMMYFUNCTION("""COMPUTED_VALUE"""),5.19)</f>
        <v>5.19</v>
      </c>
      <c r="G123" s="3">
        <f>IFERROR(__xludf.DUMMYFUNCTION("""COMPUTED_VALUE"""),42448.99861111111)</f>
        <v>42448.99861</v>
      </c>
      <c r="H123" s="2">
        <f>IFERROR(__xludf.DUMMYFUNCTION("""COMPUTED_VALUE"""),410.2)</f>
        <v>410.2</v>
      </c>
    </row>
    <row r="124">
      <c r="A124" s="3">
        <f>IFERROR(__xludf.DUMMYFUNCTION("""COMPUTED_VALUE"""),42184.66666666667)</f>
        <v>42184.66667</v>
      </c>
      <c r="B124" s="2">
        <f>IFERROR(__xludf.DUMMYFUNCTION("""COMPUTED_VALUE"""),31.4)</f>
        <v>31.4</v>
      </c>
      <c r="D124" s="3">
        <f>IFERROR(__xludf.DUMMYFUNCTION("""COMPUTED_VALUE"""),42184.66666666667)</f>
        <v>42184.66667</v>
      </c>
      <c r="E124" s="2">
        <f>IFERROR(__xludf.DUMMYFUNCTION("""COMPUTED_VALUE"""),5.03)</f>
        <v>5.03</v>
      </c>
      <c r="G124" s="3">
        <f>IFERROR(__xludf.DUMMYFUNCTION("""COMPUTED_VALUE"""),42449.99861111111)</f>
        <v>42449.99861</v>
      </c>
      <c r="H124" s="2">
        <f>IFERROR(__xludf.DUMMYFUNCTION("""COMPUTED_VALUE"""),411.27)</f>
        <v>411.27</v>
      </c>
    </row>
    <row r="125">
      <c r="A125" s="3">
        <f>IFERROR(__xludf.DUMMYFUNCTION("""COMPUTED_VALUE"""),42185.66666666667)</f>
        <v>42185.66667</v>
      </c>
      <c r="B125" s="2">
        <f>IFERROR(__xludf.DUMMYFUNCTION("""COMPUTED_VALUE"""),31.19)</f>
        <v>31.19</v>
      </c>
      <c r="D125" s="3">
        <f>IFERROR(__xludf.DUMMYFUNCTION("""COMPUTED_VALUE"""),42185.66666666667)</f>
        <v>42185.66667</v>
      </c>
      <c r="E125" s="2">
        <f>IFERROR(__xludf.DUMMYFUNCTION("""COMPUTED_VALUE"""),5.03)</f>
        <v>5.03</v>
      </c>
      <c r="G125" s="3">
        <f>IFERROR(__xludf.DUMMYFUNCTION("""COMPUTED_VALUE"""),42450.99861111111)</f>
        <v>42450.99861</v>
      </c>
      <c r="H125" s="2">
        <f>IFERROR(__xludf.DUMMYFUNCTION("""COMPUTED_VALUE"""),412.0)</f>
        <v>412</v>
      </c>
    </row>
    <row r="126">
      <c r="A126" s="3">
        <f>IFERROR(__xludf.DUMMYFUNCTION("""COMPUTED_VALUE"""),42186.66666666667)</f>
        <v>42186.66667</v>
      </c>
      <c r="B126" s="2">
        <f>IFERROR(__xludf.DUMMYFUNCTION("""COMPUTED_VALUE"""),31.25)</f>
        <v>31.25</v>
      </c>
      <c r="D126" s="3">
        <f>IFERROR(__xludf.DUMMYFUNCTION("""COMPUTED_VALUE"""),42186.66666666667)</f>
        <v>42186.66667</v>
      </c>
      <c r="E126" s="2">
        <f>IFERROR(__xludf.DUMMYFUNCTION("""COMPUTED_VALUE"""),5.1)</f>
        <v>5.1</v>
      </c>
      <c r="G126" s="3">
        <f>IFERROR(__xludf.DUMMYFUNCTION("""COMPUTED_VALUE"""),42451.99861111111)</f>
        <v>42451.99861</v>
      </c>
      <c r="H126" s="2">
        <f>IFERROR(__xludf.DUMMYFUNCTION("""COMPUTED_VALUE"""),416.66)</f>
        <v>416.66</v>
      </c>
    </row>
    <row r="127">
      <c r="A127" s="3">
        <f>IFERROR(__xludf.DUMMYFUNCTION("""COMPUTED_VALUE"""),42187.66666666667)</f>
        <v>42187.66667</v>
      </c>
      <c r="B127" s="2">
        <f>IFERROR(__xludf.DUMMYFUNCTION("""COMPUTED_VALUE"""),31.47)</f>
        <v>31.47</v>
      </c>
      <c r="D127" s="3">
        <f>IFERROR(__xludf.DUMMYFUNCTION("""COMPUTED_VALUE"""),42187.66666666667)</f>
        <v>42187.66667</v>
      </c>
      <c r="E127" s="2">
        <f>IFERROR(__xludf.DUMMYFUNCTION("""COMPUTED_VALUE"""),5.11)</f>
        <v>5.11</v>
      </c>
      <c r="G127" s="3">
        <f>IFERROR(__xludf.DUMMYFUNCTION("""COMPUTED_VALUE"""),42452.99861111111)</f>
        <v>42452.99861</v>
      </c>
      <c r="H127" s="2">
        <f>IFERROR(__xludf.DUMMYFUNCTION("""COMPUTED_VALUE"""),417.53)</f>
        <v>417.53</v>
      </c>
    </row>
    <row r="128">
      <c r="A128" s="3">
        <f>IFERROR(__xludf.DUMMYFUNCTION("""COMPUTED_VALUE"""),42191.66666666667)</f>
        <v>42191.66667</v>
      </c>
      <c r="B128" s="2">
        <f>IFERROR(__xludf.DUMMYFUNCTION("""COMPUTED_VALUE"""),31.25)</f>
        <v>31.25</v>
      </c>
      <c r="D128" s="3">
        <f>IFERROR(__xludf.DUMMYFUNCTION("""COMPUTED_VALUE"""),42191.66666666667)</f>
        <v>42191.66667</v>
      </c>
      <c r="E128" s="2">
        <f>IFERROR(__xludf.DUMMYFUNCTION("""COMPUTED_VALUE"""),5.04)</f>
        <v>5.04</v>
      </c>
      <c r="G128" s="3">
        <f>IFERROR(__xludf.DUMMYFUNCTION("""COMPUTED_VALUE"""),42453.99861111111)</f>
        <v>42453.99861</v>
      </c>
      <c r="H128" s="2">
        <f>IFERROR(__xludf.DUMMYFUNCTION("""COMPUTED_VALUE"""),412.95)</f>
        <v>412.95</v>
      </c>
    </row>
    <row r="129">
      <c r="A129" s="3">
        <f>IFERROR(__xludf.DUMMYFUNCTION("""COMPUTED_VALUE"""),42192.66666666667)</f>
        <v>42192.66667</v>
      </c>
      <c r="B129" s="2">
        <f>IFERROR(__xludf.DUMMYFUNCTION("""COMPUTED_VALUE"""),31.23)</f>
        <v>31.23</v>
      </c>
      <c r="D129" s="3">
        <f>IFERROR(__xludf.DUMMYFUNCTION("""COMPUTED_VALUE"""),42192.66666666667)</f>
        <v>42192.66667</v>
      </c>
      <c r="E129" s="2">
        <f>IFERROR(__xludf.DUMMYFUNCTION("""COMPUTED_VALUE"""),4.95)</f>
        <v>4.95</v>
      </c>
      <c r="G129" s="3">
        <f>IFERROR(__xludf.DUMMYFUNCTION("""COMPUTED_VALUE"""),42454.99861111111)</f>
        <v>42454.99861</v>
      </c>
      <c r="H129" s="2">
        <f>IFERROR(__xludf.DUMMYFUNCTION("""COMPUTED_VALUE"""),416.41)</f>
        <v>416.41</v>
      </c>
    </row>
    <row r="130">
      <c r="A130" s="3">
        <f>IFERROR(__xludf.DUMMYFUNCTION("""COMPUTED_VALUE"""),42193.66666666667)</f>
        <v>42193.66667</v>
      </c>
      <c r="B130" s="2">
        <f>IFERROR(__xludf.DUMMYFUNCTION("""COMPUTED_VALUE"""),30.38)</f>
        <v>30.38</v>
      </c>
      <c r="D130" s="3">
        <f>IFERROR(__xludf.DUMMYFUNCTION("""COMPUTED_VALUE"""),42193.66666666667)</f>
        <v>42193.66667</v>
      </c>
      <c r="E130" s="2">
        <f>IFERROR(__xludf.DUMMYFUNCTION("""COMPUTED_VALUE"""),4.91)</f>
        <v>4.91</v>
      </c>
      <c r="G130" s="3">
        <f>IFERROR(__xludf.DUMMYFUNCTION("""COMPUTED_VALUE"""),42455.99861111111)</f>
        <v>42455.99861</v>
      </c>
      <c r="H130" s="2">
        <f>IFERROR(__xludf.DUMMYFUNCTION("""COMPUTED_VALUE"""),416.97)</f>
        <v>416.97</v>
      </c>
    </row>
    <row r="131">
      <c r="A131" s="3">
        <f>IFERROR(__xludf.DUMMYFUNCTION("""COMPUTED_VALUE"""),42194.66666666667)</f>
        <v>42194.66667</v>
      </c>
      <c r="B131" s="2">
        <f>IFERROR(__xludf.DUMMYFUNCTION("""COMPUTED_VALUE"""),30.32)</f>
        <v>30.32</v>
      </c>
      <c r="D131" s="3">
        <f>IFERROR(__xludf.DUMMYFUNCTION("""COMPUTED_VALUE"""),42194.66666666667)</f>
        <v>42194.66667</v>
      </c>
      <c r="E131" s="2">
        <f>IFERROR(__xludf.DUMMYFUNCTION("""COMPUTED_VALUE"""),4.85)</f>
        <v>4.85</v>
      </c>
      <c r="G131" s="3">
        <f>IFERROR(__xludf.DUMMYFUNCTION("""COMPUTED_VALUE"""),42456.99861111111)</f>
        <v>42456.99861</v>
      </c>
      <c r="H131" s="2">
        <f>IFERROR(__xludf.DUMMYFUNCTION("""COMPUTED_VALUE"""),425.3)</f>
        <v>425.3</v>
      </c>
    </row>
    <row r="132">
      <c r="A132" s="3">
        <f>IFERROR(__xludf.DUMMYFUNCTION("""COMPUTED_VALUE"""),42195.66666666667)</f>
        <v>42195.66667</v>
      </c>
      <c r="B132" s="2">
        <f>IFERROR(__xludf.DUMMYFUNCTION("""COMPUTED_VALUE"""),30.35)</f>
        <v>30.35</v>
      </c>
      <c r="D132" s="3">
        <f>IFERROR(__xludf.DUMMYFUNCTION("""COMPUTED_VALUE"""),42195.66666666667)</f>
        <v>42195.66667</v>
      </c>
      <c r="E132" s="2">
        <f>IFERROR(__xludf.DUMMYFUNCTION("""COMPUTED_VALUE"""),4.94)</f>
        <v>4.94</v>
      </c>
      <c r="G132" s="3">
        <f>IFERROR(__xludf.DUMMYFUNCTION("""COMPUTED_VALUE"""),42457.99861111111)</f>
        <v>42457.99861</v>
      </c>
      <c r="H132" s="2">
        <f>IFERROR(__xludf.DUMMYFUNCTION("""COMPUTED_VALUE"""),423.0)</f>
        <v>423</v>
      </c>
    </row>
    <row r="133">
      <c r="A133" s="3">
        <f>IFERROR(__xludf.DUMMYFUNCTION("""COMPUTED_VALUE"""),42198.66666666667)</f>
        <v>42198.66667</v>
      </c>
      <c r="B133" s="2">
        <f>IFERROR(__xludf.DUMMYFUNCTION("""COMPUTED_VALUE"""),30.74)</f>
        <v>30.74</v>
      </c>
      <c r="D133" s="3">
        <f>IFERROR(__xludf.DUMMYFUNCTION("""COMPUTED_VALUE"""),42198.66666666667)</f>
        <v>42198.66667</v>
      </c>
      <c r="E133" s="2">
        <f>IFERROR(__xludf.DUMMYFUNCTION("""COMPUTED_VALUE"""),4.97)</f>
        <v>4.97</v>
      </c>
      <c r="G133" s="3">
        <f>IFERROR(__xludf.DUMMYFUNCTION("""COMPUTED_VALUE"""),42458.99861111111)</f>
        <v>42458.99861</v>
      </c>
      <c r="H133" s="2">
        <f>IFERROR(__xludf.DUMMYFUNCTION("""COMPUTED_VALUE"""),416.39)</f>
        <v>416.39</v>
      </c>
    </row>
    <row r="134">
      <c r="A134" s="3">
        <f>IFERROR(__xludf.DUMMYFUNCTION("""COMPUTED_VALUE"""),42199.66666666667)</f>
        <v>42199.66667</v>
      </c>
      <c r="B134" s="2">
        <f>IFERROR(__xludf.DUMMYFUNCTION("""COMPUTED_VALUE"""),30.93)</f>
        <v>30.93</v>
      </c>
      <c r="D134" s="3">
        <f>IFERROR(__xludf.DUMMYFUNCTION("""COMPUTED_VALUE"""),42199.66666666667)</f>
        <v>42199.66667</v>
      </c>
      <c r="E134" s="2">
        <f>IFERROR(__xludf.DUMMYFUNCTION("""COMPUTED_VALUE"""),4.97)</f>
        <v>4.97</v>
      </c>
      <c r="G134" s="3">
        <f>IFERROR(__xludf.DUMMYFUNCTION("""COMPUTED_VALUE"""),42459.99861111111)</f>
        <v>42459.99861</v>
      </c>
      <c r="H134" s="2">
        <f>IFERROR(__xludf.DUMMYFUNCTION("""COMPUTED_VALUE"""),412.79)</f>
        <v>412.79</v>
      </c>
    </row>
    <row r="135">
      <c r="A135" s="3">
        <f>IFERROR(__xludf.DUMMYFUNCTION("""COMPUTED_VALUE"""),42200.66666666667)</f>
        <v>42200.66667</v>
      </c>
      <c r="B135" s="2">
        <f>IFERROR(__xludf.DUMMYFUNCTION("""COMPUTED_VALUE"""),30.51)</f>
        <v>30.51</v>
      </c>
      <c r="D135" s="3">
        <f>IFERROR(__xludf.DUMMYFUNCTION("""COMPUTED_VALUE"""),42200.66666666667)</f>
        <v>42200.66667</v>
      </c>
      <c r="E135" s="2">
        <f>IFERROR(__xludf.DUMMYFUNCTION("""COMPUTED_VALUE"""),4.94)</f>
        <v>4.94</v>
      </c>
      <c r="G135" s="3">
        <f>IFERROR(__xludf.DUMMYFUNCTION("""COMPUTED_VALUE"""),42460.99861111111)</f>
        <v>42460.99861</v>
      </c>
      <c r="H135" s="2">
        <f>IFERROR(__xludf.DUMMYFUNCTION("""COMPUTED_VALUE"""),416.03)</f>
        <v>416.03</v>
      </c>
    </row>
    <row r="136">
      <c r="A136" s="3">
        <f>IFERROR(__xludf.DUMMYFUNCTION("""COMPUTED_VALUE"""),42201.66666666667)</f>
        <v>42201.66667</v>
      </c>
      <c r="B136" s="2">
        <f>IFERROR(__xludf.DUMMYFUNCTION("""COMPUTED_VALUE"""),30.79)</f>
        <v>30.79</v>
      </c>
      <c r="D136" s="3">
        <f>IFERROR(__xludf.DUMMYFUNCTION("""COMPUTED_VALUE"""),42201.66666666667)</f>
        <v>42201.66667</v>
      </c>
      <c r="E136" s="2">
        <f>IFERROR(__xludf.DUMMYFUNCTION("""COMPUTED_VALUE"""),5.05)</f>
        <v>5.05</v>
      </c>
      <c r="G136" s="3">
        <f>IFERROR(__xludf.DUMMYFUNCTION("""COMPUTED_VALUE"""),42461.99861111111)</f>
        <v>42461.99861</v>
      </c>
      <c r="H136" s="2">
        <f>IFERROR(__xludf.DUMMYFUNCTION("""COMPUTED_VALUE"""),417.68)</f>
        <v>417.68</v>
      </c>
    </row>
    <row r="137">
      <c r="A137" s="3">
        <f>IFERROR(__xludf.DUMMYFUNCTION("""COMPUTED_VALUE"""),42202.66666666667)</f>
        <v>42202.66667</v>
      </c>
      <c r="B137" s="2">
        <f>IFERROR(__xludf.DUMMYFUNCTION("""COMPUTED_VALUE"""),30.56)</f>
        <v>30.56</v>
      </c>
      <c r="D137" s="3">
        <f>IFERROR(__xludf.DUMMYFUNCTION("""COMPUTED_VALUE"""),42202.66666666667)</f>
        <v>42202.66667</v>
      </c>
      <c r="E137" s="2">
        <f>IFERROR(__xludf.DUMMYFUNCTION("""COMPUTED_VALUE"""),5.02)</f>
        <v>5.02</v>
      </c>
      <c r="G137" s="3">
        <f>IFERROR(__xludf.DUMMYFUNCTION("""COMPUTED_VALUE"""),42462.99861111111)</f>
        <v>42462.99861</v>
      </c>
      <c r="H137" s="2">
        <f>IFERROR(__xludf.DUMMYFUNCTION("""COMPUTED_VALUE"""),419.95)</f>
        <v>419.95</v>
      </c>
    </row>
    <row r="138">
      <c r="A138" s="3">
        <f>IFERROR(__xludf.DUMMYFUNCTION("""COMPUTED_VALUE"""),42205.66666666667)</f>
        <v>42205.66667</v>
      </c>
      <c r="B138" s="2">
        <f>IFERROR(__xludf.DUMMYFUNCTION("""COMPUTED_VALUE"""),30.76)</f>
        <v>30.76</v>
      </c>
      <c r="D138" s="3">
        <f>IFERROR(__xludf.DUMMYFUNCTION("""COMPUTED_VALUE"""),42205.66666666667)</f>
        <v>42205.66667</v>
      </c>
      <c r="E138" s="2">
        <f>IFERROR(__xludf.DUMMYFUNCTION("""COMPUTED_VALUE"""),4.93)</f>
        <v>4.93</v>
      </c>
      <c r="G138" s="3">
        <f>IFERROR(__xludf.DUMMYFUNCTION("""COMPUTED_VALUE"""),42463.99861111111)</f>
        <v>42463.99861</v>
      </c>
      <c r="H138" s="2">
        <f>IFERROR(__xludf.DUMMYFUNCTION("""COMPUTED_VALUE"""),420.16)</f>
        <v>420.16</v>
      </c>
    </row>
    <row r="139">
      <c r="A139" s="3">
        <f>IFERROR(__xludf.DUMMYFUNCTION("""COMPUTED_VALUE"""),42206.66666666667)</f>
        <v>42206.66667</v>
      </c>
      <c r="B139" s="2">
        <f>IFERROR(__xludf.DUMMYFUNCTION("""COMPUTED_VALUE"""),30.42)</f>
        <v>30.42</v>
      </c>
      <c r="D139" s="3">
        <f>IFERROR(__xludf.DUMMYFUNCTION("""COMPUTED_VALUE"""),42206.66666666667)</f>
        <v>42206.66667</v>
      </c>
      <c r="E139" s="2">
        <f>IFERROR(__xludf.DUMMYFUNCTION("""COMPUTED_VALUE"""),4.95)</f>
        <v>4.95</v>
      </c>
      <c r="G139" s="3">
        <f>IFERROR(__xludf.DUMMYFUNCTION("""COMPUTED_VALUE"""),42464.99861111111)</f>
        <v>42464.99861</v>
      </c>
      <c r="H139" s="2">
        <f>IFERROR(__xludf.DUMMYFUNCTION("""COMPUTED_VALUE"""),419.47)</f>
        <v>419.47</v>
      </c>
    </row>
    <row r="140">
      <c r="A140" s="3">
        <f>IFERROR(__xludf.DUMMYFUNCTION("""COMPUTED_VALUE"""),42207.66666666667)</f>
        <v>42207.66667</v>
      </c>
      <c r="B140" s="2">
        <f>IFERROR(__xludf.DUMMYFUNCTION("""COMPUTED_VALUE"""),30.74)</f>
        <v>30.74</v>
      </c>
      <c r="D140" s="3">
        <f>IFERROR(__xludf.DUMMYFUNCTION("""COMPUTED_VALUE"""),42207.66666666667)</f>
        <v>42207.66667</v>
      </c>
      <c r="E140" s="2">
        <f>IFERROR(__xludf.DUMMYFUNCTION("""COMPUTED_VALUE"""),4.85)</f>
        <v>4.85</v>
      </c>
      <c r="G140" s="3">
        <f>IFERROR(__xludf.DUMMYFUNCTION("""COMPUTED_VALUE"""),42465.99861111111)</f>
        <v>42465.99861</v>
      </c>
      <c r="H140" s="2">
        <f>IFERROR(__xludf.DUMMYFUNCTION("""COMPUTED_VALUE"""),422.36)</f>
        <v>422.36</v>
      </c>
    </row>
    <row r="141">
      <c r="A141" s="3">
        <f>IFERROR(__xludf.DUMMYFUNCTION("""COMPUTED_VALUE"""),42208.66666666667)</f>
        <v>42208.66667</v>
      </c>
      <c r="B141" s="2">
        <f>IFERROR(__xludf.DUMMYFUNCTION("""COMPUTED_VALUE"""),30.3)</f>
        <v>30.3</v>
      </c>
      <c r="D141" s="3">
        <f>IFERROR(__xludf.DUMMYFUNCTION("""COMPUTED_VALUE"""),42208.66666666667)</f>
        <v>42208.66667</v>
      </c>
      <c r="E141" s="2">
        <f>IFERROR(__xludf.DUMMYFUNCTION("""COMPUTED_VALUE"""),4.91)</f>
        <v>4.91</v>
      </c>
      <c r="G141" s="3">
        <f>IFERROR(__xludf.DUMMYFUNCTION("""COMPUTED_VALUE"""),42466.99861111111)</f>
        <v>42466.99861</v>
      </c>
      <c r="H141" s="2">
        <f>IFERROR(__xludf.DUMMYFUNCTION("""COMPUTED_VALUE"""),421.46)</f>
        <v>421.46</v>
      </c>
    </row>
    <row r="142">
      <c r="A142" s="3">
        <f>IFERROR(__xludf.DUMMYFUNCTION("""COMPUTED_VALUE"""),42209.66666666667)</f>
        <v>42209.66667</v>
      </c>
      <c r="B142" s="2">
        <f>IFERROR(__xludf.DUMMYFUNCTION("""COMPUTED_VALUE"""),30.06)</f>
        <v>30.06</v>
      </c>
      <c r="D142" s="3">
        <f>IFERROR(__xludf.DUMMYFUNCTION("""COMPUTED_VALUE"""),42209.66666666667)</f>
        <v>42209.66667</v>
      </c>
      <c r="E142" s="2">
        <f>IFERROR(__xludf.DUMMYFUNCTION("""COMPUTED_VALUE"""),4.86)</f>
        <v>4.86</v>
      </c>
      <c r="G142" s="3">
        <f>IFERROR(__xludf.DUMMYFUNCTION("""COMPUTED_VALUE"""),42467.99861111111)</f>
        <v>42467.99861</v>
      </c>
      <c r="H142" s="2">
        <f>IFERROR(__xludf.DUMMYFUNCTION("""COMPUTED_VALUE"""),421.99)</f>
        <v>421.99</v>
      </c>
    </row>
    <row r="143">
      <c r="A143" s="3">
        <f>IFERROR(__xludf.DUMMYFUNCTION("""COMPUTED_VALUE"""),42212.66666666667)</f>
        <v>42212.66667</v>
      </c>
      <c r="B143" s="2">
        <f>IFERROR(__xludf.DUMMYFUNCTION("""COMPUTED_VALUE"""),29.68)</f>
        <v>29.68</v>
      </c>
      <c r="D143" s="3">
        <f>IFERROR(__xludf.DUMMYFUNCTION("""COMPUTED_VALUE"""),42212.66666666667)</f>
        <v>42212.66667</v>
      </c>
      <c r="E143" s="2">
        <f>IFERROR(__xludf.DUMMYFUNCTION("""COMPUTED_VALUE"""),4.83)</f>
        <v>4.83</v>
      </c>
      <c r="G143" s="3">
        <f>IFERROR(__xludf.DUMMYFUNCTION("""COMPUTED_VALUE"""),42468.99861111111)</f>
        <v>42468.99861</v>
      </c>
      <c r="H143" s="2">
        <f>IFERROR(__xludf.DUMMYFUNCTION("""COMPUTED_VALUE"""),419.48)</f>
        <v>419.48</v>
      </c>
    </row>
    <row r="144">
      <c r="A144" s="3">
        <f>IFERROR(__xludf.DUMMYFUNCTION("""COMPUTED_VALUE"""),42213.66666666667)</f>
        <v>42213.66667</v>
      </c>
      <c r="B144" s="2">
        <f>IFERROR(__xludf.DUMMYFUNCTION("""COMPUTED_VALUE"""),30.06)</f>
        <v>30.06</v>
      </c>
      <c r="D144" s="3">
        <f>IFERROR(__xludf.DUMMYFUNCTION("""COMPUTED_VALUE"""),42213.66666666667)</f>
        <v>42213.66667</v>
      </c>
      <c r="E144" s="2">
        <f>IFERROR(__xludf.DUMMYFUNCTION("""COMPUTED_VALUE"""),4.93)</f>
        <v>4.93</v>
      </c>
      <c r="G144" s="3">
        <f>IFERROR(__xludf.DUMMYFUNCTION("""COMPUTED_VALUE"""),42469.99861111111)</f>
        <v>42469.99861</v>
      </c>
      <c r="H144" s="2">
        <f>IFERROR(__xludf.DUMMYFUNCTION("""COMPUTED_VALUE"""),419.46)</f>
        <v>419.46</v>
      </c>
    </row>
    <row r="145">
      <c r="A145" s="3">
        <f>IFERROR(__xludf.DUMMYFUNCTION("""COMPUTED_VALUE"""),42214.66666666667)</f>
        <v>42214.66667</v>
      </c>
      <c r="B145" s="2">
        <f>IFERROR(__xludf.DUMMYFUNCTION("""COMPUTED_VALUE"""),30.49)</f>
        <v>30.49</v>
      </c>
      <c r="D145" s="3">
        <f>IFERROR(__xludf.DUMMYFUNCTION("""COMPUTED_VALUE"""),42214.66666666667)</f>
        <v>42214.66667</v>
      </c>
      <c r="E145" s="2">
        <f>IFERROR(__xludf.DUMMYFUNCTION("""COMPUTED_VALUE"""),4.99)</f>
        <v>4.99</v>
      </c>
      <c r="G145" s="3">
        <f>IFERROR(__xludf.DUMMYFUNCTION("""COMPUTED_VALUE"""),42470.99861111111)</f>
        <v>42470.99861</v>
      </c>
      <c r="H145" s="2">
        <f>IFERROR(__xludf.DUMMYFUNCTION("""COMPUTED_VALUE"""),423.4)</f>
        <v>423.4</v>
      </c>
    </row>
    <row r="146">
      <c r="A146" s="3">
        <f>IFERROR(__xludf.DUMMYFUNCTION("""COMPUTED_VALUE"""),42215.66666666667)</f>
        <v>42215.66667</v>
      </c>
      <c r="B146" s="2">
        <f>IFERROR(__xludf.DUMMYFUNCTION("""COMPUTED_VALUE"""),30.64)</f>
        <v>30.64</v>
      </c>
      <c r="D146" s="3">
        <f>IFERROR(__xludf.DUMMYFUNCTION("""COMPUTED_VALUE"""),42215.66666666667)</f>
        <v>42215.66667</v>
      </c>
      <c r="E146" s="2">
        <f>IFERROR(__xludf.DUMMYFUNCTION("""COMPUTED_VALUE"""),5.01)</f>
        <v>5.01</v>
      </c>
      <c r="G146" s="3">
        <f>IFERROR(__xludf.DUMMYFUNCTION("""COMPUTED_VALUE"""),42471.99861111111)</f>
        <v>42471.99861</v>
      </c>
      <c r="H146" s="2">
        <f>IFERROR(__xludf.DUMMYFUNCTION("""COMPUTED_VALUE"""),423.94)</f>
        <v>423.94</v>
      </c>
    </row>
    <row r="147">
      <c r="A147" s="3">
        <f>IFERROR(__xludf.DUMMYFUNCTION("""COMPUTED_VALUE"""),42216.66666666667)</f>
        <v>42216.66667</v>
      </c>
      <c r="B147" s="2">
        <f>IFERROR(__xludf.DUMMYFUNCTION("""COMPUTED_VALUE"""),30.54)</f>
        <v>30.54</v>
      </c>
      <c r="D147" s="3">
        <f>IFERROR(__xludf.DUMMYFUNCTION("""COMPUTED_VALUE"""),42216.66666666667)</f>
        <v>42216.66667</v>
      </c>
      <c r="E147" s="2">
        <f>IFERROR(__xludf.DUMMYFUNCTION("""COMPUTED_VALUE"""),4.99)</f>
        <v>4.99</v>
      </c>
      <c r="G147" s="3">
        <f>IFERROR(__xludf.DUMMYFUNCTION("""COMPUTED_VALUE"""),42472.99861111111)</f>
        <v>42472.99861</v>
      </c>
      <c r="H147" s="2">
        <f>IFERROR(__xludf.DUMMYFUNCTION("""COMPUTED_VALUE"""),427.8)</f>
        <v>427.8</v>
      </c>
    </row>
    <row r="148">
      <c r="A148" s="3">
        <f>IFERROR(__xludf.DUMMYFUNCTION("""COMPUTED_VALUE"""),42219.66666666667)</f>
        <v>42219.66667</v>
      </c>
      <c r="B148" s="2">
        <f>IFERROR(__xludf.DUMMYFUNCTION("""COMPUTED_VALUE"""),30.49)</f>
        <v>30.49</v>
      </c>
      <c r="D148" s="3">
        <f>IFERROR(__xludf.DUMMYFUNCTION("""COMPUTED_VALUE"""),42219.66666666667)</f>
        <v>42219.66667</v>
      </c>
      <c r="E148" s="2">
        <f>IFERROR(__xludf.DUMMYFUNCTION("""COMPUTED_VALUE"""),5.07)</f>
        <v>5.07</v>
      </c>
      <c r="G148" s="3">
        <f>IFERROR(__xludf.DUMMYFUNCTION("""COMPUTED_VALUE"""),42473.99861111111)</f>
        <v>42473.99861</v>
      </c>
      <c r="H148" s="2">
        <f>IFERROR(__xludf.DUMMYFUNCTION("""COMPUTED_VALUE"""),425.58)</f>
        <v>425.58</v>
      </c>
    </row>
    <row r="149">
      <c r="A149" s="3">
        <f>IFERROR(__xludf.DUMMYFUNCTION("""COMPUTED_VALUE"""),42220.66666666667)</f>
        <v>42220.66667</v>
      </c>
      <c r="B149" s="2">
        <f>IFERROR(__xludf.DUMMYFUNCTION("""COMPUTED_VALUE"""),30.41)</f>
        <v>30.41</v>
      </c>
      <c r="D149" s="3">
        <f>IFERROR(__xludf.DUMMYFUNCTION("""COMPUTED_VALUE"""),42220.66666666667)</f>
        <v>42220.66667</v>
      </c>
      <c r="E149" s="2">
        <f>IFERROR(__xludf.DUMMYFUNCTION("""COMPUTED_VALUE"""),5.09)</f>
        <v>5.09</v>
      </c>
      <c r="G149" s="3">
        <f>IFERROR(__xludf.DUMMYFUNCTION("""COMPUTED_VALUE"""),42474.99861111111)</f>
        <v>42474.99861</v>
      </c>
      <c r="H149" s="2">
        <f>IFERROR(__xludf.DUMMYFUNCTION("""COMPUTED_VALUE"""),426.32)</f>
        <v>426.32</v>
      </c>
    </row>
    <row r="150">
      <c r="A150" s="3">
        <f>IFERROR(__xludf.DUMMYFUNCTION("""COMPUTED_VALUE"""),42221.66666666667)</f>
        <v>42221.66667</v>
      </c>
      <c r="B150" s="2">
        <f>IFERROR(__xludf.DUMMYFUNCTION("""COMPUTED_VALUE"""),30.35)</f>
        <v>30.35</v>
      </c>
      <c r="D150" s="3">
        <f>IFERROR(__xludf.DUMMYFUNCTION("""COMPUTED_VALUE"""),42221.66666666667)</f>
        <v>42221.66667</v>
      </c>
      <c r="E150" s="2">
        <f>IFERROR(__xludf.DUMMYFUNCTION("""COMPUTED_VALUE"""),5.15)</f>
        <v>5.15</v>
      </c>
      <c r="G150" s="3">
        <f>IFERROR(__xludf.DUMMYFUNCTION("""COMPUTED_VALUE"""),42475.99861111111)</f>
        <v>42475.99861</v>
      </c>
      <c r="H150" s="2">
        <f>IFERROR(__xludf.DUMMYFUNCTION("""COMPUTED_VALUE"""),430.93)</f>
        <v>430.93</v>
      </c>
    </row>
    <row r="151">
      <c r="A151" s="3">
        <f>IFERROR(__xludf.DUMMYFUNCTION("""COMPUTED_VALUE"""),42222.66666666667)</f>
        <v>42222.66667</v>
      </c>
      <c r="B151" s="2">
        <f>IFERROR(__xludf.DUMMYFUNCTION("""COMPUTED_VALUE"""),29.72)</f>
        <v>29.72</v>
      </c>
      <c r="D151" s="3">
        <f>IFERROR(__xludf.DUMMYFUNCTION("""COMPUTED_VALUE"""),42222.66666666667)</f>
        <v>42222.66667</v>
      </c>
      <c r="E151" s="2">
        <f>IFERROR(__xludf.DUMMYFUNCTION("""COMPUTED_VALUE"""),5.11)</f>
        <v>5.11</v>
      </c>
      <c r="G151" s="3">
        <f>IFERROR(__xludf.DUMMYFUNCTION("""COMPUTED_VALUE"""),42476.99861111111)</f>
        <v>42476.99861</v>
      </c>
      <c r="H151" s="2">
        <f>IFERROR(__xludf.DUMMYFUNCTION("""COMPUTED_VALUE"""),433.39)</f>
        <v>433.39</v>
      </c>
    </row>
    <row r="152">
      <c r="A152" s="3">
        <f>IFERROR(__xludf.DUMMYFUNCTION("""COMPUTED_VALUE"""),42223.66666666667)</f>
        <v>42223.66667</v>
      </c>
      <c r="B152" s="2">
        <f>IFERROR(__xludf.DUMMYFUNCTION("""COMPUTED_VALUE"""),29.86)</f>
        <v>29.86</v>
      </c>
      <c r="D152" s="3">
        <f>IFERROR(__xludf.DUMMYFUNCTION("""COMPUTED_VALUE"""),42223.66666666667)</f>
        <v>42223.66667</v>
      </c>
      <c r="E152" s="2">
        <f>IFERROR(__xludf.DUMMYFUNCTION("""COMPUTED_VALUE"""),5.75)</f>
        <v>5.75</v>
      </c>
      <c r="G152" s="3">
        <f>IFERROR(__xludf.DUMMYFUNCTION("""COMPUTED_VALUE"""),42477.99861111111)</f>
        <v>42477.99861</v>
      </c>
      <c r="H152" s="2">
        <f>IFERROR(__xludf.DUMMYFUNCTION("""COMPUTED_VALUE"""),431.0)</f>
        <v>431</v>
      </c>
    </row>
    <row r="153">
      <c r="A153" s="3">
        <f>IFERROR(__xludf.DUMMYFUNCTION("""COMPUTED_VALUE"""),42226.66666666667)</f>
        <v>42226.66667</v>
      </c>
      <c r="B153" s="2">
        <f>IFERROR(__xludf.DUMMYFUNCTION("""COMPUTED_VALUE"""),30.64)</f>
        <v>30.64</v>
      </c>
      <c r="D153" s="3">
        <f>IFERROR(__xludf.DUMMYFUNCTION("""COMPUTED_VALUE"""),42226.66666666667)</f>
        <v>42226.66667</v>
      </c>
      <c r="E153" s="2">
        <f>IFERROR(__xludf.DUMMYFUNCTION("""COMPUTED_VALUE"""),5.95)</f>
        <v>5.95</v>
      </c>
      <c r="G153" s="3">
        <f>IFERROR(__xludf.DUMMYFUNCTION("""COMPUTED_VALUE"""),42478.99861111111)</f>
        <v>42478.99861</v>
      </c>
      <c r="H153" s="2">
        <f>IFERROR(__xludf.DUMMYFUNCTION("""COMPUTED_VALUE"""),430.97)</f>
        <v>430.97</v>
      </c>
    </row>
    <row r="154">
      <c r="A154" s="3">
        <f>IFERROR(__xludf.DUMMYFUNCTION("""COMPUTED_VALUE"""),42227.66666666667)</f>
        <v>42227.66667</v>
      </c>
      <c r="B154" s="2">
        <f>IFERROR(__xludf.DUMMYFUNCTION("""COMPUTED_VALUE"""),30.08)</f>
        <v>30.08</v>
      </c>
      <c r="D154" s="3">
        <f>IFERROR(__xludf.DUMMYFUNCTION("""COMPUTED_VALUE"""),42227.66666666667)</f>
        <v>42227.66667</v>
      </c>
      <c r="E154" s="2">
        <f>IFERROR(__xludf.DUMMYFUNCTION("""COMPUTED_VALUE"""),5.92)</f>
        <v>5.92</v>
      </c>
      <c r="G154" s="3">
        <f>IFERROR(__xludf.DUMMYFUNCTION("""COMPUTED_VALUE"""),42479.99861111111)</f>
        <v>42479.99861</v>
      </c>
      <c r="H154" s="2">
        <f>IFERROR(__xludf.DUMMYFUNCTION("""COMPUTED_VALUE"""),437.06)</f>
        <v>437.06</v>
      </c>
    </row>
    <row r="155">
      <c r="A155" s="3">
        <f>IFERROR(__xludf.DUMMYFUNCTION("""COMPUTED_VALUE"""),42228.66666666667)</f>
        <v>42228.66667</v>
      </c>
      <c r="B155" s="2">
        <f>IFERROR(__xludf.DUMMYFUNCTION("""COMPUTED_VALUE"""),29.88)</f>
        <v>29.88</v>
      </c>
      <c r="D155" s="3">
        <f>IFERROR(__xludf.DUMMYFUNCTION("""COMPUTED_VALUE"""),42228.66666666667)</f>
        <v>42228.66667</v>
      </c>
      <c r="E155" s="2">
        <f>IFERROR(__xludf.DUMMYFUNCTION("""COMPUTED_VALUE"""),5.93)</f>
        <v>5.93</v>
      </c>
      <c r="G155" s="3">
        <f>IFERROR(__xludf.DUMMYFUNCTION("""COMPUTED_VALUE"""),42480.99861111111)</f>
        <v>42480.99861</v>
      </c>
      <c r="H155" s="2">
        <f>IFERROR(__xludf.DUMMYFUNCTION("""COMPUTED_VALUE"""),442.96)</f>
        <v>442.96</v>
      </c>
    </row>
    <row r="156">
      <c r="A156" s="3">
        <f>IFERROR(__xludf.DUMMYFUNCTION("""COMPUTED_VALUE"""),42229.66666666667)</f>
        <v>42229.66667</v>
      </c>
      <c r="B156" s="2">
        <f>IFERROR(__xludf.DUMMYFUNCTION("""COMPUTED_VALUE"""),29.91)</f>
        <v>29.91</v>
      </c>
      <c r="D156" s="3">
        <f>IFERROR(__xludf.DUMMYFUNCTION("""COMPUTED_VALUE"""),42229.66666666667)</f>
        <v>42229.66667</v>
      </c>
      <c r="E156" s="2">
        <f>IFERROR(__xludf.DUMMYFUNCTION("""COMPUTED_VALUE"""),5.88)</f>
        <v>5.88</v>
      </c>
      <c r="G156" s="3">
        <f>IFERROR(__xludf.DUMMYFUNCTION("""COMPUTED_VALUE"""),42481.99861111111)</f>
        <v>42481.99861</v>
      </c>
      <c r="H156" s="2">
        <f>IFERROR(__xludf.DUMMYFUNCTION("""COMPUTED_VALUE"""),452.25)</f>
        <v>452.25</v>
      </c>
    </row>
    <row r="157">
      <c r="A157" s="3">
        <f>IFERROR(__xludf.DUMMYFUNCTION("""COMPUTED_VALUE"""),42230.66666666667)</f>
        <v>42230.66667</v>
      </c>
      <c r="B157" s="2">
        <f>IFERROR(__xludf.DUMMYFUNCTION("""COMPUTED_VALUE"""),30.37)</f>
        <v>30.37</v>
      </c>
      <c r="D157" s="3">
        <f>IFERROR(__xludf.DUMMYFUNCTION("""COMPUTED_VALUE"""),42230.66666666667)</f>
        <v>42230.66667</v>
      </c>
      <c r="E157" s="2">
        <f>IFERROR(__xludf.DUMMYFUNCTION("""COMPUTED_VALUE"""),5.89)</f>
        <v>5.89</v>
      </c>
      <c r="G157" s="3">
        <f>IFERROR(__xludf.DUMMYFUNCTION("""COMPUTED_VALUE"""),42482.99861111111)</f>
        <v>42482.99861</v>
      </c>
      <c r="H157" s="2">
        <f>IFERROR(__xludf.DUMMYFUNCTION("""COMPUTED_VALUE"""),448.41)</f>
        <v>448.41</v>
      </c>
    </row>
    <row r="158">
      <c r="A158" s="3">
        <f>IFERROR(__xludf.DUMMYFUNCTION("""COMPUTED_VALUE"""),42233.66666666667)</f>
        <v>42233.66667</v>
      </c>
      <c r="B158" s="2">
        <f>IFERROR(__xludf.DUMMYFUNCTION("""COMPUTED_VALUE"""),30.38)</f>
        <v>30.38</v>
      </c>
      <c r="D158" s="3">
        <f>IFERROR(__xludf.DUMMYFUNCTION("""COMPUTED_VALUE"""),42233.66666666667)</f>
        <v>42233.66667</v>
      </c>
      <c r="E158" s="2">
        <f>IFERROR(__xludf.DUMMYFUNCTION("""COMPUTED_VALUE"""),5.85)</f>
        <v>5.85</v>
      </c>
      <c r="G158" s="3">
        <f>IFERROR(__xludf.DUMMYFUNCTION("""COMPUTED_VALUE"""),42483.99861111111)</f>
        <v>42483.99861</v>
      </c>
      <c r="H158" s="2">
        <f>IFERROR(__xludf.DUMMYFUNCTION("""COMPUTED_VALUE"""),455.69)</f>
        <v>455.69</v>
      </c>
    </row>
    <row r="159">
      <c r="A159" s="3">
        <f>IFERROR(__xludf.DUMMYFUNCTION("""COMPUTED_VALUE"""),42234.66666666667)</f>
        <v>42234.66667</v>
      </c>
      <c r="B159" s="2">
        <f>IFERROR(__xludf.DUMMYFUNCTION("""COMPUTED_VALUE"""),30.0)</f>
        <v>30</v>
      </c>
      <c r="D159" s="3">
        <f>IFERROR(__xludf.DUMMYFUNCTION("""COMPUTED_VALUE"""),42234.66666666667)</f>
        <v>42234.66667</v>
      </c>
      <c r="E159" s="2">
        <f>IFERROR(__xludf.DUMMYFUNCTION("""COMPUTED_VALUE"""),5.77)</f>
        <v>5.77</v>
      </c>
      <c r="G159" s="3">
        <f>IFERROR(__xludf.DUMMYFUNCTION("""COMPUTED_VALUE"""),42484.99861111111)</f>
        <v>42484.99861</v>
      </c>
      <c r="H159" s="2">
        <f>IFERROR(__xludf.DUMMYFUNCTION("""COMPUTED_VALUE"""),464.46)</f>
        <v>464.46</v>
      </c>
    </row>
    <row r="160">
      <c r="A160" s="3">
        <f>IFERROR(__xludf.DUMMYFUNCTION("""COMPUTED_VALUE"""),42235.66666666667)</f>
        <v>42235.66667</v>
      </c>
      <c r="B160" s="2">
        <f>IFERROR(__xludf.DUMMYFUNCTION("""COMPUTED_VALUE"""),29.54)</f>
        <v>29.54</v>
      </c>
      <c r="D160" s="3">
        <f>IFERROR(__xludf.DUMMYFUNCTION("""COMPUTED_VALUE"""),42235.66666666667)</f>
        <v>42235.66667</v>
      </c>
      <c r="E160" s="2">
        <f>IFERROR(__xludf.DUMMYFUNCTION("""COMPUTED_VALUE"""),5.75)</f>
        <v>5.75</v>
      </c>
      <c r="G160" s="3">
        <f>IFERROR(__xludf.DUMMYFUNCTION("""COMPUTED_VALUE"""),42485.99861111111)</f>
        <v>42485.99861</v>
      </c>
      <c r="H160" s="2">
        <f>IFERROR(__xludf.DUMMYFUNCTION("""COMPUTED_VALUE"""),466.17)</f>
        <v>466.17</v>
      </c>
    </row>
    <row r="161">
      <c r="A161" s="3">
        <f>IFERROR(__xludf.DUMMYFUNCTION("""COMPUTED_VALUE"""),42236.66666666667)</f>
        <v>42236.66667</v>
      </c>
      <c r="B161" s="2">
        <f>IFERROR(__xludf.DUMMYFUNCTION("""COMPUTED_VALUE"""),32.77)</f>
        <v>32.77</v>
      </c>
      <c r="D161" s="3">
        <f>IFERROR(__xludf.DUMMYFUNCTION("""COMPUTED_VALUE"""),42236.66666666667)</f>
        <v>42236.66667</v>
      </c>
      <c r="E161" s="2">
        <f>IFERROR(__xludf.DUMMYFUNCTION("""COMPUTED_VALUE"""),5.54)</f>
        <v>5.54</v>
      </c>
      <c r="G161" s="3">
        <f>IFERROR(__xludf.DUMMYFUNCTION("""COMPUTED_VALUE"""),42486.99861111111)</f>
        <v>42486.99861</v>
      </c>
      <c r="H161" s="2">
        <f>IFERROR(__xludf.DUMMYFUNCTION("""COMPUTED_VALUE"""),470.59)</f>
        <v>470.59</v>
      </c>
    </row>
    <row r="162">
      <c r="A162" s="3">
        <f>IFERROR(__xludf.DUMMYFUNCTION("""COMPUTED_VALUE"""),42237.66666666667)</f>
        <v>42237.66667</v>
      </c>
      <c r="B162" s="2">
        <f>IFERROR(__xludf.DUMMYFUNCTION("""COMPUTED_VALUE"""),32.35)</f>
        <v>32.35</v>
      </c>
      <c r="D162" s="3">
        <f>IFERROR(__xludf.DUMMYFUNCTION("""COMPUTED_VALUE"""),42237.66666666667)</f>
        <v>42237.66667</v>
      </c>
      <c r="E162" s="2">
        <f>IFERROR(__xludf.DUMMYFUNCTION("""COMPUTED_VALUE"""),5.37)</f>
        <v>5.37</v>
      </c>
      <c r="G162" s="3">
        <f>IFERROR(__xludf.DUMMYFUNCTION("""COMPUTED_VALUE"""),42487.99861111111)</f>
        <v>42487.99861</v>
      </c>
      <c r="H162" s="2">
        <f>IFERROR(__xludf.DUMMYFUNCTION("""COMPUTED_VALUE"""),445.31)</f>
        <v>445.31</v>
      </c>
    </row>
    <row r="163">
      <c r="A163" s="3">
        <f>IFERROR(__xludf.DUMMYFUNCTION("""COMPUTED_VALUE"""),42240.66666666667)</f>
        <v>42240.66667</v>
      </c>
      <c r="B163" s="2">
        <f>IFERROR(__xludf.DUMMYFUNCTION("""COMPUTED_VALUE"""),30.59)</f>
        <v>30.59</v>
      </c>
      <c r="D163" s="3">
        <f>IFERROR(__xludf.DUMMYFUNCTION("""COMPUTED_VALUE"""),42240.66666666667)</f>
        <v>42240.66667</v>
      </c>
      <c r="E163" s="2">
        <f>IFERROR(__xludf.DUMMYFUNCTION("""COMPUTED_VALUE"""),5.18)</f>
        <v>5.18</v>
      </c>
      <c r="G163" s="3">
        <f>IFERROR(__xludf.DUMMYFUNCTION("""COMPUTED_VALUE"""),42488.99861111111)</f>
        <v>42488.99861</v>
      </c>
      <c r="H163" s="2">
        <f>IFERROR(__xludf.DUMMYFUNCTION("""COMPUTED_VALUE"""),451.68)</f>
        <v>451.68</v>
      </c>
    </row>
    <row r="164">
      <c r="A164" s="3">
        <f>IFERROR(__xludf.DUMMYFUNCTION("""COMPUTED_VALUE"""),42241.66666666667)</f>
        <v>42241.66667</v>
      </c>
      <c r="B164" s="2">
        <f>IFERROR(__xludf.DUMMYFUNCTION("""COMPUTED_VALUE"""),30.35)</f>
        <v>30.35</v>
      </c>
      <c r="D164" s="3">
        <f>IFERROR(__xludf.DUMMYFUNCTION("""COMPUTED_VALUE"""),42241.66666666667)</f>
        <v>42241.66667</v>
      </c>
      <c r="E164" s="2">
        <f>IFERROR(__xludf.DUMMYFUNCTION("""COMPUTED_VALUE"""),5.07)</f>
        <v>5.07</v>
      </c>
      <c r="G164" s="3">
        <f>IFERROR(__xludf.DUMMYFUNCTION("""COMPUTED_VALUE"""),42489.99861111111)</f>
        <v>42489.99861</v>
      </c>
      <c r="H164" s="2">
        <f>IFERROR(__xludf.DUMMYFUNCTION("""COMPUTED_VALUE"""),458.82)</f>
        <v>458.82</v>
      </c>
    </row>
    <row r="165">
      <c r="A165" s="3">
        <f>IFERROR(__xludf.DUMMYFUNCTION("""COMPUTED_VALUE"""),42242.66666666667)</f>
        <v>42242.66667</v>
      </c>
      <c r="B165" s="2">
        <f>IFERROR(__xludf.DUMMYFUNCTION("""COMPUTED_VALUE"""),31.06)</f>
        <v>31.06</v>
      </c>
      <c r="D165" s="3">
        <f>IFERROR(__xludf.DUMMYFUNCTION("""COMPUTED_VALUE"""),42242.66666666667)</f>
        <v>42242.66667</v>
      </c>
      <c r="E165" s="2">
        <f>IFERROR(__xludf.DUMMYFUNCTION("""COMPUTED_VALUE"""),5.45)</f>
        <v>5.45</v>
      </c>
      <c r="G165" s="3">
        <f>IFERROR(__xludf.DUMMYFUNCTION("""COMPUTED_VALUE"""),42490.99861111111)</f>
        <v>42490.99861</v>
      </c>
      <c r="H165" s="2">
        <f>IFERROR(__xludf.DUMMYFUNCTION("""COMPUTED_VALUE"""),454.02)</f>
        <v>454.02</v>
      </c>
    </row>
    <row r="166">
      <c r="A166" s="3">
        <f>IFERROR(__xludf.DUMMYFUNCTION("""COMPUTED_VALUE"""),42243.66666666667)</f>
        <v>42243.66667</v>
      </c>
      <c r="B166" s="2">
        <f>IFERROR(__xludf.DUMMYFUNCTION("""COMPUTED_VALUE"""),31.67)</f>
        <v>31.67</v>
      </c>
      <c r="D166" s="3">
        <f>IFERROR(__xludf.DUMMYFUNCTION("""COMPUTED_VALUE"""),42243.66666666667)</f>
        <v>42243.66667</v>
      </c>
      <c r="E166" s="2">
        <f>IFERROR(__xludf.DUMMYFUNCTION("""COMPUTED_VALUE"""),5.66)</f>
        <v>5.66</v>
      </c>
      <c r="G166" s="3">
        <f>IFERROR(__xludf.DUMMYFUNCTION("""COMPUTED_VALUE"""),42491.99861111111)</f>
        <v>42491.99861</v>
      </c>
      <c r="H166" s="2">
        <f>IFERROR(__xludf.DUMMYFUNCTION("""COMPUTED_VALUE"""),456.98)</f>
        <v>456.98</v>
      </c>
    </row>
    <row r="167">
      <c r="A167" s="3">
        <f>IFERROR(__xludf.DUMMYFUNCTION("""COMPUTED_VALUE"""),42244.66666666667)</f>
        <v>42244.66667</v>
      </c>
      <c r="B167" s="2">
        <f>IFERROR(__xludf.DUMMYFUNCTION("""COMPUTED_VALUE"""),31.92)</f>
        <v>31.92</v>
      </c>
      <c r="D167" s="3">
        <f>IFERROR(__xludf.DUMMYFUNCTION("""COMPUTED_VALUE"""),42244.66666666667)</f>
        <v>42244.66667</v>
      </c>
      <c r="E167" s="2">
        <f>IFERROR(__xludf.DUMMYFUNCTION("""COMPUTED_VALUE"""),5.68)</f>
        <v>5.68</v>
      </c>
      <c r="G167" s="3">
        <f>IFERROR(__xludf.DUMMYFUNCTION("""COMPUTED_VALUE"""),42492.99861111111)</f>
        <v>42492.99861</v>
      </c>
      <c r="H167" s="2">
        <f>IFERROR(__xludf.DUMMYFUNCTION("""COMPUTED_VALUE"""),446.42)</f>
        <v>446.42</v>
      </c>
    </row>
    <row r="168">
      <c r="A168" s="3">
        <f>IFERROR(__xludf.DUMMYFUNCTION("""COMPUTED_VALUE"""),42247.66666666667)</f>
        <v>42247.66667</v>
      </c>
      <c r="B168" s="2">
        <f>IFERROR(__xludf.DUMMYFUNCTION("""COMPUTED_VALUE"""),32.04)</f>
        <v>32.04</v>
      </c>
      <c r="D168" s="3">
        <f>IFERROR(__xludf.DUMMYFUNCTION("""COMPUTED_VALUE"""),42247.66666666667)</f>
        <v>42247.66667</v>
      </c>
      <c r="E168" s="2">
        <f>IFERROR(__xludf.DUMMYFUNCTION("""COMPUTED_VALUE"""),5.62)</f>
        <v>5.62</v>
      </c>
      <c r="G168" s="3">
        <f>IFERROR(__xludf.DUMMYFUNCTION("""COMPUTED_VALUE"""),42493.99861111111)</f>
        <v>42493.99861</v>
      </c>
      <c r="H168" s="2">
        <f>IFERROR(__xludf.DUMMYFUNCTION("""COMPUTED_VALUE"""),452.21)</f>
        <v>452.21</v>
      </c>
    </row>
    <row r="169">
      <c r="A169" s="3">
        <f>IFERROR(__xludf.DUMMYFUNCTION("""COMPUTED_VALUE"""),42248.66666666667)</f>
        <v>42248.66667</v>
      </c>
      <c r="B169" s="2">
        <f>IFERROR(__xludf.DUMMYFUNCTION("""COMPUTED_VALUE"""),31.25)</f>
        <v>31.25</v>
      </c>
      <c r="D169" s="3">
        <f>IFERROR(__xludf.DUMMYFUNCTION("""COMPUTED_VALUE"""),42248.66666666667)</f>
        <v>42248.66667</v>
      </c>
      <c r="E169" s="2">
        <f>IFERROR(__xludf.DUMMYFUNCTION("""COMPUTED_VALUE"""),5.39)</f>
        <v>5.39</v>
      </c>
      <c r="G169" s="3">
        <f>IFERROR(__xludf.DUMMYFUNCTION("""COMPUTED_VALUE"""),42494.99861111111)</f>
        <v>42494.99861</v>
      </c>
      <c r="H169" s="2">
        <f>IFERROR(__xludf.DUMMYFUNCTION("""COMPUTED_VALUE"""),448.68)</f>
        <v>448.68</v>
      </c>
    </row>
    <row r="170">
      <c r="A170" s="3">
        <f>IFERROR(__xludf.DUMMYFUNCTION("""COMPUTED_VALUE"""),42249.66666666667)</f>
        <v>42249.66667</v>
      </c>
      <c r="B170" s="2">
        <f>IFERROR(__xludf.DUMMYFUNCTION("""COMPUTED_VALUE"""),31.84)</f>
        <v>31.84</v>
      </c>
      <c r="D170" s="3">
        <f>IFERROR(__xludf.DUMMYFUNCTION("""COMPUTED_VALUE"""),42249.66666666667)</f>
        <v>42249.66667</v>
      </c>
      <c r="E170" s="2">
        <f>IFERROR(__xludf.DUMMYFUNCTION("""COMPUTED_VALUE"""),5.55)</f>
        <v>5.55</v>
      </c>
      <c r="G170" s="3">
        <f>IFERROR(__xludf.DUMMYFUNCTION("""COMPUTED_VALUE"""),42495.99861111111)</f>
        <v>42495.99861</v>
      </c>
      <c r="H170" s="2">
        <f>IFERROR(__xludf.DUMMYFUNCTION("""COMPUTED_VALUE"""),449.98)</f>
        <v>449.98</v>
      </c>
    </row>
    <row r="171">
      <c r="A171" s="3">
        <f>IFERROR(__xludf.DUMMYFUNCTION("""COMPUTED_VALUE"""),42250.66666666667)</f>
        <v>42250.66667</v>
      </c>
      <c r="B171" s="2">
        <f>IFERROR(__xludf.DUMMYFUNCTION("""COMPUTED_VALUE"""),32.61)</f>
        <v>32.61</v>
      </c>
      <c r="D171" s="3">
        <f>IFERROR(__xludf.DUMMYFUNCTION("""COMPUTED_VALUE"""),42250.66666666667)</f>
        <v>42250.66667</v>
      </c>
      <c r="E171" s="2">
        <f>IFERROR(__xludf.DUMMYFUNCTION("""COMPUTED_VALUE"""),5.57)</f>
        <v>5.57</v>
      </c>
      <c r="G171" s="3">
        <f>IFERROR(__xludf.DUMMYFUNCTION("""COMPUTED_VALUE"""),42496.99861111111)</f>
        <v>42496.99861</v>
      </c>
      <c r="H171" s="2">
        <f>IFERROR(__xludf.DUMMYFUNCTION("""COMPUTED_VALUE"""),462.31)</f>
        <v>462.31</v>
      </c>
    </row>
    <row r="172">
      <c r="A172" s="3">
        <f>IFERROR(__xludf.DUMMYFUNCTION("""COMPUTED_VALUE"""),42251.66666666667)</f>
        <v>42251.66667</v>
      </c>
      <c r="B172" s="2">
        <f>IFERROR(__xludf.DUMMYFUNCTION("""COMPUTED_VALUE"""),32.24)</f>
        <v>32.24</v>
      </c>
      <c r="D172" s="3">
        <f>IFERROR(__xludf.DUMMYFUNCTION("""COMPUTED_VALUE"""),42251.66666666667)</f>
        <v>42251.66667</v>
      </c>
      <c r="E172" s="2">
        <f>IFERROR(__xludf.DUMMYFUNCTION("""COMPUTED_VALUE"""),5.44)</f>
        <v>5.44</v>
      </c>
      <c r="G172" s="3">
        <f>IFERROR(__xludf.DUMMYFUNCTION("""COMPUTED_VALUE"""),42497.99861111111)</f>
        <v>42497.99861</v>
      </c>
      <c r="H172" s="2">
        <f>IFERROR(__xludf.DUMMYFUNCTION("""COMPUTED_VALUE"""),461.91)</f>
        <v>461.91</v>
      </c>
    </row>
    <row r="173">
      <c r="A173" s="3">
        <f>IFERROR(__xludf.DUMMYFUNCTION("""COMPUTED_VALUE"""),42255.66666666667)</f>
        <v>42255.66667</v>
      </c>
      <c r="B173" s="2">
        <f>IFERROR(__xludf.DUMMYFUNCTION("""COMPUTED_VALUE"""),33.09)</f>
        <v>33.09</v>
      </c>
      <c r="D173" s="3">
        <f>IFERROR(__xludf.DUMMYFUNCTION("""COMPUTED_VALUE"""),42255.66666666667)</f>
        <v>42255.66667</v>
      </c>
      <c r="E173" s="2">
        <f>IFERROR(__xludf.DUMMYFUNCTION("""COMPUTED_VALUE"""),5.67)</f>
        <v>5.67</v>
      </c>
      <c r="G173" s="3">
        <f>IFERROR(__xludf.DUMMYFUNCTION("""COMPUTED_VALUE"""),42498.99861111111)</f>
        <v>42498.99861</v>
      </c>
      <c r="H173" s="2">
        <f>IFERROR(__xludf.DUMMYFUNCTION("""COMPUTED_VALUE"""),462.79)</f>
        <v>462.79</v>
      </c>
    </row>
    <row r="174">
      <c r="A174" s="3">
        <f>IFERROR(__xludf.DUMMYFUNCTION("""COMPUTED_VALUE"""),42256.66666666667)</f>
        <v>42256.66667</v>
      </c>
      <c r="B174" s="2">
        <f>IFERROR(__xludf.DUMMYFUNCTION("""COMPUTED_VALUE"""),32.72)</f>
        <v>32.72</v>
      </c>
      <c r="D174" s="3">
        <f>IFERROR(__xludf.DUMMYFUNCTION("""COMPUTED_VALUE"""),42256.66666666667)</f>
        <v>42256.66667</v>
      </c>
      <c r="E174" s="2">
        <f>IFERROR(__xludf.DUMMYFUNCTION("""COMPUTED_VALUE"""),5.56)</f>
        <v>5.56</v>
      </c>
      <c r="G174" s="3">
        <f>IFERROR(__xludf.DUMMYFUNCTION("""COMPUTED_VALUE"""),42499.99861111111)</f>
        <v>42499.99861</v>
      </c>
      <c r="H174" s="2">
        <f>IFERROR(__xludf.DUMMYFUNCTION("""COMPUTED_VALUE"""),464.16)</f>
        <v>464.16</v>
      </c>
    </row>
    <row r="175">
      <c r="A175" s="3">
        <f>IFERROR(__xludf.DUMMYFUNCTION("""COMPUTED_VALUE"""),42257.66666666667)</f>
        <v>42257.66667</v>
      </c>
      <c r="B175" s="2">
        <f>IFERROR(__xludf.DUMMYFUNCTION("""COMPUTED_VALUE"""),32.97)</f>
        <v>32.97</v>
      </c>
      <c r="D175" s="3">
        <f>IFERROR(__xludf.DUMMYFUNCTION("""COMPUTED_VALUE"""),42257.66666666667)</f>
        <v>42257.66667</v>
      </c>
      <c r="E175" s="2">
        <f>IFERROR(__xludf.DUMMYFUNCTION("""COMPUTED_VALUE"""),5.65)</f>
        <v>5.65</v>
      </c>
      <c r="G175" s="3">
        <f>IFERROR(__xludf.DUMMYFUNCTION("""COMPUTED_VALUE"""),42500.99861111111)</f>
        <v>42500.99861</v>
      </c>
      <c r="H175" s="2">
        <f>IFERROR(__xludf.DUMMYFUNCTION("""COMPUTED_VALUE"""),452.78)</f>
        <v>452.78</v>
      </c>
    </row>
    <row r="176">
      <c r="A176" s="3">
        <f>IFERROR(__xludf.DUMMYFUNCTION("""COMPUTED_VALUE"""),42258.66666666667)</f>
        <v>42258.66667</v>
      </c>
      <c r="B176" s="2">
        <f>IFERROR(__xludf.DUMMYFUNCTION("""COMPUTED_VALUE"""),32.84)</f>
        <v>32.84</v>
      </c>
      <c r="D176" s="3">
        <f>IFERROR(__xludf.DUMMYFUNCTION("""COMPUTED_VALUE"""),42258.66666666667)</f>
        <v>42258.66667</v>
      </c>
      <c r="E176" s="2">
        <f>IFERROR(__xludf.DUMMYFUNCTION("""COMPUTED_VALUE"""),5.66)</f>
        <v>5.66</v>
      </c>
      <c r="G176" s="3">
        <f>IFERROR(__xludf.DUMMYFUNCTION("""COMPUTED_VALUE"""),42501.99861111111)</f>
        <v>42501.99861</v>
      </c>
      <c r="H176" s="2">
        <f>IFERROR(__xludf.DUMMYFUNCTION("""COMPUTED_VALUE"""),454.37)</f>
        <v>454.37</v>
      </c>
    </row>
    <row r="177">
      <c r="A177" s="3">
        <f>IFERROR(__xludf.DUMMYFUNCTION("""COMPUTED_VALUE"""),42261.66666666667)</f>
        <v>42261.66667</v>
      </c>
      <c r="B177" s="2">
        <f>IFERROR(__xludf.DUMMYFUNCTION("""COMPUTED_VALUE"""),32.83)</f>
        <v>32.83</v>
      </c>
      <c r="D177" s="3">
        <f>IFERROR(__xludf.DUMMYFUNCTION("""COMPUTED_VALUE"""),42261.66666666667)</f>
        <v>42261.66667</v>
      </c>
      <c r="E177" s="2">
        <f>IFERROR(__xludf.DUMMYFUNCTION("""COMPUTED_VALUE"""),5.67)</f>
        <v>5.67</v>
      </c>
      <c r="G177" s="3">
        <f>IFERROR(__xludf.DUMMYFUNCTION("""COMPUTED_VALUE"""),42502.99861111111)</f>
        <v>42502.99861</v>
      </c>
      <c r="H177" s="2">
        <f>IFERROR(__xludf.DUMMYFUNCTION("""COMPUTED_VALUE"""),456.48)</f>
        <v>456.48</v>
      </c>
    </row>
    <row r="178">
      <c r="A178" s="3">
        <f>IFERROR(__xludf.DUMMYFUNCTION("""COMPUTED_VALUE"""),42262.66666666667)</f>
        <v>42262.66667</v>
      </c>
      <c r="B178" s="2">
        <f>IFERROR(__xludf.DUMMYFUNCTION("""COMPUTED_VALUE"""),32.95)</f>
        <v>32.95</v>
      </c>
      <c r="D178" s="3">
        <f>IFERROR(__xludf.DUMMYFUNCTION("""COMPUTED_VALUE"""),42262.66666666667)</f>
        <v>42262.66667</v>
      </c>
      <c r="E178" s="2">
        <f>IFERROR(__xludf.DUMMYFUNCTION("""COMPUTED_VALUE"""),5.74)</f>
        <v>5.74</v>
      </c>
      <c r="G178" s="3">
        <f>IFERROR(__xludf.DUMMYFUNCTION("""COMPUTED_VALUE"""),42503.99861111111)</f>
        <v>42503.99861</v>
      </c>
      <c r="H178" s="2">
        <f>IFERROR(__xludf.DUMMYFUNCTION("""COMPUTED_VALUE"""),457.98)</f>
        <v>457.98</v>
      </c>
    </row>
    <row r="179">
      <c r="A179" s="3">
        <f>IFERROR(__xludf.DUMMYFUNCTION("""COMPUTED_VALUE"""),42263.66666666667)</f>
        <v>42263.66667</v>
      </c>
      <c r="B179" s="2">
        <f>IFERROR(__xludf.DUMMYFUNCTION("""COMPUTED_VALUE"""),33.55)</f>
        <v>33.55</v>
      </c>
      <c r="D179" s="3">
        <f>IFERROR(__xludf.DUMMYFUNCTION("""COMPUTED_VALUE"""),42263.66666666667)</f>
        <v>42263.66667</v>
      </c>
      <c r="E179" s="2">
        <f>IFERROR(__xludf.DUMMYFUNCTION("""COMPUTED_VALUE"""),5.78)</f>
        <v>5.78</v>
      </c>
      <c r="G179" s="3">
        <f>IFERROR(__xludf.DUMMYFUNCTION("""COMPUTED_VALUE"""),42504.99861111111)</f>
        <v>42504.99861</v>
      </c>
      <c r="H179" s="2">
        <f>IFERROR(__xludf.DUMMYFUNCTION("""COMPUTED_VALUE"""),458.9)</f>
        <v>458.9</v>
      </c>
    </row>
    <row r="180">
      <c r="A180" s="3">
        <f>IFERROR(__xludf.DUMMYFUNCTION("""COMPUTED_VALUE"""),42264.66666666667)</f>
        <v>42264.66667</v>
      </c>
      <c r="B180" s="2">
        <f>IFERROR(__xludf.DUMMYFUNCTION("""COMPUTED_VALUE"""),33.71)</f>
        <v>33.71</v>
      </c>
      <c r="D180" s="3">
        <f>IFERROR(__xludf.DUMMYFUNCTION("""COMPUTED_VALUE"""),42264.66666666667)</f>
        <v>42264.66667</v>
      </c>
      <c r="E180" s="2">
        <f>IFERROR(__xludf.DUMMYFUNCTION("""COMPUTED_VALUE"""),5.83)</f>
        <v>5.83</v>
      </c>
      <c r="G180" s="3">
        <f>IFERROR(__xludf.DUMMYFUNCTION("""COMPUTED_VALUE"""),42505.99861111111)</f>
        <v>42505.99861</v>
      </c>
      <c r="H180" s="2">
        <f>IFERROR(__xludf.DUMMYFUNCTION("""COMPUTED_VALUE"""),461.47)</f>
        <v>461.47</v>
      </c>
    </row>
    <row r="181">
      <c r="A181" s="3">
        <f>IFERROR(__xludf.DUMMYFUNCTION("""COMPUTED_VALUE"""),42265.66666666667)</f>
        <v>42265.66667</v>
      </c>
      <c r="B181" s="2">
        <f>IFERROR(__xludf.DUMMYFUNCTION("""COMPUTED_VALUE"""),32.83)</f>
        <v>32.83</v>
      </c>
      <c r="D181" s="3">
        <f>IFERROR(__xludf.DUMMYFUNCTION("""COMPUTED_VALUE"""),42265.66666666667)</f>
        <v>42265.66667</v>
      </c>
      <c r="E181" s="2">
        <f>IFERROR(__xludf.DUMMYFUNCTION("""COMPUTED_VALUE"""),5.82)</f>
        <v>5.82</v>
      </c>
      <c r="G181" s="3">
        <f>IFERROR(__xludf.DUMMYFUNCTION("""COMPUTED_VALUE"""),42506.99861111111)</f>
        <v>42506.99861</v>
      </c>
      <c r="H181" s="2">
        <f>IFERROR(__xludf.DUMMYFUNCTION("""COMPUTED_VALUE"""),455.66)</f>
        <v>455.66</v>
      </c>
    </row>
    <row r="182">
      <c r="A182" s="3">
        <f>IFERROR(__xludf.DUMMYFUNCTION("""COMPUTED_VALUE"""),42268.66666666667)</f>
        <v>42268.66667</v>
      </c>
      <c r="B182" s="2">
        <f>IFERROR(__xludf.DUMMYFUNCTION("""COMPUTED_VALUE"""),32.9)</f>
        <v>32.9</v>
      </c>
      <c r="D182" s="3">
        <f>IFERROR(__xludf.DUMMYFUNCTION("""COMPUTED_VALUE"""),42268.66666666667)</f>
        <v>42268.66667</v>
      </c>
      <c r="E182" s="2">
        <f>IFERROR(__xludf.DUMMYFUNCTION("""COMPUTED_VALUE"""),5.88)</f>
        <v>5.88</v>
      </c>
      <c r="G182" s="3">
        <f>IFERROR(__xludf.DUMMYFUNCTION("""COMPUTED_VALUE"""),42507.99861111111)</f>
        <v>42507.99861</v>
      </c>
      <c r="H182" s="2">
        <f>IFERROR(__xludf.DUMMYFUNCTION("""COMPUTED_VALUE"""),454.19)</f>
        <v>454.19</v>
      </c>
    </row>
    <row r="183">
      <c r="A183" s="3">
        <f>IFERROR(__xludf.DUMMYFUNCTION("""COMPUTED_VALUE"""),42269.66666666667)</f>
        <v>42269.66667</v>
      </c>
      <c r="B183" s="2">
        <f>IFERROR(__xludf.DUMMYFUNCTION("""COMPUTED_VALUE"""),32.05)</f>
        <v>32.05</v>
      </c>
      <c r="D183" s="3">
        <f>IFERROR(__xludf.DUMMYFUNCTION("""COMPUTED_VALUE"""),42269.66666666667)</f>
        <v>42269.66667</v>
      </c>
      <c r="E183" s="2">
        <f>IFERROR(__xludf.DUMMYFUNCTION("""COMPUTED_VALUE"""),5.72)</f>
        <v>5.72</v>
      </c>
      <c r="G183" s="3">
        <f>IFERROR(__xludf.DUMMYFUNCTION("""COMPUTED_VALUE"""),42508.99861111111)</f>
        <v>42508.99861</v>
      </c>
      <c r="H183" s="2">
        <f>IFERROR(__xludf.DUMMYFUNCTION("""COMPUTED_VALUE"""),455.56)</f>
        <v>455.56</v>
      </c>
    </row>
    <row r="184">
      <c r="A184" s="3">
        <f>IFERROR(__xludf.DUMMYFUNCTION("""COMPUTED_VALUE"""),42270.66666666667)</f>
        <v>42270.66667</v>
      </c>
      <c r="B184" s="2">
        <f>IFERROR(__xludf.DUMMYFUNCTION("""COMPUTED_VALUE"""),31.78)</f>
        <v>31.78</v>
      </c>
      <c r="D184" s="3">
        <f>IFERROR(__xludf.DUMMYFUNCTION("""COMPUTED_VALUE"""),42270.66666666667)</f>
        <v>42270.66667</v>
      </c>
      <c r="E184" s="2">
        <f>IFERROR(__xludf.DUMMYFUNCTION("""COMPUTED_VALUE"""),5.75)</f>
        <v>5.75</v>
      </c>
      <c r="G184" s="3">
        <f>IFERROR(__xludf.DUMMYFUNCTION("""COMPUTED_VALUE"""),42509.99861111111)</f>
        <v>42509.99861</v>
      </c>
      <c r="H184" s="2">
        <f>IFERROR(__xludf.DUMMYFUNCTION("""COMPUTED_VALUE"""),438.38)</f>
        <v>438.38</v>
      </c>
    </row>
    <row r="185">
      <c r="A185" s="3">
        <f>IFERROR(__xludf.DUMMYFUNCTION("""COMPUTED_VALUE"""),42271.66666666667)</f>
        <v>42271.66667</v>
      </c>
      <c r="B185" s="2">
        <f>IFERROR(__xludf.DUMMYFUNCTION("""COMPUTED_VALUE"""),31.21)</f>
        <v>31.21</v>
      </c>
      <c r="D185" s="3">
        <f>IFERROR(__xludf.DUMMYFUNCTION("""COMPUTED_VALUE"""),42271.66666666667)</f>
        <v>42271.66667</v>
      </c>
      <c r="E185" s="2">
        <f>IFERROR(__xludf.DUMMYFUNCTION("""COMPUTED_VALUE"""),5.86)</f>
        <v>5.86</v>
      </c>
      <c r="G185" s="3">
        <f>IFERROR(__xludf.DUMMYFUNCTION("""COMPUTED_VALUE"""),42510.99861111111)</f>
        <v>42510.99861</v>
      </c>
      <c r="H185" s="2">
        <f>IFERROR(__xludf.DUMMYFUNCTION("""COMPUTED_VALUE"""),445.65)</f>
        <v>445.65</v>
      </c>
    </row>
    <row r="186">
      <c r="A186" s="3">
        <f>IFERROR(__xludf.DUMMYFUNCTION("""COMPUTED_VALUE"""),42272.66666666667)</f>
        <v>42272.66667</v>
      </c>
      <c r="B186" s="2">
        <f>IFERROR(__xludf.DUMMYFUNCTION("""COMPUTED_VALUE"""),31.01)</f>
        <v>31.01</v>
      </c>
      <c r="D186" s="3">
        <f>IFERROR(__xludf.DUMMYFUNCTION("""COMPUTED_VALUE"""),42272.66666666667)</f>
        <v>42272.66667</v>
      </c>
      <c r="E186" s="2">
        <f>IFERROR(__xludf.DUMMYFUNCTION("""COMPUTED_VALUE"""),5.9)</f>
        <v>5.9</v>
      </c>
      <c r="G186" s="3">
        <f>IFERROR(__xludf.DUMMYFUNCTION("""COMPUTED_VALUE"""),42511.99861111111)</f>
        <v>42511.99861</v>
      </c>
      <c r="H186" s="2">
        <f>IFERROR(__xludf.DUMMYFUNCTION("""COMPUTED_VALUE"""),446.28)</f>
        <v>446.28</v>
      </c>
    </row>
    <row r="187">
      <c r="A187" s="3">
        <f>IFERROR(__xludf.DUMMYFUNCTION("""COMPUTED_VALUE"""),42275.66666666667)</f>
        <v>42275.66667</v>
      </c>
      <c r="B187" s="2">
        <f>IFERROR(__xludf.DUMMYFUNCTION("""COMPUTED_VALUE"""),30.23)</f>
        <v>30.23</v>
      </c>
      <c r="D187" s="3">
        <f>IFERROR(__xludf.DUMMYFUNCTION("""COMPUTED_VALUE"""),42275.66666666667)</f>
        <v>42275.66667</v>
      </c>
      <c r="E187" s="2">
        <f>IFERROR(__xludf.DUMMYFUNCTION("""COMPUTED_VALUE"""),5.83)</f>
        <v>5.83</v>
      </c>
      <c r="G187" s="3">
        <f>IFERROR(__xludf.DUMMYFUNCTION("""COMPUTED_VALUE"""),42512.99861111111)</f>
        <v>42512.99861</v>
      </c>
      <c r="H187" s="2">
        <f>IFERROR(__xludf.DUMMYFUNCTION("""COMPUTED_VALUE"""),442.48)</f>
        <v>442.48</v>
      </c>
    </row>
    <row r="188">
      <c r="A188" s="3">
        <f>IFERROR(__xludf.DUMMYFUNCTION("""COMPUTED_VALUE"""),42276.66666666667)</f>
        <v>42276.66667</v>
      </c>
      <c r="B188" s="2">
        <f>IFERROR(__xludf.DUMMYFUNCTION("""COMPUTED_VALUE"""),30.17)</f>
        <v>30.17</v>
      </c>
      <c r="D188" s="3">
        <f>IFERROR(__xludf.DUMMYFUNCTION("""COMPUTED_VALUE"""),42276.66666666667)</f>
        <v>42276.66667</v>
      </c>
      <c r="E188" s="2">
        <f>IFERROR(__xludf.DUMMYFUNCTION("""COMPUTED_VALUE"""),5.93)</f>
        <v>5.93</v>
      </c>
      <c r="G188" s="3">
        <f>IFERROR(__xludf.DUMMYFUNCTION("""COMPUTED_VALUE"""),42513.99861111111)</f>
        <v>42513.99861</v>
      </c>
      <c r="H188" s="2">
        <f>IFERROR(__xludf.DUMMYFUNCTION("""COMPUTED_VALUE"""),445.67)</f>
        <v>445.67</v>
      </c>
    </row>
    <row r="189">
      <c r="A189" s="3">
        <f>IFERROR(__xludf.DUMMYFUNCTION("""COMPUTED_VALUE"""),42277.66666666667)</f>
        <v>42277.66667</v>
      </c>
      <c r="B189" s="2">
        <f>IFERROR(__xludf.DUMMYFUNCTION("""COMPUTED_VALUE"""),30.84)</f>
        <v>30.84</v>
      </c>
      <c r="D189" s="3">
        <f>IFERROR(__xludf.DUMMYFUNCTION("""COMPUTED_VALUE"""),42277.66666666667)</f>
        <v>42277.66667</v>
      </c>
      <c r="E189" s="2">
        <f>IFERROR(__xludf.DUMMYFUNCTION("""COMPUTED_VALUE"""),6.16)</f>
        <v>6.16</v>
      </c>
      <c r="G189" s="3">
        <f>IFERROR(__xludf.DUMMYFUNCTION("""COMPUTED_VALUE"""),42514.99861111111)</f>
        <v>42514.99861</v>
      </c>
      <c r="H189" s="2">
        <f>IFERROR(__xludf.DUMMYFUNCTION("""COMPUTED_VALUE"""),446.99)</f>
        <v>446.99</v>
      </c>
    </row>
    <row r="190">
      <c r="A190" s="3">
        <f>IFERROR(__xludf.DUMMYFUNCTION("""COMPUTED_VALUE"""),42278.66666666667)</f>
        <v>42278.66667</v>
      </c>
      <c r="B190" s="2">
        <f>IFERROR(__xludf.DUMMYFUNCTION("""COMPUTED_VALUE"""),30.43)</f>
        <v>30.43</v>
      </c>
      <c r="D190" s="3">
        <f>IFERROR(__xludf.DUMMYFUNCTION("""COMPUTED_VALUE"""),42278.66666666667)</f>
        <v>42278.66667</v>
      </c>
      <c r="E190" s="2">
        <f>IFERROR(__xludf.DUMMYFUNCTION("""COMPUTED_VALUE"""),6.04)</f>
        <v>6.04</v>
      </c>
      <c r="G190" s="3">
        <f>IFERROR(__xludf.DUMMYFUNCTION("""COMPUTED_VALUE"""),42515.99861111111)</f>
        <v>42515.99861</v>
      </c>
      <c r="H190" s="2">
        <f>IFERROR(__xludf.DUMMYFUNCTION("""COMPUTED_VALUE"""),451.49)</f>
        <v>451.49</v>
      </c>
    </row>
    <row r="191">
      <c r="A191" s="3">
        <f>IFERROR(__xludf.DUMMYFUNCTION("""COMPUTED_VALUE"""),42279.66666666667)</f>
        <v>42279.66667</v>
      </c>
      <c r="B191" s="2">
        <f>IFERROR(__xludf.DUMMYFUNCTION("""COMPUTED_VALUE"""),31.3)</f>
        <v>31.3</v>
      </c>
      <c r="D191" s="3">
        <f>IFERROR(__xludf.DUMMYFUNCTION("""COMPUTED_VALUE"""),42279.66666666667)</f>
        <v>42279.66667</v>
      </c>
      <c r="E191" s="2">
        <f>IFERROR(__xludf.DUMMYFUNCTION("""COMPUTED_VALUE"""),6.2)</f>
        <v>6.2</v>
      </c>
      <c r="G191" s="3">
        <f>IFERROR(__xludf.DUMMYFUNCTION("""COMPUTED_VALUE"""),42516.99861111111)</f>
        <v>42516.99861</v>
      </c>
      <c r="H191" s="2">
        <f>IFERROR(__xludf.DUMMYFUNCTION("""COMPUTED_VALUE"""),454.97)</f>
        <v>454.97</v>
      </c>
    </row>
    <row r="192">
      <c r="A192" s="3">
        <f>IFERROR(__xludf.DUMMYFUNCTION("""COMPUTED_VALUE"""),42282.66666666667)</f>
        <v>42282.66667</v>
      </c>
      <c r="B192" s="2">
        <f>IFERROR(__xludf.DUMMYFUNCTION("""COMPUTED_VALUE"""),32.1)</f>
        <v>32.1</v>
      </c>
      <c r="D192" s="3">
        <f>IFERROR(__xludf.DUMMYFUNCTION("""COMPUTED_VALUE"""),42282.66666666667)</f>
        <v>42282.66667</v>
      </c>
      <c r="E192" s="2">
        <f>IFERROR(__xludf.DUMMYFUNCTION("""COMPUTED_VALUE"""),6.36)</f>
        <v>6.36</v>
      </c>
      <c r="G192" s="3">
        <f>IFERROR(__xludf.DUMMYFUNCTION("""COMPUTED_VALUE"""),42517.99861111111)</f>
        <v>42517.99861</v>
      </c>
      <c r="H192" s="2">
        <f>IFERROR(__xludf.DUMMYFUNCTION("""COMPUTED_VALUE"""),471.27)</f>
        <v>471.27</v>
      </c>
    </row>
    <row r="193">
      <c r="A193" s="3">
        <f>IFERROR(__xludf.DUMMYFUNCTION("""COMPUTED_VALUE"""),42283.66666666667)</f>
        <v>42283.66667</v>
      </c>
      <c r="B193" s="2">
        <f>IFERROR(__xludf.DUMMYFUNCTION("""COMPUTED_VALUE"""),32.15)</f>
        <v>32.15</v>
      </c>
      <c r="D193" s="3">
        <f>IFERROR(__xludf.DUMMYFUNCTION("""COMPUTED_VALUE"""),42283.66666666667)</f>
        <v>42283.66667</v>
      </c>
      <c r="E193" s="2">
        <f>IFERROR(__xludf.DUMMYFUNCTION("""COMPUTED_VALUE"""),6.44)</f>
        <v>6.44</v>
      </c>
      <c r="G193" s="3">
        <f>IFERROR(__xludf.DUMMYFUNCTION("""COMPUTED_VALUE"""),42518.99861111111)</f>
        <v>42518.99861</v>
      </c>
      <c r="H193" s="2">
        <f>IFERROR(__xludf.DUMMYFUNCTION("""COMPUTED_VALUE"""),523.25)</f>
        <v>523.25</v>
      </c>
    </row>
    <row r="194">
      <c r="A194" s="3">
        <f>IFERROR(__xludf.DUMMYFUNCTION("""COMPUTED_VALUE"""),42284.66666666667)</f>
        <v>42284.66667</v>
      </c>
      <c r="B194" s="2">
        <f>IFERROR(__xludf.DUMMYFUNCTION("""COMPUTED_VALUE"""),32.7)</f>
        <v>32.7</v>
      </c>
      <c r="D194" s="3">
        <f>IFERROR(__xludf.DUMMYFUNCTION("""COMPUTED_VALUE"""),42284.66666666667)</f>
        <v>42284.66667</v>
      </c>
      <c r="E194" s="2">
        <f>IFERROR(__xludf.DUMMYFUNCTION("""COMPUTED_VALUE"""),6.51)</f>
        <v>6.51</v>
      </c>
      <c r="G194" s="3">
        <f>IFERROR(__xludf.DUMMYFUNCTION("""COMPUTED_VALUE"""),42519.99861111111)</f>
        <v>42519.99861</v>
      </c>
      <c r="H194" s="2">
        <f>IFERROR(__xludf.DUMMYFUNCTION("""COMPUTED_VALUE"""),525.22)</f>
        <v>525.22</v>
      </c>
    </row>
    <row r="195">
      <c r="A195" s="3">
        <f>IFERROR(__xludf.DUMMYFUNCTION("""COMPUTED_VALUE"""),42285.66666666667)</f>
        <v>42285.66667</v>
      </c>
      <c r="B195" s="2">
        <f>IFERROR(__xludf.DUMMYFUNCTION("""COMPUTED_VALUE"""),33.12)</f>
        <v>33.12</v>
      </c>
      <c r="D195" s="3">
        <f>IFERROR(__xludf.DUMMYFUNCTION("""COMPUTED_VALUE"""),42285.66666666667)</f>
        <v>42285.66667</v>
      </c>
      <c r="E195" s="2">
        <f>IFERROR(__xludf.DUMMYFUNCTION("""COMPUTED_VALUE"""),6.54)</f>
        <v>6.54</v>
      </c>
      <c r="G195" s="3">
        <f>IFERROR(__xludf.DUMMYFUNCTION("""COMPUTED_VALUE"""),42520.99861111111)</f>
        <v>42520.99861</v>
      </c>
      <c r="H195" s="2">
        <f>IFERROR(__xludf.DUMMYFUNCTION("""COMPUTED_VALUE"""),532.55)</f>
        <v>532.55</v>
      </c>
    </row>
    <row r="196">
      <c r="A196" s="3">
        <f>IFERROR(__xludf.DUMMYFUNCTION("""COMPUTED_VALUE"""),42286.66666666667)</f>
        <v>42286.66667</v>
      </c>
      <c r="B196" s="2">
        <f>IFERROR(__xludf.DUMMYFUNCTION("""COMPUTED_VALUE"""),32.68)</f>
        <v>32.68</v>
      </c>
      <c r="D196" s="3">
        <f>IFERROR(__xludf.DUMMYFUNCTION("""COMPUTED_VALUE"""),42286.66666666667)</f>
        <v>42286.66667</v>
      </c>
      <c r="E196" s="2">
        <f>IFERROR(__xludf.DUMMYFUNCTION("""COMPUTED_VALUE"""),6.52)</f>
        <v>6.52</v>
      </c>
      <c r="G196" s="3">
        <f>IFERROR(__xludf.DUMMYFUNCTION("""COMPUTED_VALUE"""),42521.99861111111)</f>
        <v>42521.99861</v>
      </c>
      <c r="H196" s="2">
        <f>IFERROR(__xludf.DUMMYFUNCTION("""COMPUTED_VALUE"""),531.34)</f>
        <v>531.34</v>
      </c>
    </row>
    <row r="197">
      <c r="A197" s="3">
        <f>IFERROR(__xludf.DUMMYFUNCTION("""COMPUTED_VALUE"""),42289.66666666667)</f>
        <v>42289.66667</v>
      </c>
      <c r="B197" s="2">
        <f>IFERROR(__xludf.DUMMYFUNCTION("""COMPUTED_VALUE"""),32.3)</f>
        <v>32.3</v>
      </c>
      <c r="D197" s="3">
        <f>IFERROR(__xludf.DUMMYFUNCTION("""COMPUTED_VALUE"""),42289.66666666667)</f>
        <v>42289.66667</v>
      </c>
      <c r="E197" s="2">
        <f>IFERROR(__xludf.DUMMYFUNCTION("""COMPUTED_VALUE"""),6.59)</f>
        <v>6.59</v>
      </c>
      <c r="G197" s="3">
        <f>IFERROR(__xludf.DUMMYFUNCTION("""COMPUTED_VALUE"""),42522.99861111111)</f>
        <v>42522.99861</v>
      </c>
      <c r="H197" s="2">
        <f>IFERROR(__xludf.DUMMYFUNCTION("""COMPUTED_VALUE"""),534.84)</f>
        <v>534.84</v>
      </c>
    </row>
    <row r="198">
      <c r="A198" s="3">
        <f>IFERROR(__xludf.DUMMYFUNCTION("""COMPUTED_VALUE"""),42290.66666666667)</f>
        <v>42290.66667</v>
      </c>
      <c r="B198" s="2">
        <f>IFERROR(__xludf.DUMMYFUNCTION("""COMPUTED_VALUE"""),32.0)</f>
        <v>32</v>
      </c>
      <c r="D198" s="3">
        <f>IFERROR(__xludf.DUMMYFUNCTION("""COMPUTED_VALUE"""),42290.66666666667)</f>
        <v>42290.66667</v>
      </c>
      <c r="E198" s="2">
        <f>IFERROR(__xludf.DUMMYFUNCTION("""COMPUTED_VALUE"""),6.6)</f>
        <v>6.6</v>
      </c>
      <c r="G198" s="3">
        <f>IFERROR(__xludf.DUMMYFUNCTION("""COMPUTED_VALUE"""),42523.99861111111)</f>
        <v>42523.99861</v>
      </c>
      <c r="H198" s="2">
        <f>IFERROR(__xludf.DUMMYFUNCTION("""COMPUTED_VALUE"""),537.87)</f>
        <v>537.87</v>
      </c>
    </row>
    <row r="199">
      <c r="A199" s="3">
        <f>IFERROR(__xludf.DUMMYFUNCTION("""COMPUTED_VALUE"""),42291.66666666667)</f>
        <v>42291.66667</v>
      </c>
      <c r="B199" s="2">
        <f>IFERROR(__xludf.DUMMYFUNCTION("""COMPUTED_VALUE"""),32.44)</f>
        <v>32.44</v>
      </c>
      <c r="D199" s="3">
        <f>IFERROR(__xludf.DUMMYFUNCTION("""COMPUTED_VALUE"""),42291.66666666667)</f>
        <v>42291.66667</v>
      </c>
      <c r="E199" s="2">
        <f>IFERROR(__xludf.DUMMYFUNCTION("""COMPUTED_VALUE"""),6.84)</f>
        <v>6.84</v>
      </c>
      <c r="G199" s="3">
        <f>IFERROR(__xludf.DUMMYFUNCTION("""COMPUTED_VALUE"""),42524.99861111111)</f>
        <v>42524.99861</v>
      </c>
      <c r="H199" s="2">
        <f>IFERROR(__xludf.DUMMYFUNCTION("""COMPUTED_VALUE"""),571.25)</f>
        <v>571.25</v>
      </c>
    </row>
    <row r="200">
      <c r="A200" s="3">
        <f>IFERROR(__xludf.DUMMYFUNCTION("""COMPUTED_VALUE"""),42292.66666666667)</f>
        <v>42292.66667</v>
      </c>
      <c r="B200" s="2">
        <f>IFERROR(__xludf.DUMMYFUNCTION("""COMPUTED_VALUE"""),32.76)</f>
        <v>32.76</v>
      </c>
      <c r="D200" s="3">
        <f>IFERROR(__xludf.DUMMYFUNCTION("""COMPUTED_VALUE"""),42292.66666666667)</f>
        <v>42292.66667</v>
      </c>
      <c r="E200" s="2">
        <f>IFERROR(__xludf.DUMMYFUNCTION("""COMPUTED_VALUE"""),6.86)</f>
        <v>6.86</v>
      </c>
      <c r="G200" s="3">
        <f>IFERROR(__xludf.DUMMYFUNCTION("""COMPUTED_VALUE"""),42525.99861111111)</f>
        <v>42525.99861</v>
      </c>
      <c r="H200" s="2">
        <f>IFERROR(__xludf.DUMMYFUNCTION("""COMPUTED_VALUE"""),576.31)</f>
        <v>576.31</v>
      </c>
    </row>
    <row r="201">
      <c r="A201" s="3">
        <f>IFERROR(__xludf.DUMMYFUNCTION("""COMPUTED_VALUE"""),42293.66666666667)</f>
        <v>42293.66667</v>
      </c>
      <c r="B201" s="2">
        <f>IFERROR(__xludf.DUMMYFUNCTION("""COMPUTED_VALUE"""),32.59)</f>
        <v>32.59</v>
      </c>
      <c r="D201" s="3">
        <f>IFERROR(__xludf.DUMMYFUNCTION("""COMPUTED_VALUE"""),42293.66666666667)</f>
        <v>42293.66667</v>
      </c>
      <c r="E201" s="2">
        <f>IFERROR(__xludf.DUMMYFUNCTION("""COMPUTED_VALUE"""),6.97)</f>
        <v>6.97</v>
      </c>
      <c r="G201" s="3">
        <f>IFERROR(__xludf.DUMMYFUNCTION("""COMPUTED_VALUE"""),42526.99861111111)</f>
        <v>42526.99861</v>
      </c>
      <c r="H201" s="2">
        <f>IFERROR(__xludf.DUMMYFUNCTION("""COMPUTED_VALUE"""),575.17)</f>
        <v>575.17</v>
      </c>
    </row>
    <row r="202">
      <c r="A202" s="3">
        <f>IFERROR(__xludf.DUMMYFUNCTION("""COMPUTED_VALUE"""),42296.66666666667)</f>
        <v>42296.66667</v>
      </c>
      <c r="B202" s="2">
        <f>IFERROR(__xludf.DUMMYFUNCTION("""COMPUTED_VALUE"""),32.03)</f>
        <v>32.03</v>
      </c>
      <c r="D202" s="3">
        <f>IFERROR(__xludf.DUMMYFUNCTION("""COMPUTED_VALUE"""),42296.66666666667)</f>
        <v>42296.66667</v>
      </c>
      <c r="E202" s="2">
        <f>IFERROR(__xludf.DUMMYFUNCTION("""COMPUTED_VALUE"""),6.95)</f>
        <v>6.95</v>
      </c>
      <c r="G202" s="3">
        <f>IFERROR(__xludf.DUMMYFUNCTION("""COMPUTED_VALUE"""),42527.99861111111)</f>
        <v>42527.99861</v>
      </c>
      <c r="H202" s="2">
        <f>IFERROR(__xludf.DUMMYFUNCTION("""COMPUTED_VALUE"""),586.77)</f>
        <v>586.77</v>
      </c>
    </row>
    <row r="203">
      <c r="A203" s="3">
        <f>IFERROR(__xludf.DUMMYFUNCTION("""COMPUTED_VALUE"""),42297.66666666667)</f>
        <v>42297.66667</v>
      </c>
      <c r="B203" s="2">
        <f>IFERROR(__xludf.DUMMYFUNCTION("""COMPUTED_VALUE"""),32.0)</f>
        <v>32</v>
      </c>
      <c r="D203" s="3">
        <f>IFERROR(__xludf.DUMMYFUNCTION("""COMPUTED_VALUE"""),42297.66666666667)</f>
        <v>42297.66667</v>
      </c>
      <c r="E203" s="2">
        <f>IFERROR(__xludf.DUMMYFUNCTION("""COMPUTED_VALUE"""),6.94)</f>
        <v>6.94</v>
      </c>
      <c r="G203" s="3">
        <f>IFERROR(__xludf.DUMMYFUNCTION("""COMPUTED_VALUE"""),42528.99861111111)</f>
        <v>42528.99861</v>
      </c>
      <c r="H203" s="2">
        <f>IFERROR(__xludf.DUMMYFUNCTION("""COMPUTED_VALUE"""),579.71)</f>
        <v>579.71</v>
      </c>
    </row>
    <row r="204">
      <c r="A204" s="3">
        <f>IFERROR(__xludf.DUMMYFUNCTION("""COMPUTED_VALUE"""),42298.66666666667)</f>
        <v>42298.66667</v>
      </c>
      <c r="B204" s="2">
        <f>IFERROR(__xludf.DUMMYFUNCTION("""COMPUTED_VALUE"""),31.53)</f>
        <v>31.53</v>
      </c>
      <c r="D204" s="3">
        <f>IFERROR(__xludf.DUMMYFUNCTION("""COMPUTED_VALUE"""),42298.66666666667)</f>
        <v>42298.66667</v>
      </c>
      <c r="E204" s="2">
        <f>IFERROR(__xludf.DUMMYFUNCTION("""COMPUTED_VALUE"""),6.85)</f>
        <v>6.85</v>
      </c>
      <c r="G204" s="3">
        <f>IFERROR(__xludf.DUMMYFUNCTION("""COMPUTED_VALUE"""),42529.99861111111)</f>
        <v>42529.99861</v>
      </c>
      <c r="H204" s="2">
        <f>IFERROR(__xludf.DUMMYFUNCTION("""COMPUTED_VALUE"""),583.21)</f>
        <v>583.21</v>
      </c>
    </row>
    <row r="205">
      <c r="A205" s="3">
        <f>IFERROR(__xludf.DUMMYFUNCTION("""COMPUTED_VALUE"""),42299.66666666667)</f>
        <v>42299.66667</v>
      </c>
      <c r="B205" s="2">
        <f>IFERROR(__xludf.DUMMYFUNCTION("""COMPUTED_VALUE"""),32.01)</f>
        <v>32.01</v>
      </c>
      <c r="D205" s="3">
        <f>IFERROR(__xludf.DUMMYFUNCTION("""COMPUTED_VALUE"""),42299.66666666667)</f>
        <v>42299.66667</v>
      </c>
      <c r="E205" s="2">
        <f>IFERROR(__xludf.DUMMYFUNCTION("""COMPUTED_VALUE"""),7.1)</f>
        <v>7.1</v>
      </c>
      <c r="G205" s="3">
        <f>IFERROR(__xludf.DUMMYFUNCTION("""COMPUTED_VALUE"""),42530.99861111111)</f>
        <v>42530.99861</v>
      </c>
      <c r="H205" s="2">
        <f>IFERROR(__xludf.DUMMYFUNCTION("""COMPUTED_VALUE"""),577.46)</f>
        <v>577.46</v>
      </c>
    </row>
    <row r="206">
      <c r="A206" s="3">
        <f>IFERROR(__xludf.DUMMYFUNCTION("""COMPUTED_VALUE"""),42300.66666666667)</f>
        <v>42300.66667</v>
      </c>
      <c r="B206" s="2">
        <f>IFERROR(__xludf.DUMMYFUNCTION("""COMPUTED_VALUE"""),32.3)</f>
        <v>32.3</v>
      </c>
      <c r="D206" s="3">
        <f>IFERROR(__xludf.DUMMYFUNCTION("""COMPUTED_VALUE"""),42300.66666666667)</f>
        <v>42300.66667</v>
      </c>
      <c r="E206" s="2">
        <f>IFERROR(__xludf.DUMMYFUNCTION("""COMPUTED_VALUE"""),7.15)</f>
        <v>7.15</v>
      </c>
      <c r="G206" s="3">
        <f>IFERROR(__xludf.DUMMYFUNCTION("""COMPUTED_VALUE"""),42531.99861111111)</f>
        <v>42531.99861</v>
      </c>
      <c r="H206" s="2">
        <f>IFERROR(__xludf.DUMMYFUNCTION("""COMPUTED_VALUE"""),580.31)</f>
        <v>580.31</v>
      </c>
    </row>
    <row r="207">
      <c r="A207" s="3">
        <f>IFERROR(__xludf.DUMMYFUNCTION("""COMPUTED_VALUE"""),42303.66666666667)</f>
        <v>42303.66667</v>
      </c>
      <c r="B207" s="2">
        <f>IFERROR(__xludf.DUMMYFUNCTION("""COMPUTED_VALUE"""),32.01)</f>
        <v>32.01</v>
      </c>
      <c r="D207" s="3">
        <f>IFERROR(__xludf.DUMMYFUNCTION("""COMPUTED_VALUE"""),42303.66666666667)</f>
        <v>42303.66667</v>
      </c>
      <c r="E207" s="2">
        <f>IFERROR(__xludf.DUMMYFUNCTION("""COMPUTED_VALUE"""),7.12)</f>
        <v>7.12</v>
      </c>
      <c r="G207" s="3">
        <f>IFERROR(__xludf.DUMMYFUNCTION("""COMPUTED_VALUE"""),42532.99861111111)</f>
        <v>42532.99861</v>
      </c>
      <c r="H207" s="2">
        <f>IFERROR(__xludf.DUMMYFUNCTION("""COMPUTED_VALUE"""),609.5)</f>
        <v>609.5</v>
      </c>
    </row>
    <row r="208">
      <c r="A208" s="3">
        <f>IFERROR(__xludf.DUMMYFUNCTION("""COMPUTED_VALUE"""),42304.66666666667)</f>
        <v>42304.66667</v>
      </c>
      <c r="B208" s="2">
        <f>IFERROR(__xludf.DUMMYFUNCTION("""COMPUTED_VALUE"""),31.8)</f>
        <v>31.8</v>
      </c>
      <c r="D208" s="3">
        <f>IFERROR(__xludf.DUMMYFUNCTION("""COMPUTED_VALUE"""),42304.66666666667)</f>
        <v>42304.66667</v>
      </c>
      <c r="E208" s="2">
        <f>IFERROR(__xludf.DUMMYFUNCTION("""COMPUTED_VALUE"""),7.11)</f>
        <v>7.11</v>
      </c>
      <c r="G208" s="3">
        <f>IFERROR(__xludf.DUMMYFUNCTION("""COMPUTED_VALUE"""),42533.99861111111)</f>
        <v>42533.99861</v>
      </c>
      <c r="H208" s="2">
        <f>IFERROR(__xludf.DUMMYFUNCTION("""COMPUTED_VALUE"""),677.86)</f>
        <v>677.86</v>
      </c>
    </row>
    <row r="209">
      <c r="A209" s="3">
        <f>IFERROR(__xludf.DUMMYFUNCTION("""COMPUTED_VALUE"""),42305.66666666667)</f>
        <v>42305.66667</v>
      </c>
      <c r="B209" s="2">
        <f>IFERROR(__xludf.DUMMYFUNCTION("""COMPUTED_VALUE"""),32.99)</f>
        <v>32.99</v>
      </c>
      <c r="D209" s="3">
        <f>IFERROR(__xludf.DUMMYFUNCTION("""COMPUTED_VALUE"""),42305.66666666667)</f>
        <v>42305.66667</v>
      </c>
      <c r="E209" s="2">
        <f>IFERROR(__xludf.DUMMYFUNCTION("""COMPUTED_VALUE"""),7.17)</f>
        <v>7.17</v>
      </c>
      <c r="G209" s="3">
        <f>IFERROR(__xludf.DUMMYFUNCTION("""COMPUTED_VALUE"""),42534.99861111111)</f>
        <v>42534.99861</v>
      </c>
      <c r="H209" s="2">
        <f>IFERROR(__xludf.DUMMYFUNCTION("""COMPUTED_VALUE"""),706.01)</f>
        <v>706.01</v>
      </c>
    </row>
    <row r="210">
      <c r="A210" s="3">
        <f>IFERROR(__xludf.DUMMYFUNCTION("""COMPUTED_VALUE"""),42306.66666666667)</f>
        <v>42306.66667</v>
      </c>
      <c r="B210" s="2">
        <f>IFERROR(__xludf.DUMMYFUNCTION("""COMPUTED_VALUE"""),33.06)</f>
        <v>33.06</v>
      </c>
      <c r="D210" s="3">
        <f>IFERROR(__xludf.DUMMYFUNCTION("""COMPUTED_VALUE"""),42306.66666666667)</f>
        <v>42306.66667</v>
      </c>
      <c r="E210" s="2">
        <f>IFERROR(__xludf.DUMMYFUNCTION("""COMPUTED_VALUE"""),6.92)</f>
        <v>6.92</v>
      </c>
      <c r="G210" s="3">
        <f>IFERROR(__xludf.DUMMYFUNCTION("""COMPUTED_VALUE"""),42535.99861111111)</f>
        <v>42535.99861</v>
      </c>
      <c r="H210" s="2">
        <f>IFERROR(__xludf.DUMMYFUNCTION("""COMPUTED_VALUE"""),684.95)</f>
        <v>684.95</v>
      </c>
    </row>
    <row r="211">
      <c r="A211" s="3">
        <f>IFERROR(__xludf.DUMMYFUNCTION("""COMPUTED_VALUE"""),42307.66666666667)</f>
        <v>42307.66667</v>
      </c>
      <c r="B211" s="2">
        <f>IFERROR(__xludf.DUMMYFUNCTION("""COMPUTED_VALUE"""),33.08)</f>
        <v>33.08</v>
      </c>
      <c r="D211" s="3">
        <f>IFERROR(__xludf.DUMMYFUNCTION("""COMPUTED_VALUE"""),42307.66666666667)</f>
        <v>42307.66667</v>
      </c>
      <c r="E211" s="2">
        <f>IFERROR(__xludf.DUMMYFUNCTION("""COMPUTED_VALUE"""),7.09)</f>
        <v>7.09</v>
      </c>
      <c r="G211" s="3">
        <f>IFERROR(__xludf.DUMMYFUNCTION("""COMPUTED_VALUE"""),42536.99861111111)</f>
        <v>42536.99861</v>
      </c>
      <c r="H211" s="2">
        <f>IFERROR(__xludf.DUMMYFUNCTION("""COMPUTED_VALUE"""),698.78)</f>
        <v>698.78</v>
      </c>
    </row>
    <row r="212">
      <c r="A212" s="3">
        <f>IFERROR(__xludf.DUMMYFUNCTION("""COMPUTED_VALUE"""),42310.66666666667)</f>
        <v>42310.66667</v>
      </c>
      <c r="B212" s="2">
        <f>IFERROR(__xludf.DUMMYFUNCTION("""COMPUTED_VALUE"""),33.37)</f>
        <v>33.37</v>
      </c>
      <c r="D212" s="3">
        <f>IFERROR(__xludf.DUMMYFUNCTION("""COMPUTED_VALUE"""),42310.66666666667)</f>
        <v>42310.66667</v>
      </c>
      <c r="E212" s="2">
        <f>IFERROR(__xludf.DUMMYFUNCTION("""COMPUTED_VALUE"""),7.18)</f>
        <v>7.18</v>
      </c>
      <c r="G212" s="3">
        <f>IFERROR(__xludf.DUMMYFUNCTION("""COMPUTED_VALUE"""),42537.99861111111)</f>
        <v>42537.99861</v>
      </c>
      <c r="H212" s="2">
        <f>IFERROR(__xludf.DUMMYFUNCTION("""COMPUTED_VALUE"""),769.76)</f>
        <v>769.76</v>
      </c>
    </row>
    <row r="213">
      <c r="A213" s="3">
        <f>IFERROR(__xludf.DUMMYFUNCTION("""COMPUTED_VALUE"""),42311.66666666667)</f>
        <v>42311.66667</v>
      </c>
      <c r="B213" s="2">
        <f>IFERROR(__xludf.DUMMYFUNCTION("""COMPUTED_VALUE"""),33.08)</f>
        <v>33.08</v>
      </c>
      <c r="D213" s="3">
        <f>IFERROR(__xludf.DUMMYFUNCTION("""COMPUTED_VALUE"""),42311.66666666667)</f>
        <v>42311.66667</v>
      </c>
      <c r="E213" s="2">
        <f>IFERROR(__xludf.DUMMYFUNCTION("""COMPUTED_VALUE"""),7.13)</f>
        <v>7.13</v>
      </c>
      <c r="G213" s="3">
        <f>IFERROR(__xludf.DUMMYFUNCTION("""COMPUTED_VALUE"""),42538.99861111111)</f>
        <v>42538.99861</v>
      </c>
      <c r="H213" s="2">
        <f>IFERROR(__xludf.DUMMYFUNCTION("""COMPUTED_VALUE"""),752.26)</f>
        <v>752.26</v>
      </c>
    </row>
    <row r="214">
      <c r="A214" s="3">
        <f>IFERROR(__xludf.DUMMYFUNCTION("""COMPUTED_VALUE"""),42312.66666666667)</f>
        <v>42312.66667</v>
      </c>
      <c r="B214" s="2">
        <f>IFERROR(__xludf.DUMMYFUNCTION("""COMPUTED_VALUE"""),32.7)</f>
        <v>32.7</v>
      </c>
      <c r="D214" s="3">
        <f>IFERROR(__xludf.DUMMYFUNCTION("""COMPUTED_VALUE"""),42312.66666666667)</f>
        <v>42312.66667</v>
      </c>
      <c r="E214" s="2">
        <f>IFERROR(__xludf.DUMMYFUNCTION("""COMPUTED_VALUE"""),7.01)</f>
        <v>7.01</v>
      </c>
      <c r="G214" s="3">
        <f>IFERROR(__xludf.DUMMYFUNCTION("""COMPUTED_VALUE"""),42539.99861111111)</f>
        <v>42539.99861</v>
      </c>
      <c r="H214" s="2">
        <f>IFERROR(__xludf.DUMMYFUNCTION("""COMPUTED_VALUE"""),758.99)</f>
        <v>758.99</v>
      </c>
    </row>
    <row r="215">
      <c r="A215" s="3">
        <f>IFERROR(__xludf.DUMMYFUNCTION("""COMPUTED_VALUE"""),42313.66666666667)</f>
        <v>42313.66667</v>
      </c>
      <c r="B215" s="2">
        <f>IFERROR(__xludf.DUMMYFUNCTION("""COMPUTED_VALUE"""),32.27)</f>
        <v>32.27</v>
      </c>
      <c r="D215" s="3">
        <f>IFERROR(__xludf.DUMMYFUNCTION("""COMPUTED_VALUE"""),42313.66666666667)</f>
        <v>42313.66667</v>
      </c>
      <c r="E215" s="2">
        <f>IFERROR(__xludf.DUMMYFUNCTION("""COMPUTED_VALUE"""),6.93)</f>
        <v>6.93</v>
      </c>
      <c r="G215" s="3">
        <f>IFERROR(__xludf.DUMMYFUNCTION("""COMPUTED_VALUE"""),42540.99861111111)</f>
        <v>42540.99861</v>
      </c>
      <c r="H215" s="2">
        <f>IFERROR(__xludf.DUMMYFUNCTION("""COMPUTED_VALUE"""),768.76)</f>
        <v>768.76</v>
      </c>
    </row>
    <row r="216">
      <c r="A216" s="3">
        <f>IFERROR(__xludf.DUMMYFUNCTION("""COMPUTED_VALUE"""),42314.66666666667)</f>
        <v>42314.66667</v>
      </c>
      <c r="B216" s="2">
        <f>IFERROR(__xludf.DUMMYFUNCTION("""COMPUTED_VALUE"""),31.99)</f>
        <v>31.99</v>
      </c>
      <c r="D216" s="3">
        <f>IFERROR(__xludf.DUMMYFUNCTION("""COMPUTED_VALUE"""),42314.66666666667)</f>
        <v>42314.66667</v>
      </c>
      <c r="E216" s="2">
        <f>IFERROR(__xludf.DUMMYFUNCTION("""COMPUTED_VALUE"""),7.89)</f>
        <v>7.89</v>
      </c>
      <c r="G216" s="3">
        <f>IFERROR(__xludf.DUMMYFUNCTION("""COMPUTED_VALUE"""),42541.99861111111)</f>
        <v>42541.99861</v>
      </c>
      <c r="H216" s="2">
        <f>IFERROR(__xludf.DUMMYFUNCTION("""COMPUTED_VALUE"""),703.12)</f>
        <v>703.12</v>
      </c>
    </row>
    <row r="217">
      <c r="A217" s="3">
        <f>IFERROR(__xludf.DUMMYFUNCTION("""COMPUTED_VALUE"""),42317.66666666667)</f>
        <v>42317.66667</v>
      </c>
      <c r="B217" s="2">
        <f>IFERROR(__xludf.DUMMYFUNCTION("""COMPUTED_VALUE"""),31.66)</f>
        <v>31.66</v>
      </c>
      <c r="D217" s="3">
        <f>IFERROR(__xludf.DUMMYFUNCTION("""COMPUTED_VALUE"""),42317.66666666667)</f>
        <v>42317.66667</v>
      </c>
      <c r="E217" s="2">
        <f>IFERROR(__xludf.DUMMYFUNCTION("""COMPUTED_VALUE"""),7.85)</f>
        <v>7.85</v>
      </c>
      <c r="G217" s="3">
        <f>IFERROR(__xludf.DUMMYFUNCTION("""COMPUTED_VALUE"""),42542.99861111111)</f>
        <v>42542.99861</v>
      </c>
      <c r="H217" s="2">
        <f>IFERROR(__xludf.DUMMYFUNCTION("""COMPUTED_VALUE"""),667.66)</f>
        <v>667.66</v>
      </c>
    </row>
    <row r="218">
      <c r="A218" s="3">
        <f>IFERROR(__xludf.DUMMYFUNCTION("""COMPUTED_VALUE"""),42318.66666666667)</f>
        <v>42318.66667</v>
      </c>
      <c r="B218" s="2">
        <f>IFERROR(__xludf.DUMMYFUNCTION("""COMPUTED_VALUE"""),30.84)</f>
        <v>30.84</v>
      </c>
      <c r="D218" s="3">
        <f>IFERROR(__xludf.DUMMYFUNCTION("""COMPUTED_VALUE"""),42318.66666666667)</f>
        <v>42318.66667</v>
      </c>
      <c r="E218" s="2">
        <f>IFERROR(__xludf.DUMMYFUNCTION("""COMPUTED_VALUE"""),7.7)</f>
        <v>7.7</v>
      </c>
      <c r="G218" s="3">
        <f>IFERROR(__xludf.DUMMYFUNCTION("""COMPUTED_VALUE"""),42543.99861111111)</f>
        <v>42543.99861</v>
      </c>
      <c r="H218" s="2">
        <f>IFERROR(__xludf.DUMMYFUNCTION("""COMPUTED_VALUE"""),604.5)</f>
        <v>604.5</v>
      </c>
    </row>
    <row r="219">
      <c r="A219" s="3">
        <f>IFERROR(__xludf.DUMMYFUNCTION("""COMPUTED_VALUE"""),42319.66666666667)</f>
        <v>42319.66667</v>
      </c>
      <c r="B219" s="2">
        <f>IFERROR(__xludf.DUMMYFUNCTION("""COMPUTED_VALUE"""),31.05)</f>
        <v>31.05</v>
      </c>
      <c r="D219" s="3">
        <f>IFERROR(__xludf.DUMMYFUNCTION("""COMPUTED_VALUE"""),42319.66666666667)</f>
        <v>42319.66667</v>
      </c>
      <c r="E219" s="2">
        <f>IFERROR(__xludf.DUMMYFUNCTION("""COMPUTED_VALUE"""),7.63)</f>
        <v>7.63</v>
      </c>
      <c r="G219" s="3">
        <f>IFERROR(__xludf.DUMMYFUNCTION("""COMPUTED_VALUE"""),42544.99861111111)</f>
        <v>42544.99861</v>
      </c>
      <c r="H219" s="2">
        <f>IFERROR(__xludf.DUMMYFUNCTION("""COMPUTED_VALUE"""),631.1)</f>
        <v>631.1</v>
      </c>
    </row>
    <row r="220">
      <c r="A220" s="3">
        <f>IFERROR(__xludf.DUMMYFUNCTION("""COMPUTED_VALUE"""),42320.66666666667)</f>
        <v>42320.66667</v>
      </c>
      <c r="B220" s="2">
        <f>IFERROR(__xludf.DUMMYFUNCTION("""COMPUTED_VALUE"""),30.32)</f>
        <v>30.32</v>
      </c>
      <c r="D220" s="3">
        <f>IFERROR(__xludf.DUMMYFUNCTION("""COMPUTED_VALUE"""),42320.66666666667)</f>
        <v>42320.66667</v>
      </c>
      <c r="E220" s="2">
        <f>IFERROR(__xludf.DUMMYFUNCTION("""COMPUTED_VALUE"""),7.6)</f>
        <v>7.6</v>
      </c>
      <c r="G220" s="3">
        <f>IFERROR(__xludf.DUMMYFUNCTION("""COMPUTED_VALUE"""),42545.99861111111)</f>
        <v>42545.99861</v>
      </c>
      <c r="H220" s="2">
        <f>IFERROR(__xludf.DUMMYFUNCTION("""COMPUTED_VALUE"""),669.98)</f>
        <v>669.98</v>
      </c>
    </row>
    <row r="221">
      <c r="A221" s="3">
        <f>IFERROR(__xludf.DUMMYFUNCTION("""COMPUTED_VALUE"""),42321.66666666667)</f>
        <v>42321.66667</v>
      </c>
      <c r="B221" s="2">
        <f>IFERROR(__xludf.DUMMYFUNCTION("""COMPUTED_VALUE"""),30.38)</f>
        <v>30.38</v>
      </c>
      <c r="D221" s="3">
        <f>IFERROR(__xludf.DUMMYFUNCTION("""COMPUTED_VALUE"""),42321.66666666667)</f>
        <v>42321.66667</v>
      </c>
      <c r="E221" s="2">
        <f>IFERROR(__xludf.DUMMYFUNCTION("""COMPUTED_VALUE"""),7.45)</f>
        <v>7.45</v>
      </c>
      <c r="G221" s="3">
        <f>IFERROR(__xludf.DUMMYFUNCTION("""COMPUTED_VALUE"""),42546.99861111111)</f>
        <v>42546.99861</v>
      </c>
      <c r="H221" s="2">
        <f>IFERROR(__xludf.DUMMYFUNCTION("""COMPUTED_VALUE"""),673.71)</f>
        <v>673.71</v>
      </c>
    </row>
    <row r="222">
      <c r="A222" s="3">
        <f>IFERROR(__xludf.DUMMYFUNCTION("""COMPUTED_VALUE"""),42324.66666666667)</f>
        <v>42324.66667</v>
      </c>
      <c r="B222" s="2">
        <f>IFERROR(__xludf.DUMMYFUNCTION("""COMPUTED_VALUE"""),30.99)</f>
        <v>30.99</v>
      </c>
      <c r="D222" s="3">
        <f>IFERROR(__xludf.DUMMYFUNCTION("""COMPUTED_VALUE"""),42324.66666666667)</f>
        <v>42324.66667</v>
      </c>
      <c r="E222" s="2">
        <f>IFERROR(__xludf.DUMMYFUNCTION("""COMPUTED_VALUE"""),7.6)</f>
        <v>7.6</v>
      </c>
      <c r="G222" s="3">
        <f>IFERROR(__xludf.DUMMYFUNCTION("""COMPUTED_VALUE"""),42547.99861111111)</f>
        <v>42547.99861</v>
      </c>
      <c r="H222" s="2">
        <f>IFERROR(__xludf.DUMMYFUNCTION("""COMPUTED_VALUE"""),638.56)</f>
        <v>638.56</v>
      </c>
    </row>
    <row r="223">
      <c r="A223" s="3">
        <f>IFERROR(__xludf.DUMMYFUNCTION("""COMPUTED_VALUE"""),42325.66666666667)</f>
        <v>42325.66667</v>
      </c>
      <c r="B223" s="2">
        <f>IFERROR(__xludf.DUMMYFUNCTION("""COMPUTED_VALUE"""),30.81)</f>
        <v>30.81</v>
      </c>
      <c r="D223" s="3">
        <f>IFERROR(__xludf.DUMMYFUNCTION("""COMPUTED_VALUE"""),42325.66666666667)</f>
        <v>42325.66667</v>
      </c>
      <c r="E223" s="2">
        <f>IFERROR(__xludf.DUMMYFUNCTION("""COMPUTED_VALUE"""),7.6)</f>
        <v>7.6</v>
      </c>
      <c r="G223" s="3">
        <f>IFERROR(__xludf.DUMMYFUNCTION("""COMPUTED_VALUE"""),42548.99861111111)</f>
        <v>42548.99861</v>
      </c>
      <c r="H223" s="2">
        <f>IFERROR(__xludf.DUMMYFUNCTION("""COMPUTED_VALUE"""),657.87)</f>
        <v>657.87</v>
      </c>
    </row>
    <row r="224">
      <c r="A224" s="3">
        <f>IFERROR(__xludf.DUMMYFUNCTION("""COMPUTED_VALUE"""),42326.66666666667)</f>
        <v>42326.66667</v>
      </c>
      <c r="B224" s="2">
        <f>IFERROR(__xludf.DUMMYFUNCTION("""COMPUTED_VALUE"""),31.23)</f>
        <v>31.23</v>
      </c>
      <c r="D224" s="3">
        <f>IFERROR(__xludf.DUMMYFUNCTION("""COMPUTED_VALUE"""),42326.66666666667)</f>
        <v>42326.66667</v>
      </c>
      <c r="E224" s="2">
        <f>IFERROR(__xludf.DUMMYFUNCTION("""COMPUTED_VALUE"""),7.76)</f>
        <v>7.76</v>
      </c>
      <c r="G224" s="3">
        <f>IFERROR(__xludf.DUMMYFUNCTION("""COMPUTED_VALUE"""),42549.99861111111)</f>
        <v>42549.99861</v>
      </c>
      <c r="H224" s="2">
        <f>IFERROR(__xludf.DUMMYFUNCTION("""COMPUTED_VALUE"""),648.43)</f>
        <v>648.43</v>
      </c>
    </row>
    <row r="225">
      <c r="A225" s="3">
        <f>IFERROR(__xludf.DUMMYFUNCTION("""COMPUTED_VALUE"""),42327.66666666667)</f>
        <v>42327.66667</v>
      </c>
      <c r="B225" s="2">
        <f>IFERROR(__xludf.DUMMYFUNCTION("""COMPUTED_VALUE"""),31.13)</f>
        <v>31.13</v>
      </c>
      <c r="D225" s="3">
        <f>IFERROR(__xludf.DUMMYFUNCTION("""COMPUTED_VALUE"""),42327.66666666667)</f>
        <v>42327.66667</v>
      </c>
      <c r="E225" s="2">
        <f>IFERROR(__xludf.DUMMYFUNCTION("""COMPUTED_VALUE"""),7.78)</f>
        <v>7.78</v>
      </c>
      <c r="G225" s="3">
        <f>IFERROR(__xludf.DUMMYFUNCTION("""COMPUTED_VALUE"""),42550.99861111111)</f>
        <v>42550.99861</v>
      </c>
      <c r="H225" s="2">
        <f>IFERROR(__xludf.DUMMYFUNCTION("""COMPUTED_VALUE"""),639.42)</f>
        <v>639.42</v>
      </c>
    </row>
    <row r="226">
      <c r="A226" s="3">
        <f>IFERROR(__xludf.DUMMYFUNCTION("""COMPUTED_VALUE"""),42328.66666666667)</f>
        <v>42328.66667</v>
      </c>
      <c r="B226" s="2">
        <f>IFERROR(__xludf.DUMMYFUNCTION("""COMPUTED_VALUE"""),29.47)</f>
        <v>29.47</v>
      </c>
      <c r="D226" s="3">
        <f>IFERROR(__xludf.DUMMYFUNCTION("""COMPUTED_VALUE"""),42328.66666666667)</f>
        <v>42328.66667</v>
      </c>
      <c r="E226" s="2">
        <f>IFERROR(__xludf.DUMMYFUNCTION("""COMPUTED_VALUE"""),7.85)</f>
        <v>7.85</v>
      </c>
      <c r="G226" s="3">
        <f>IFERROR(__xludf.DUMMYFUNCTION("""COMPUTED_VALUE"""),42551.99861111111)</f>
        <v>42551.99861</v>
      </c>
      <c r="H226" s="2">
        <f>IFERROR(__xludf.DUMMYFUNCTION("""COMPUTED_VALUE"""),673.49)</f>
        <v>673.49</v>
      </c>
    </row>
    <row r="227">
      <c r="A227" s="3">
        <f>IFERROR(__xludf.DUMMYFUNCTION("""COMPUTED_VALUE"""),42331.66666666667)</f>
        <v>42331.66667</v>
      </c>
      <c r="B227" s="2">
        <f>IFERROR(__xludf.DUMMYFUNCTION("""COMPUTED_VALUE"""),30.08)</f>
        <v>30.08</v>
      </c>
      <c r="D227" s="3">
        <f>IFERROR(__xludf.DUMMYFUNCTION("""COMPUTED_VALUE"""),42331.66666666667)</f>
        <v>42331.66667</v>
      </c>
      <c r="E227" s="2">
        <f>IFERROR(__xludf.DUMMYFUNCTION("""COMPUTED_VALUE"""),7.73)</f>
        <v>7.73</v>
      </c>
      <c r="G227" s="3">
        <f>IFERROR(__xludf.DUMMYFUNCTION("""COMPUTED_VALUE"""),42552.99861111111)</f>
        <v>42552.99861</v>
      </c>
      <c r="H227" s="2">
        <f>IFERROR(__xludf.DUMMYFUNCTION("""COMPUTED_VALUE"""),678.19)</f>
        <v>678.19</v>
      </c>
    </row>
    <row r="228">
      <c r="A228" s="3">
        <f>IFERROR(__xludf.DUMMYFUNCTION("""COMPUTED_VALUE"""),42332.66666666667)</f>
        <v>42332.66667</v>
      </c>
      <c r="B228" s="2">
        <f>IFERROR(__xludf.DUMMYFUNCTION("""COMPUTED_VALUE"""),30.57)</f>
        <v>30.57</v>
      </c>
      <c r="D228" s="3">
        <f>IFERROR(__xludf.DUMMYFUNCTION("""COMPUTED_VALUE"""),42332.66666666667)</f>
        <v>42332.66667</v>
      </c>
      <c r="E228" s="2">
        <f>IFERROR(__xludf.DUMMYFUNCTION("""COMPUTED_VALUE"""),7.79)</f>
        <v>7.79</v>
      </c>
      <c r="G228" s="3">
        <f>IFERROR(__xludf.DUMMYFUNCTION("""COMPUTED_VALUE"""),42553.99861111111)</f>
        <v>42553.99861</v>
      </c>
      <c r="H228" s="2">
        <f>IFERROR(__xludf.DUMMYFUNCTION("""COMPUTED_VALUE"""),704.95)</f>
        <v>704.95</v>
      </c>
    </row>
    <row r="229">
      <c r="A229" s="3">
        <f>IFERROR(__xludf.DUMMYFUNCTION("""COMPUTED_VALUE"""),42333.66666666667)</f>
        <v>42333.66667</v>
      </c>
      <c r="B229" s="2">
        <f>IFERROR(__xludf.DUMMYFUNCTION("""COMPUTED_VALUE"""),30.6)</f>
        <v>30.6</v>
      </c>
      <c r="D229" s="3">
        <f>IFERROR(__xludf.DUMMYFUNCTION("""COMPUTED_VALUE"""),42333.66666666667)</f>
        <v>42333.66667</v>
      </c>
      <c r="E229" s="2">
        <f>IFERROR(__xludf.DUMMYFUNCTION("""COMPUTED_VALUE"""),7.78)</f>
        <v>7.78</v>
      </c>
      <c r="G229" s="3">
        <f>IFERROR(__xludf.DUMMYFUNCTION("""COMPUTED_VALUE"""),42554.99861111111)</f>
        <v>42554.99861</v>
      </c>
      <c r="H229" s="2">
        <f>IFERROR(__xludf.DUMMYFUNCTION("""COMPUTED_VALUE"""),663.55)</f>
        <v>663.55</v>
      </c>
    </row>
    <row r="230">
      <c r="A230" s="3">
        <f>IFERROR(__xludf.DUMMYFUNCTION("""COMPUTED_VALUE"""),42335.66666666667)</f>
        <v>42335.66667</v>
      </c>
      <c r="B230" s="2">
        <f>IFERROR(__xludf.DUMMYFUNCTION("""COMPUTED_VALUE"""),30.8)</f>
        <v>30.8</v>
      </c>
      <c r="D230" s="3">
        <f>IFERROR(__xludf.DUMMYFUNCTION("""COMPUTED_VALUE"""),42335.66666666667)</f>
        <v>42335.66667</v>
      </c>
      <c r="E230" s="2">
        <f>IFERROR(__xludf.DUMMYFUNCTION("""COMPUTED_VALUE"""),7.85)</f>
        <v>7.85</v>
      </c>
      <c r="G230" s="3">
        <f>IFERROR(__xludf.DUMMYFUNCTION("""COMPUTED_VALUE"""),42555.99861111111)</f>
        <v>42555.99861</v>
      </c>
      <c r="H230" s="2">
        <f>IFERROR(__xludf.DUMMYFUNCTION("""COMPUTED_VALUE"""),681.98)</f>
        <v>681.98</v>
      </c>
    </row>
    <row r="231">
      <c r="A231" s="3">
        <f>IFERROR(__xludf.DUMMYFUNCTION("""COMPUTED_VALUE"""),42338.66666666667)</f>
        <v>42338.66667</v>
      </c>
      <c r="B231" s="2">
        <f>IFERROR(__xludf.DUMMYFUNCTION("""COMPUTED_VALUE"""),30.81)</f>
        <v>30.81</v>
      </c>
      <c r="D231" s="3">
        <f>IFERROR(__xludf.DUMMYFUNCTION("""COMPUTED_VALUE"""),42338.66666666667)</f>
        <v>42338.66667</v>
      </c>
      <c r="E231" s="2">
        <f>IFERROR(__xludf.DUMMYFUNCTION("""COMPUTED_VALUE"""),7.93)</f>
        <v>7.93</v>
      </c>
      <c r="G231" s="3">
        <f>IFERROR(__xludf.DUMMYFUNCTION("""COMPUTED_VALUE"""),42556.99861111111)</f>
        <v>42556.99861</v>
      </c>
      <c r="H231" s="2">
        <f>IFERROR(__xludf.DUMMYFUNCTION("""COMPUTED_VALUE"""),669.87)</f>
        <v>669.87</v>
      </c>
    </row>
    <row r="232">
      <c r="A232" s="3">
        <f>IFERROR(__xludf.DUMMYFUNCTION("""COMPUTED_VALUE"""),42339.66666666667)</f>
        <v>42339.66667</v>
      </c>
      <c r="B232" s="2">
        <f>IFERROR(__xludf.DUMMYFUNCTION("""COMPUTED_VALUE"""),29.99)</f>
        <v>29.99</v>
      </c>
      <c r="D232" s="3">
        <f>IFERROR(__xludf.DUMMYFUNCTION("""COMPUTED_VALUE"""),42339.66666666667)</f>
        <v>42339.66667</v>
      </c>
      <c r="E232" s="2">
        <f>IFERROR(__xludf.DUMMYFUNCTION("""COMPUTED_VALUE"""),8.19)</f>
        <v>8.19</v>
      </c>
      <c r="G232" s="3">
        <f>IFERROR(__xludf.DUMMYFUNCTION("""COMPUTED_VALUE"""),42557.99861111111)</f>
        <v>42557.99861</v>
      </c>
      <c r="H232" s="2">
        <f>IFERROR(__xludf.DUMMYFUNCTION("""COMPUTED_VALUE"""),678.79)</f>
        <v>678.79</v>
      </c>
    </row>
    <row r="233">
      <c r="A233" s="3">
        <f>IFERROR(__xludf.DUMMYFUNCTION("""COMPUTED_VALUE"""),42340.66666666667)</f>
        <v>42340.66667</v>
      </c>
      <c r="B233" s="2">
        <f>IFERROR(__xludf.DUMMYFUNCTION("""COMPUTED_VALUE"""),29.8)</f>
        <v>29.8</v>
      </c>
      <c r="D233" s="3">
        <f>IFERROR(__xludf.DUMMYFUNCTION("""COMPUTED_VALUE"""),42340.66666666667)</f>
        <v>42340.66667</v>
      </c>
      <c r="E233" s="2">
        <f>IFERROR(__xludf.DUMMYFUNCTION("""COMPUTED_VALUE"""),8.13)</f>
        <v>8.13</v>
      </c>
      <c r="G233" s="3">
        <f>IFERROR(__xludf.DUMMYFUNCTION("""COMPUTED_VALUE"""),42558.99861111111)</f>
        <v>42558.99861</v>
      </c>
      <c r="H233" s="2">
        <f>IFERROR(__xludf.DUMMYFUNCTION("""COMPUTED_VALUE"""),641.97)</f>
        <v>641.97</v>
      </c>
    </row>
    <row r="234">
      <c r="A234" s="3">
        <f>IFERROR(__xludf.DUMMYFUNCTION("""COMPUTED_VALUE"""),42341.66666666667)</f>
        <v>42341.66667</v>
      </c>
      <c r="B234" s="2">
        <f>IFERROR(__xludf.DUMMYFUNCTION("""COMPUTED_VALUE"""),29.05)</f>
        <v>29.05</v>
      </c>
      <c r="D234" s="3">
        <f>IFERROR(__xludf.DUMMYFUNCTION("""COMPUTED_VALUE"""),42341.66666666667)</f>
        <v>42341.66667</v>
      </c>
      <c r="E234" s="2">
        <f>IFERROR(__xludf.DUMMYFUNCTION("""COMPUTED_VALUE"""),8.11)</f>
        <v>8.11</v>
      </c>
      <c r="G234" s="3">
        <f>IFERROR(__xludf.DUMMYFUNCTION("""COMPUTED_VALUE"""),42559.99861111111)</f>
        <v>42559.99861</v>
      </c>
      <c r="H234" s="2">
        <f>IFERROR(__xludf.DUMMYFUNCTION("""COMPUTED_VALUE"""),667.33)</f>
        <v>667.33</v>
      </c>
    </row>
    <row r="235">
      <c r="A235" s="3">
        <f>IFERROR(__xludf.DUMMYFUNCTION("""COMPUTED_VALUE"""),42342.66666666667)</f>
        <v>42342.66667</v>
      </c>
      <c r="B235" s="2">
        <f>IFERROR(__xludf.DUMMYFUNCTION("""COMPUTED_VALUE"""),29.58)</f>
        <v>29.58</v>
      </c>
      <c r="D235" s="3">
        <f>IFERROR(__xludf.DUMMYFUNCTION("""COMPUTED_VALUE"""),42342.66666666667)</f>
        <v>42342.66667</v>
      </c>
      <c r="E235" s="2">
        <f>IFERROR(__xludf.DUMMYFUNCTION("""COMPUTED_VALUE"""),8.44)</f>
        <v>8.44</v>
      </c>
      <c r="G235" s="3">
        <f>IFERROR(__xludf.DUMMYFUNCTION("""COMPUTED_VALUE"""),42560.99861111111)</f>
        <v>42560.99861</v>
      </c>
      <c r="H235" s="2">
        <f>IFERROR(__xludf.DUMMYFUNCTION("""COMPUTED_VALUE"""),657.61)</f>
        <v>657.61</v>
      </c>
    </row>
    <row r="236">
      <c r="A236" s="3">
        <f>IFERROR(__xludf.DUMMYFUNCTION("""COMPUTED_VALUE"""),42345.66666666667)</f>
        <v>42345.66667</v>
      </c>
      <c r="B236" s="2">
        <f>IFERROR(__xludf.DUMMYFUNCTION("""COMPUTED_VALUE"""),29.18)</f>
        <v>29.18</v>
      </c>
      <c r="D236" s="3">
        <f>IFERROR(__xludf.DUMMYFUNCTION("""COMPUTED_VALUE"""),42345.66666666667)</f>
        <v>42345.66667</v>
      </c>
      <c r="E236" s="2">
        <f>IFERROR(__xludf.DUMMYFUNCTION("""COMPUTED_VALUE"""),8.28)</f>
        <v>8.28</v>
      </c>
      <c r="G236" s="3">
        <f>IFERROR(__xludf.DUMMYFUNCTION("""COMPUTED_VALUE"""),42561.99861111111)</f>
        <v>42561.99861</v>
      </c>
      <c r="H236" s="2">
        <f>IFERROR(__xludf.DUMMYFUNCTION("""COMPUTED_VALUE"""),652.44)</f>
        <v>652.44</v>
      </c>
    </row>
    <row r="237">
      <c r="A237" s="3">
        <f>IFERROR(__xludf.DUMMYFUNCTION("""COMPUTED_VALUE"""),42346.66666666667)</f>
        <v>42346.66667</v>
      </c>
      <c r="B237" s="2">
        <f>IFERROR(__xludf.DUMMYFUNCTION("""COMPUTED_VALUE"""),29.21)</f>
        <v>29.21</v>
      </c>
      <c r="D237" s="3">
        <f>IFERROR(__xludf.DUMMYFUNCTION("""COMPUTED_VALUE"""),42346.66666666667)</f>
        <v>42346.66667</v>
      </c>
      <c r="E237" s="2">
        <f>IFERROR(__xludf.DUMMYFUNCTION("""COMPUTED_VALUE"""),8.39)</f>
        <v>8.39</v>
      </c>
      <c r="G237" s="3">
        <f>IFERROR(__xludf.DUMMYFUNCTION("""COMPUTED_VALUE"""),42562.99861111111)</f>
        <v>42562.99861</v>
      </c>
      <c r="H237" s="2">
        <f>IFERROR(__xludf.DUMMYFUNCTION("""COMPUTED_VALUE"""),650.97)</f>
        <v>650.97</v>
      </c>
    </row>
    <row r="238">
      <c r="A238" s="3">
        <f>IFERROR(__xludf.DUMMYFUNCTION("""COMPUTED_VALUE"""),42347.66666666667)</f>
        <v>42347.66667</v>
      </c>
      <c r="B238" s="2">
        <f>IFERROR(__xludf.DUMMYFUNCTION("""COMPUTED_VALUE"""),28.94)</f>
        <v>28.94</v>
      </c>
      <c r="D238" s="3">
        <f>IFERROR(__xludf.DUMMYFUNCTION("""COMPUTED_VALUE"""),42347.66666666667)</f>
        <v>42347.66667</v>
      </c>
      <c r="E238" s="2">
        <f>IFERROR(__xludf.DUMMYFUNCTION("""COMPUTED_VALUE"""),8.18)</f>
        <v>8.18</v>
      </c>
      <c r="G238" s="3">
        <f>IFERROR(__xludf.DUMMYFUNCTION("""COMPUTED_VALUE"""),42563.99861111111)</f>
        <v>42563.99861</v>
      </c>
      <c r="H238" s="2">
        <f>IFERROR(__xludf.DUMMYFUNCTION("""COMPUTED_VALUE"""),666.56)</f>
        <v>666.56</v>
      </c>
    </row>
    <row r="239">
      <c r="A239" s="3">
        <f>IFERROR(__xludf.DUMMYFUNCTION("""COMPUTED_VALUE"""),42348.66666666667)</f>
        <v>42348.66667</v>
      </c>
      <c r="B239" s="2">
        <f>IFERROR(__xludf.DUMMYFUNCTION("""COMPUTED_VALUE"""),29.0)</f>
        <v>29</v>
      </c>
      <c r="D239" s="3">
        <f>IFERROR(__xludf.DUMMYFUNCTION("""COMPUTED_VALUE"""),42348.66666666667)</f>
        <v>42348.66667</v>
      </c>
      <c r="E239" s="2">
        <f>IFERROR(__xludf.DUMMYFUNCTION("""COMPUTED_VALUE"""),8.24)</f>
        <v>8.24</v>
      </c>
      <c r="G239" s="3">
        <f>IFERROR(__xludf.DUMMYFUNCTION("""COMPUTED_VALUE"""),42564.99861111111)</f>
        <v>42564.99861</v>
      </c>
      <c r="H239" s="2">
        <f>IFERROR(__xludf.DUMMYFUNCTION("""COMPUTED_VALUE"""),655.34)</f>
        <v>655.34</v>
      </c>
    </row>
    <row r="240">
      <c r="A240" s="3">
        <f>IFERROR(__xludf.DUMMYFUNCTION("""COMPUTED_VALUE"""),42349.66666666667)</f>
        <v>42349.66667</v>
      </c>
      <c r="B240" s="2">
        <f>IFERROR(__xludf.DUMMYFUNCTION("""COMPUTED_VALUE"""),28.64)</f>
        <v>28.64</v>
      </c>
      <c r="D240" s="3">
        <f>IFERROR(__xludf.DUMMYFUNCTION("""COMPUTED_VALUE"""),42349.66666666667)</f>
        <v>42349.66667</v>
      </c>
      <c r="E240" s="2">
        <f>IFERROR(__xludf.DUMMYFUNCTION("""COMPUTED_VALUE"""),8.12)</f>
        <v>8.12</v>
      </c>
      <c r="G240" s="3">
        <f>IFERROR(__xludf.DUMMYFUNCTION("""COMPUTED_VALUE"""),42565.99861111111)</f>
        <v>42565.99861</v>
      </c>
      <c r="H240" s="2">
        <f>IFERROR(__xludf.DUMMYFUNCTION("""COMPUTED_VALUE"""),661.65)</f>
        <v>661.65</v>
      </c>
    </row>
    <row r="241">
      <c r="A241" s="3">
        <f>IFERROR(__xludf.DUMMYFUNCTION("""COMPUTED_VALUE"""),42352.66666666667)</f>
        <v>42352.66667</v>
      </c>
      <c r="B241" s="2">
        <f>IFERROR(__xludf.DUMMYFUNCTION("""COMPUTED_VALUE"""),27.86)</f>
        <v>27.86</v>
      </c>
      <c r="D241" s="3">
        <f>IFERROR(__xludf.DUMMYFUNCTION("""COMPUTED_VALUE"""),42352.66666666667)</f>
        <v>42352.66667</v>
      </c>
      <c r="E241" s="2">
        <f>IFERROR(__xludf.DUMMYFUNCTION("""COMPUTED_VALUE"""),8.14)</f>
        <v>8.14</v>
      </c>
      <c r="G241" s="3">
        <f>IFERROR(__xludf.DUMMYFUNCTION("""COMPUTED_VALUE"""),42566.99861111111)</f>
        <v>42566.99861</v>
      </c>
      <c r="H241" s="2">
        <f>IFERROR(__xludf.DUMMYFUNCTION("""COMPUTED_VALUE"""),667.48)</f>
        <v>667.48</v>
      </c>
    </row>
    <row r="242">
      <c r="A242" s="3">
        <f>IFERROR(__xludf.DUMMYFUNCTION("""COMPUTED_VALUE"""),42353.66666666667)</f>
        <v>42353.66667</v>
      </c>
      <c r="B242" s="2">
        <f>IFERROR(__xludf.DUMMYFUNCTION("""COMPUTED_VALUE"""),28.36)</f>
        <v>28.36</v>
      </c>
      <c r="D242" s="3">
        <f>IFERROR(__xludf.DUMMYFUNCTION("""COMPUTED_VALUE"""),42353.66666666667)</f>
        <v>42353.66667</v>
      </c>
      <c r="E242" s="2">
        <f>IFERROR(__xludf.DUMMYFUNCTION("""COMPUTED_VALUE"""),8.24)</f>
        <v>8.24</v>
      </c>
      <c r="G242" s="3">
        <f>IFERROR(__xludf.DUMMYFUNCTION("""COMPUTED_VALUE"""),42567.99861111111)</f>
        <v>42567.99861</v>
      </c>
      <c r="H242" s="2">
        <f>IFERROR(__xludf.DUMMYFUNCTION("""COMPUTED_VALUE"""),666.32)</f>
        <v>666.32</v>
      </c>
    </row>
    <row r="243">
      <c r="A243" s="3">
        <f>IFERROR(__xludf.DUMMYFUNCTION("""COMPUTED_VALUE"""),42354.66666666667)</f>
        <v>42354.66667</v>
      </c>
      <c r="B243" s="2">
        <f>IFERROR(__xludf.DUMMYFUNCTION("""COMPUTED_VALUE"""),28.37)</f>
        <v>28.37</v>
      </c>
      <c r="D243" s="3">
        <f>IFERROR(__xludf.DUMMYFUNCTION("""COMPUTED_VALUE"""),42354.66666666667)</f>
        <v>42354.66667</v>
      </c>
      <c r="E243" s="2">
        <f>IFERROR(__xludf.DUMMYFUNCTION("""COMPUTED_VALUE"""),8.29)</f>
        <v>8.29</v>
      </c>
      <c r="G243" s="3">
        <f>IFERROR(__xludf.DUMMYFUNCTION("""COMPUTED_VALUE"""),42568.99861111111)</f>
        <v>42568.99861</v>
      </c>
      <c r="H243" s="2">
        <f>IFERROR(__xludf.DUMMYFUNCTION("""COMPUTED_VALUE"""),680.0)</f>
        <v>680</v>
      </c>
    </row>
    <row r="244">
      <c r="A244" s="3">
        <f>IFERROR(__xludf.DUMMYFUNCTION("""COMPUTED_VALUE"""),42355.66666666667)</f>
        <v>42355.66667</v>
      </c>
      <c r="B244" s="2">
        <f>IFERROR(__xludf.DUMMYFUNCTION("""COMPUTED_VALUE"""),28.46)</f>
        <v>28.46</v>
      </c>
      <c r="D244" s="3">
        <f>IFERROR(__xludf.DUMMYFUNCTION("""COMPUTED_VALUE"""),42355.66666666667)</f>
        <v>42355.66667</v>
      </c>
      <c r="E244" s="2">
        <f>IFERROR(__xludf.DUMMYFUNCTION("""COMPUTED_VALUE"""),8.17)</f>
        <v>8.17</v>
      </c>
      <c r="G244" s="3">
        <f>IFERROR(__xludf.DUMMYFUNCTION("""COMPUTED_VALUE"""),42569.99861111111)</f>
        <v>42569.99861</v>
      </c>
      <c r="H244" s="2">
        <f>IFERROR(__xludf.DUMMYFUNCTION("""COMPUTED_VALUE"""),675.5)</f>
        <v>675.5</v>
      </c>
    </row>
    <row r="245">
      <c r="A245" s="3">
        <f>IFERROR(__xludf.DUMMYFUNCTION("""COMPUTED_VALUE"""),42356.66666666667)</f>
        <v>42356.66667</v>
      </c>
      <c r="B245" s="2">
        <f>IFERROR(__xludf.DUMMYFUNCTION("""COMPUTED_VALUE"""),28.01)</f>
        <v>28.01</v>
      </c>
      <c r="D245" s="3">
        <f>IFERROR(__xludf.DUMMYFUNCTION("""COMPUTED_VALUE"""),42356.66666666667)</f>
        <v>42356.66667</v>
      </c>
      <c r="E245" s="2">
        <f>IFERROR(__xludf.DUMMYFUNCTION("""COMPUTED_VALUE"""),8.04)</f>
        <v>8.04</v>
      </c>
      <c r="G245" s="3">
        <f>IFERROR(__xludf.DUMMYFUNCTION("""COMPUTED_VALUE"""),42570.99861111111)</f>
        <v>42570.99861</v>
      </c>
      <c r="H245" s="2">
        <f>IFERROR(__xludf.DUMMYFUNCTION("""COMPUTED_VALUE"""),673.98)</f>
        <v>673.98</v>
      </c>
    </row>
    <row r="246">
      <c r="A246" s="3">
        <f>IFERROR(__xludf.DUMMYFUNCTION("""COMPUTED_VALUE"""),42359.66666666667)</f>
        <v>42359.66667</v>
      </c>
      <c r="B246" s="2">
        <f>IFERROR(__xludf.DUMMYFUNCTION("""COMPUTED_VALUE"""),28.11)</f>
        <v>28.11</v>
      </c>
      <c r="D246" s="3">
        <f>IFERROR(__xludf.DUMMYFUNCTION("""COMPUTED_VALUE"""),42359.66666666667)</f>
        <v>42359.66667</v>
      </c>
      <c r="E246" s="2">
        <f>IFERROR(__xludf.DUMMYFUNCTION("""COMPUTED_VALUE"""),8.22)</f>
        <v>8.22</v>
      </c>
      <c r="G246" s="3">
        <f>IFERROR(__xludf.DUMMYFUNCTION("""COMPUTED_VALUE"""),42571.99861111111)</f>
        <v>42571.99861</v>
      </c>
      <c r="H246" s="2">
        <f>IFERROR(__xludf.DUMMYFUNCTION("""COMPUTED_VALUE"""),666.92)</f>
        <v>666.92</v>
      </c>
    </row>
    <row r="247">
      <c r="A247" s="3">
        <f>IFERROR(__xludf.DUMMYFUNCTION("""COMPUTED_VALUE"""),42360.66666666667)</f>
        <v>42360.66667</v>
      </c>
      <c r="B247" s="2">
        <f>IFERROR(__xludf.DUMMYFUNCTION("""COMPUTED_VALUE"""),28.56)</f>
        <v>28.56</v>
      </c>
      <c r="D247" s="3">
        <f>IFERROR(__xludf.DUMMYFUNCTION("""COMPUTED_VALUE"""),42360.66666666667)</f>
        <v>42360.66667</v>
      </c>
      <c r="E247" s="2">
        <f>IFERROR(__xludf.DUMMYFUNCTION("""COMPUTED_VALUE"""),8.23)</f>
        <v>8.23</v>
      </c>
      <c r="G247" s="3">
        <f>IFERROR(__xludf.DUMMYFUNCTION("""COMPUTED_VALUE"""),42572.99861111111)</f>
        <v>42572.99861</v>
      </c>
      <c r="H247" s="2">
        <f>IFERROR(__xludf.DUMMYFUNCTION("""COMPUTED_VALUE"""),667.28)</f>
        <v>667.28</v>
      </c>
    </row>
    <row r="248">
      <c r="A248" s="3">
        <f>IFERROR(__xludf.DUMMYFUNCTION("""COMPUTED_VALUE"""),42361.66666666667)</f>
        <v>42361.66667</v>
      </c>
      <c r="B248" s="2">
        <f>IFERROR(__xludf.DUMMYFUNCTION("""COMPUTED_VALUE"""),29.0)</f>
        <v>29</v>
      </c>
      <c r="D248" s="3">
        <f>IFERROR(__xludf.DUMMYFUNCTION("""COMPUTED_VALUE"""),42361.66666666667)</f>
        <v>42361.66667</v>
      </c>
      <c r="E248" s="2">
        <f>IFERROR(__xludf.DUMMYFUNCTION("""COMPUTED_VALUE"""),8.26)</f>
        <v>8.26</v>
      </c>
      <c r="G248" s="3">
        <f>IFERROR(__xludf.DUMMYFUNCTION("""COMPUTED_VALUE"""),42573.99861111111)</f>
        <v>42573.99861</v>
      </c>
      <c r="H248" s="2">
        <f>IFERROR(__xludf.DUMMYFUNCTION("""COMPUTED_VALUE"""),654.67)</f>
        <v>654.67</v>
      </c>
    </row>
    <row r="249">
      <c r="A249" s="3">
        <f>IFERROR(__xludf.DUMMYFUNCTION("""COMPUTED_VALUE"""),42362.66666666667)</f>
        <v>42362.66667</v>
      </c>
      <c r="B249" s="2">
        <f>IFERROR(__xludf.DUMMYFUNCTION("""COMPUTED_VALUE"""),28.95)</f>
        <v>28.95</v>
      </c>
      <c r="D249" s="3">
        <f>IFERROR(__xludf.DUMMYFUNCTION("""COMPUTED_VALUE"""),42362.66666666667)</f>
        <v>42362.66667</v>
      </c>
      <c r="E249" s="2">
        <f>IFERROR(__xludf.DUMMYFUNCTION("""COMPUTED_VALUE"""),8.29)</f>
        <v>8.29</v>
      </c>
      <c r="G249" s="3">
        <f>IFERROR(__xludf.DUMMYFUNCTION("""COMPUTED_VALUE"""),42574.99861111111)</f>
        <v>42574.99861</v>
      </c>
      <c r="H249" s="2">
        <f>IFERROR(__xludf.DUMMYFUNCTION("""COMPUTED_VALUE"""),657.5)</f>
        <v>657.5</v>
      </c>
    </row>
    <row r="250">
      <c r="A250" s="3">
        <f>IFERROR(__xludf.DUMMYFUNCTION("""COMPUTED_VALUE"""),42366.66666666667)</f>
        <v>42366.66667</v>
      </c>
      <c r="B250" s="2">
        <f>IFERROR(__xludf.DUMMYFUNCTION("""COMPUTED_VALUE"""),28.78)</f>
        <v>28.78</v>
      </c>
      <c r="D250" s="3">
        <f>IFERROR(__xludf.DUMMYFUNCTION("""COMPUTED_VALUE"""),42366.66666666667)</f>
        <v>42366.66667</v>
      </c>
      <c r="E250" s="2">
        <f>IFERROR(__xludf.DUMMYFUNCTION("""COMPUTED_VALUE"""),8.29)</f>
        <v>8.29</v>
      </c>
      <c r="G250" s="3">
        <f>IFERROR(__xludf.DUMMYFUNCTION("""COMPUTED_VALUE"""),42575.99861111111)</f>
        <v>42575.99861</v>
      </c>
      <c r="H250" s="2">
        <f>IFERROR(__xludf.DUMMYFUNCTION("""COMPUTED_VALUE"""),661.0)</f>
        <v>661</v>
      </c>
    </row>
    <row r="251">
      <c r="A251" s="3">
        <f>IFERROR(__xludf.DUMMYFUNCTION("""COMPUTED_VALUE"""),42367.66666666667)</f>
        <v>42367.66667</v>
      </c>
      <c r="B251" s="2">
        <f>IFERROR(__xludf.DUMMYFUNCTION("""COMPUTED_VALUE"""),28.62)</f>
        <v>28.62</v>
      </c>
      <c r="D251" s="3">
        <f>IFERROR(__xludf.DUMMYFUNCTION("""COMPUTED_VALUE"""),42367.66666666667)</f>
        <v>42367.66667</v>
      </c>
      <c r="E251" s="2">
        <f>IFERROR(__xludf.DUMMYFUNCTION("""COMPUTED_VALUE"""),8.42)</f>
        <v>8.42</v>
      </c>
      <c r="G251" s="3">
        <f>IFERROR(__xludf.DUMMYFUNCTION("""COMPUTED_VALUE"""),42576.99861111111)</f>
        <v>42576.99861</v>
      </c>
      <c r="H251" s="2">
        <f>IFERROR(__xludf.DUMMYFUNCTION("""COMPUTED_VALUE"""),657.79)</f>
        <v>657.79</v>
      </c>
    </row>
    <row r="252">
      <c r="A252" s="3">
        <f>IFERROR(__xludf.DUMMYFUNCTION("""COMPUTED_VALUE"""),42368.66666666667)</f>
        <v>42368.66667</v>
      </c>
      <c r="B252" s="2">
        <f>IFERROR(__xludf.DUMMYFUNCTION("""COMPUTED_VALUE"""),28.58)</f>
        <v>28.58</v>
      </c>
      <c r="D252" s="3">
        <f>IFERROR(__xludf.DUMMYFUNCTION("""COMPUTED_VALUE"""),42368.66666666667)</f>
        <v>42368.66667</v>
      </c>
      <c r="E252" s="2">
        <f>IFERROR(__xludf.DUMMYFUNCTION("""COMPUTED_VALUE"""),8.35)</f>
        <v>8.35</v>
      </c>
      <c r="G252" s="3">
        <f>IFERROR(__xludf.DUMMYFUNCTION("""COMPUTED_VALUE"""),42577.99861111111)</f>
        <v>42577.99861</v>
      </c>
      <c r="H252" s="2">
        <f>IFERROR(__xludf.DUMMYFUNCTION("""COMPUTED_VALUE"""),654.06)</f>
        <v>654.06</v>
      </c>
    </row>
    <row r="253">
      <c r="A253" s="3">
        <f>IFERROR(__xludf.DUMMYFUNCTION("""COMPUTED_VALUE"""),42369.66666666667)</f>
        <v>42369.66667</v>
      </c>
      <c r="B253" s="2">
        <f>IFERROR(__xludf.DUMMYFUNCTION("""COMPUTED_VALUE"""),28.33)</f>
        <v>28.33</v>
      </c>
      <c r="D253" s="3">
        <f>IFERROR(__xludf.DUMMYFUNCTION("""COMPUTED_VALUE"""),42369.66666666667)</f>
        <v>42369.66667</v>
      </c>
      <c r="E253" s="2">
        <f>IFERROR(__xludf.DUMMYFUNCTION("""COMPUTED_VALUE"""),8.24)</f>
        <v>8.24</v>
      </c>
      <c r="G253" s="3">
        <f>IFERROR(__xludf.DUMMYFUNCTION("""COMPUTED_VALUE"""),42578.99861111111)</f>
        <v>42578.99861</v>
      </c>
      <c r="H253" s="2">
        <f>IFERROR(__xludf.DUMMYFUNCTION("""COMPUTED_VALUE"""),657.35)</f>
        <v>657.35</v>
      </c>
    </row>
    <row r="254">
      <c r="A254" s="3">
        <f>IFERROR(__xludf.DUMMYFUNCTION("""COMPUTED_VALUE"""),42373.66666666667)</f>
        <v>42373.66667</v>
      </c>
      <c r="B254" s="2">
        <f>IFERROR(__xludf.DUMMYFUNCTION("""COMPUTED_VALUE"""),27.81)</f>
        <v>27.81</v>
      </c>
      <c r="D254" s="3">
        <f>IFERROR(__xludf.DUMMYFUNCTION("""COMPUTED_VALUE"""),42373.66666666667)</f>
        <v>42373.66667</v>
      </c>
      <c r="E254" s="2">
        <f>IFERROR(__xludf.DUMMYFUNCTION("""COMPUTED_VALUE"""),8.09)</f>
        <v>8.09</v>
      </c>
      <c r="G254" s="3">
        <f>IFERROR(__xludf.DUMMYFUNCTION("""COMPUTED_VALUE"""),42579.99861111111)</f>
        <v>42579.99861</v>
      </c>
      <c r="H254" s="2">
        <f>IFERROR(__xludf.DUMMYFUNCTION("""COMPUTED_VALUE"""),657.4)</f>
        <v>657.4</v>
      </c>
    </row>
    <row r="255">
      <c r="A255" s="3">
        <f>IFERROR(__xludf.DUMMYFUNCTION("""COMPUTED_VALUE"""),42374.66666666667)</f>
        <v>42374.66667</v>
      </c>
      <c r="B255" s="2">
        <f>IFERROR(__xludf.DUMMYFUNCTION("""COMPUTED_VALUE"""),27.75)</f>
        <v>27.75</v>
      </c>
      <c r="D255" s="3">
        <f>IFERROR(__xludf.DUMMYFUNCTION("""COMPUTED_VALUE"""),42374.66666666667)</f>
        <v>42374.66667</v>
      </c>
      <c r="E255" s="2">
        <f>IFERROR(__xludf.DUMMYFUNCTION("""COMPUTED_VALUE"""),8.22)</f>
        <v>8.22</v>
      </c>
      <c r="G255" s="3">
        <f>IFERROR(__xludf.DUMMYFUNCTION("""COMPUTED_VALUE"""),42580.99861111111)</f>
        <v>42580.99861</v>
      </c>
      <c r="H255" s="2">
        <f>IFERROR(__xludf.DUMMYFUNCTION("""COMPUTED_VALUE"""),657.0)</f>
        <v>657</v>
      </c>
    </row>
    <row r="256">
      <c r="A256" s="3">
        <f>IFERROR(__xludf.DUMMYFUNCTION("""COMPUTED_VALUE"""),42375.66666666667)</f>
        <v>42375.66667</v>
      </c>
      <c r="B256" s="2">
        <f>IFERROR(__xludf.DUMMYFUNCTION("""COMPUTED_VALUE"""),27.3)</f>
        <v>27.3</v>
      </c>
      <c r="D256" s="3">
        <f>IFERROR(__xludf.DUMMYFUNCTION("""COMPUTED_VALUE"""),42375.66666666667)</f>
        <v>42375.66667</v>
      </c>
      <c r="E256" s="2">
        <f>IFERROR(__xludf.DUMMYFUNCTION("""COMPUTED_VALUE"""),7.88)</f>
        <v>7.88</v>
      </c>
      <c r="G256" s="3">
        <f>IFERROR(__xludf.DUMMYFUNCTION("""COMPUTED_VALUE"""),42581.99861111111)</f>
        <v>42581.99861</v>
      </c>
      <c r="H256" s="2">
        <f>IFERROR(__xludf.DUMMYFUNCTION("""COMPUTED_VALUE"""),655.87)</f>
        <v>655.87</v>
      </c>
    </row>
    <row r="257">
      <c r="A257" s="3">
        <f>IFERROR(__xludf.DUMMYFUNCTION("""COMPUTED_VALUE"""),42376.66666666667)</f>
        <v>42376.66667</v>
      </c>
      <c r="B257" s="2">
        <f>IFERROR(__xludf.DUMMYFUNCTION("""COMPUTED_VALUE"""),26.22)</f>
        <v>26.22</v>
      </c>
      <c r="D257" s="3">
        <f>IFERROR(__xludf.DUMMYFUNCTION("""COMPUTED_VALUE"""),42376.66666666667)</f>
        <v>42376.66667</v>
      </c>
      <c r="E257" s="2">
        <f>IFERROR(__xludf.DUMMYFUNCTION("""COMPUTED_VALUE"""),7.57)</f>
        <v>7.57</v>
      </c>
      <c r="G257" s="3">
        <f>IFERROR(__xludf.DUMMYFUNCTION("""COMPUTED_VALUE"""),42582.99861111111)</f>
        <v>42582.99861</v>
      </c>
      <c r="H257" s="2">
        <f>IFERROR(__xludf.DUMMYFUNCTION("""COMPUTED_VALUE"""),626.97)</f>
        <v>626.97</v>
      </c>
    </row>
    <row r="258">
      <c r="A258" s="3">
        <f>IFERROR(__xludf.DUMMYFUNCTION("""COMPUTED_VALUE"""),42377.66666666667)</f>
        <v>42377.66667</v>
      </c>
      <c r="B258" s="2">
        <f>IFERROR(__xludf.DUMMYFUNCTION("""COMPUTED_VALUE"""),25.45)</f>
        <v>25.45</v>
      </c>
      <c r="D258" s="3">
        <f>IFERROR(__xludf.DUMMYFUNCTION("""COMPUTED_VALUE"""),42377.66666666667)</f>
        <v>42377.66667</v>
      </c>
      <c r="E258" s="2">
        <f>IFERROR(__xludf.DUMMYFUNCTION("""COMPUTED_VALUE"""),7.41)</f>
        <v>7.41</v>
      </c>
      <c r="G258" s="3">
        <f>IFERROR(__xludf.DUMMYFUNCTION("""COMPUTED_VALUE"""),42583.99861111111)</f>
        <v>42583.99861</v>
      </c>
      <c r="H258" s="2">
        <f>IFERROR(__xludf.DUMMYFUNCTION("""COMPUTED_VALUE"""),605.2)</f>
        <v>605.2</v>
      </c>
    </row>
    <row r="259">
      <c r="A259" s="3">
        <f>IFERROR(__xludf.DUMMYFUNCTION("""COMPUTED_VALUE"""),42380.66666666667)</f>
        <v>42380.66667</v>
      </c>
      <c r="B259" s="2">
        <f>IFERROR(__xludf.DUMMYFUNCTION("""COMPUTED_VALUE"""),24.93)</f>
        <v>24.93</v>
      </c>
      <c r="D259" s="3">
        <f>IFERROR(__xludf.DUMMYFUNCTION("""COMPUTED_VALUE"""),42380.66666666667)</f>
        <v>42380.66667</v>
      </c>
      <c r="E259" s="2">
        <f>IFERROR(__xludf.DUMMYFUNCTION("""COMPUTED_VALUE"""),7.42)</f>
        <v>7.42</v>
      </c>
      <c r="G259" s="3">
        <f>IFERROR(__xludf.DUMMYFUNCTION("""COMPUTED_VALUE"""),42584.99861111111)</f>
        <v>42584.99861</v>
      </c>
      <c r="H259" s="2">
        <f>IFERROR(__xludf.DUMMYFUNCTION("""COMPUTED_VALUE"""),537.47)</f>
        <v>537.47</v>
      </c>
    </row>
    <row r="260">
      <c r="A260" s="3">
        <f>IFERROR(__xludf.DUMMYFUNCTION("""COMPUTED_VALUE"""),42381.66666666667)</f>
        <v>42381.66667</v>
      </c>
      <c r="B260" s="2">
        <f>IFERROR(__xludf.DUMMYFUNCTION("""COMPUTED_VALUE"""),25.25)</f>
        <v>25.25</v>
      </c>
      <c r="D260" s="3">
        <f>IFERROR(__xludf.DUMMYFUNCTION("""COMPUTED_VALUE"""),42381.66666666667)</f>
        <v>42381.66667</v>
      </c>
      <c r="E260" s="2">
        <f>IFERROR(__xludf.DUMMYFUNCTION("""COMPUTED_VALUE"""),7.55)</f>
        <v>7.55</v>
      </c>
      <c r="G260" s="3">
        <f>IFERROR(__xludf.DUMMYFUNCTION("""COMPUTED_VALUE"""),42585.99861111111)</f>
        <v>42585.99861</v>
      </c>
      <c r="H260" s="2">
        <f>IFERROR(__xludf.DUMMYFUNCTION("""COMPUTED_VALUE"""),573.36)</f>
        <v>573.36</v>
      </c>
    </row>
    <row r="261">
      <c r="A261" s="3">
        <f>IFERROR(__xludf.DUMMYFUNCTION("""COMPUTED_VALUE"""),42382.66666666667)</f>
        <v>42382.66667</v>
      </c>
      <c r="B261" s="2">
        <f>IFERROR(__xludf.DUMMYFUNCTION("""COMPUTED_VALUE"""),24.43)</f>
        <v>24.43</v>
      </c>
      <c r="D261" s="3">
        <f>IFERROR(__xludf.DUMMYFUNCTION("""COMPUTED_VALUE"""),42382.66666666667)</f>
        <v>42382.66667</v>
      </c>
      <c r="E261" s="2">
        <f>IFERROR(__xludf.DUMMYFUNCTION("""COMPUTED_VALUE"""),7.32)</f>
        <v>7.32</v>
      </c>
      <c r="G261" s="3">
        <f>IFERROR(__xludf.DUMMYFUNCTION("""COMPUTED_VALUE"""),42586.99861111111)</f>
        <v>42586.99861</v>
      </c>
      <c r="H261" s="2">
        <f>IFERROR(__xludf.DUMMYFUNCTION("""COMPUTED_VALUE"""),587.5)</f>
        <v>587.5</v>
      </c>
    </row>
    <row r="262">
      <c r="A262" s="3">
        <f>IFERROR(__xludf.DUMMYFUNCTION("""COMPUTED_VALUE"""),42383.66666666667)</f>
        <v>42383.66667</v>
      </c>
      <c r="B262" s="2">
        <f>IFERROR(__xludf.DUMMYFUNCTION("""COMPUTED_VALUE"""),24.65)</f>
        <v>24.65</v>
      </c>
      <c r="D262" s="3">
        <f>IFERROR(__xludf.DUMMYFUNCTION("""COMPUTED_VALUE"""),42383.66666666667)</f>
        <v>42383.66667</v>
      </c>
      <c r="E262" s="2">
        <f>IFERROR(__xludf.DUMMYFUNCTION("""COMPUTED_VALUE"""),7.17)</f>
        <v>7.17</v>
      </c>
      <c r="G262" s="3">
        <f>IFERROR(__xludf.DUMMYFUNCTION("""COMPUTED_VALUE"""),42587.99861111111)</f>
        <v>42587.99861</v>
      </c>
      <c r="H262" s="2">
        <f>IFERROR(__xludf.DUMMYFUNCTION("""COMPUTED_VALUE"""),583.0)</f>
        <v>583</v>
      </c>
    </row>
    <row r="263">
      <c r="A263" s="3">
        <f>IFERROR(__xludf.DUMMYFUNCTION("""COMPUTED_VALUE"""),42384.66666666667)</f>
        <v>42384.66667</v>
      </c>
      <c r="B263" s="2">
        <f>IFERROR(__xludf.DUMMYFUNCTION("""COMPUTED_VALUE"""),23.53)</f>
        <v>23.53</v>
      </c>
      <c r="D263" s="3">
        <f>IFERROR(__xludf.DUMMYFUNCTION("""COMPUTED_VALUE"""),42384.66666666667)</f>
        <v>42384.66667</v>
      </c>
      <c r="E263" s="2">
        <f>IFERROR(__xludf.DUMMYFUNCTION("""COMPUTED_VALUE"""),6.78)</f>
        <v>6.78</v>
      </c>
      <c r="G263" s="3">
        <f>IFERROR(__xludf.DUMMYFUNCTION("""COMPUTED_VALUE"""),42588.99861111111)</f>
        <v>42588.99861</v>
      </c>
      <c r="H263" s="2">
        <f>IFERROR(__xludf.DUMMYFUNCTION("""COMPUTED_VALUE"""),591.71)</f>
        <v>591.71</v>
      </c>
    </row>
    <row r="264">
      <c r="A264" s="3">
        <f>IFERROR(__xludf.DUMMYFUNCTION("""COMPUTED_VALUE"""),42388.66666666667)</f>
        <v>42388.66667</v>
      </c>
      <c r="B264" s="2">
        <f>IFERROR(__xludf.DUMMYFUNCTION("""COMPUTED_VALUE"""),23.21)</f>
        <v>23.21</v>
      </c>
      <c r="D264" s="3">
        <f>IFERROR(__xludf.DUMMYFUNCTION("""COMPUTED_VALUE"""),42388.66666666667)</f>
        <v>42388.66667</v>
      </c>
      <c r="E264" s="2">
        <f>IFERROR(__xludf.DUMMYFUNCTION("""COMPUTED_VALUE"""),6.83)</f>
        <v>6.83</v>
      </c>
      <c r="G264" s="3">
        <f>IFERROR(__xludf.DUMMYFUNCTION("""COMPUTED_VALUE"""),42589.99861111111)</f>
        <v>42589.99861</v>
      </c>
      <c r="H264" s="2">
        <f>IFERROR(__xludf.DUMMYFUNCTION("""COMPUTED_VALUE"""),595.14)</f>
        <v>595.14</v>
      </c>
    </row>
    <row r="265">
      <c r="A265" s="3">
        <f>IFERROR(__xludf.DUMMYFUNCTION("""COMPUTED_VALUE"""),42389.66666666667)</f>
        <v>42389.66667</v>
      </c>
      <c r="B265" s="2">
        <f>IFERROR(__xludf.DUMMYFUNCTION("""COMPUTED_VALUE"""),22.91)</f>
        <v>22.91</v>
      </c>
      <c r="D265" s="3">
        <f>IFERROR(__xludf.DUMMYFUNCTION("""COMPUTED_VALUE"""),42389.66666666667)</f>
        <v>42389.66667</v>
      </c>
      <c r="E265" s="2">
        <f>IFERROR(__xludf.DUMMYFUNCTION("""COMPUTED_VALUE"""),6.87)</f>
        <v>6.87</v>
      </c>
      <c r="G265" s="3">
        <f>IFERROR(__xludf.DUMMYFUNCTION("""COMPUTED_VALUE"""),42590.99861111111)</f>
        <v>42590.99861</v>
      </c>
      <c r="H265" s="2">
        <f>IFERROR(__xludf.DUMMYFUNCTION("""COMPUTED_VALUE"""),591.48)</f>
        <v>591.48</v>
      </c>
    </row>
    <row r="266">
      <c r="A266" s="3">
        <f>IFERROR(__xludf.DUMMYFUNCTION("""COMPUTED_VALUE"""),42390.66666666667)</f>
        <v>42390.66667</v>
      </c>
      <c r="B266" s="2">
        <f>IFERROR(__xludf.DUMMYFUNCTION("""COMPUTED_VALUE"""),23.33)</f>
        <v>23.33</v>
      </c>
      <c r="D266" s="3">
        <f>IFERROR(__xludf.DUMMYFUNCTION("""COMPUTED_VALUE"""),42390.66666666667)</f>
        <v>42390.66667</v>
      </c>
      <c r="E266" s="2">
        <f>IFERROR(__xludf.DUMMYFUNCTION("""COMPUTED_VALUE"""),6.95)</f>
        <v>6.95</v>
      </c>
      <c r="G266" s="3">
        <f>IFERROR(__xludf.DUMMYFUNCTION("""COMPUTED_VALUE"""),42591.99861111111)</f>
        <v>42591.99861</v>
      </c>
      <c r="H266" s="2">
        <f>IFERROR(__xludf.DUMMYFUNCTION("""COMPUTED_VALUE"""),586.45)</f>
        <v>586.45</v>
      </c>
    </row>
    <row r="267">
      <c r="A267" s="3">
        <f>IFERROR(__xludf.DUMMYFUNCTION("""COMPUTED_VALUE"""),42391.66666666667)</f>
        <v>42391.66667</v>
      </c>
      <c r="B267" s="2">
        <f>IFERROR(__xludf.DUMMYFUNCTION("""COMPUTED_VALUE"""),24.0)</f>
        <v>24</v>
      </c>
      <c r="D267" s="3">
        <f>IFERROR(__xludf.DUMMYFUNCTION("""COMPUTED_VALUE"""),42391.66666666667)</f>
        <v>42391.66667</v>
      </c>
      <c r="E267" s="2">
        <f>IFERROR(__xludf.DUMMYFUNCTION("""COMPUTED_VALUE"""),7.11)</f>
        <v>7.11</v>
      </c>
      <c r="G267" s="3">
        <f>IFERROR(__xludf.DUMMYFUNCTION("""COMPUTED_VALUE"""),42592.99861111111)</f>
        <v>42592.99861</v>
      </c>
      <c r="H267" s="2">
        <f>IFERROR(__xludf.DUMMYFUNCTION("""COMPUTED_VALUE"""),594.94)</f>
        <v>594.94</v>
      </c>
    </row>
    <row r="268">
      <c r="A268" s="3">
        <f>IFERROR(__xludf.DUMMYFUNCTION("""COMPUTED_VALUE"""),42394.66666666667)</f>
        <v>42394.66667</v>
      </c>
      <c r="B268" s="2">
        <f>IFERROR(__xludf.DUMMYFUNCTION("""COMPUTED_VALUE"""),23.96)</f>
        <v>23.96</v>
      </c>
      <c r="D268" s="3">
        <f>IFERROR(__xludf.DUMMYFUNCTION("""COMPUTED_VALUE"""),42394.66666666667)</f>
        <v>42394.66667</v>
      </c>
      <c r="E268" s="2">
        <f>IFERROR(__xludf.DUMMYFUNCTION("""COMPUTED_VALUE"""),7.11)</f>
        <v>7.11</v>
      </c>
      <c r="G268" s="3">
        <f>IFERROR(__xludf.DUMMYFUNCTION("""COMPUTED_VALUE"""),42593.99861111111)</f>
        <v>42593.99861</v>
      </c>
      <c r="H268" s="2">
        <f>IFERROR(__xludf.DUMMYFUNCTION("""COMPUTED_VALUE"""),587.91)</f>
        <v>587.91</v>
      </c>
    </row>
    <row r="269">
      <c r="A269" s="3">
        <f>IFERROR(__xludf.DUMMYFUNCTION("""COMPUTED_VALUE"""),42395.66666666667)</f>
        <v>42395.66667</v>
      </c>
      <c r="B269" s="2">
        <f>IFERROR(__xludf.DUMMYFUNCTION("""COMPUTED_VALUE"""),23.99)</f>
        <v>23.99</v>
      </c>
      <c r="D269" s="3">
        <f>IFERROR(__xludf.DUMMYFUNCTION("""COMPUTED_VALUE"""),42395.66666666667)</f>
        <v>42395.66667</v>
      </c>
      <c r="E269" s="2">
        <f>IFERROR(__xludf.DUMMYFUNCTION("""COMPUTED_VALUE"""),7.18)</f>
        <v>7.18</v>
      </c>
      <c r="G269" s="3">
        <f>IFERROR(__xludf.DUMMYFUNCTION("""COMPUTED_VALUE"""),42594.99861111111)</f>
        <v>42594.99861</v>
      </c>
      <c r="H269" s="2">
        <f>IFERROR(__xludf.DUMMYFUNCTION("""COMPUTED_VALUE"""),587.74)</f>
        <v>587.74</v>
      </c>
    </row>
    <row r="270">
      <c r="A270" s="3">
        <f>IFERROR(__xludf.DUMMYFUNCTION("""COMPUTED_VALUE"""),42396.66666666667)</f>
        <v>42396.66667</v>
      </c>
      <c r="B270" s="2">
        <f>IFERROR(__xludf.DUMMYFUNCTION("""COMPUTED_VALUE"""),23.47)</f>
        <v>23.47</v>
      </c>
      <c r="D270" s="3">
        <f>IFERROR(__xludf.DUMMYFUNCTION("""COMPUTED_VALUE"""),42396.66666666667)</f>
        <v>42396.66667</v>
      </c>
      <c r="E270" s="2">
        <f>IFERROR(__xludf.DUMMYFUNCTION("""COMPUTED_VALUE"""),7.09)</f>
        <v>7.09</v>
      </c>
      <c r="G270" s="3">
        <f>IFERROR(__xludf.DUMMYFUNCTION("""COMPUTED_VALUE"""),42595.99861111111)</f>
        <v>42595.99861</v>
      </c>
      <c r="H270" s="2">
        <f>IFERROR(__xludf.DUMMYFUNCTION("""COMPUTED_VALUE"""),586.45)</f>
        <v>586.45</v>
      </c>
    </row>
    <row r="271">
      <c r="A271" s="3">
        <f>IFERROR(__xludf.DUMMYFUNCTION("""COMPUTED_VALUE"""),42397.66666666667)</f>
        <v>42397.66667</v>
      </c>
      <c r="B271" s="2">
        <f>IFERROR(__xludf.DUMMYFUNCTION("""COMPUTED_VALUE"""),23.14)</f>
        <v>23.14</v>
      </c>
      <c r="D271" s="3">
        <f>IFERROR(__xludf.DUMMYFUNCTION("""COMPUTED_VALUE"""),42397.66666666667)</f>
        <v>42397.66667</v>
      </c>
      <c r="E271" s="2">
        <f>IFERROR(__xludf.DUMMYFUNCTION("""COMPUTED_VALUE"""),7.01)</f>
        <v>7.01</v>
      </c>
      <c r="G271" s="3">
        <f>IFERROR(__xludf.DUMMYFUNCTION("""COMPUTED_VALUE"""),42596.99861111111)</f>
        <v>42596.99861</v>
      </c>
      <c r="H271" s="2">
        <f>IFERROR(__xludf.DUMMYFUNCTION("""COMPUTED_VALUE"""),574.99)</f>
        <v>574.99</v>
      </c>
    </row>
    <row r="272">
      <c r="A272" s="3">
        <f>IFERROR(__xludf.DUMMYFUNCTION("""COMPUTED_VALUE"""),42398.66666666667)</f>
        <v>42398.66667</v>
      </c>
      <c r="B272" s="2">
        <f>IFERROR(__xludf.DUMMYFUNCTION("""COMPUTED_VALUE"""),23.4)</f>
        <v>23.4</v>
      </c>
      <c r="D272" s="3">
        <f>IFERROR(__xludf.DUMMYFUNCTION("""COMPUTED_VALUE"""),42398.66666666667)</f>
        <v>42398.66667</v>
      </c>
      <c r="E272" s="2">
        <f>IFERROR(__xludf.DUMMYFUNCTION("""COMPUTED_VALUE"""),7.32)</f>
        <v>7.32</v>
      </c>
      <c r="G272" s="3">
        <f>IFERROR(__xludf.DUMMYFUNCTION("""COMPUTED_VALUE"""),42597.99861111111)</f>
        <v>42597.99861</v>
      </c>
      <c r="H272" s="2">
        <f>IFERROR(__xludf.DUMMYFUNCTION("""COMPUTED_VALUE"""),567.79)</f>
        <v>567.79</v>
      </c>
    </row>
    <row r="273">
      <c r="A273" s="3">
        <f>IFERROR(__xludf.DUMMYFUNCTION("""COMPUTED_VALUE"""),42401.66666666667)</f>
        <v>42401.66667</v>
      </c>
      <c r="B273" s="2">
        <f>IFERROR(__xludf.DUMMYFUNCTION("""COMPUTED_VALUE"""),23.0)</f>
        <v>23</v>
      </c>
      <c r="D273" s="3">
        <f>IFERROR(__xludf.DUMMYFUNCTION("""COMPUTED_VALUE"""),42401.66666666667)</f>
        <v>42401.66667</v>
      </c>
      <c r="E273" s="2">
        <f>IFERROR(__xludf.DUMMYFUNCTION("""COMPUTED_VALUE"""),7.33)</f>
        <v>7.33</v>
      </c>
      <c r="G273" s="3">
        <f>IFERROR(__xludf.DUMMYFUNCTION("""COMPUTED_VALUE"""),42598.99861111111)</f>
        <v>42598.99861</v>
      </c>
      <c r="H273" s="2">
        <f>IFERROR(__xludf.DUMMYFUNCTION("""COMPUTED_VALUE"""),579.02)</f>
        <v>579.02</v>
      </c>
    </row>
    <row r="274">
      <c r="A274" s="3">
        <f>IFERROR(__xludf.DUMMYFUNCTION("""COMPUTED_VALUE"""),42402.66666666667)</f>
        <v>42402.66667</v>
      </c>
      <c r="B274" s="2">
        <f>IFERROR(__xludf.DUMMYFUNCTION("""COMPUTED_VALUE"""),22.44)</f>
        <v>22.44</v>
      </c>
      <c r="D274" s="3">
        <f>IFERROR(__xludf.DUMMYFUNCTION("""COMPUTED_VALUE"""),42402.66666666667)</f>
        <v>42402.66667</v>
      </c>
      <c r="E274" s="2">
        <f>IFERROR(__xludf.DUMMYFUNCTION("""COMPUTED_VALUE"""),7.02)</f>
        <v>7.02</v>
      </c>
      <c r="G274" s="3">
        <f>IFERROR(__xludf.DUMMYFUNCTION("""COMPUTED_VALUE"""),42599.99861111111)</f>
        <v>42599.99861</v>
      </c>
      <c r="H274" s="2">
        <f>IFERROR(__xludf.DUMMYFUNCTION("""COMPUTED_VALUE"""),574.45)</f>
        <v>574.45</v>
      </c>
    </row>
    <row r="275">
      <c r="A275" s="3">
        <f>IFERROR(__xludf.DUMMYFUNCTION("""COMPUTED_VALUE"""),42403.66666666667)</f>
        <v>42403.66667</v>
      </c>
      <c r="B275" s="2">
        <f>IFERROR(__xludf.DUMMYFUNCTION("""COMPUTED_VALUE"""),22.39)</f>
        <v>22.39</v>
      </c>
      <c r="D275" s="3">
        <f>IFERROR(__xludf.DUMMYFUNCTION("""COMPUTED_VALUE"""),42403.66666666667)</f>
        <v>42403.66667</v>
      </c>
      <c r="E275" s="2">
        <f>IFERROR(__xludf.DUMMYFUNCTION("""COMPUTED_VALUE"""),7.05)</f>
        <v>7.05</v>
      </c>
      <c r="G275" s="3">
        <f>IFERROR(__xludf.DUMMYFUNCTION("""COMPUTED_VALUE"""),42600.99861111111)</f>
        <v>42600.99861</v>
      </c>
      <c r="H275" s="2">
        <f>IFERROR(__xludf.DUMMYFUNCTION("""COMPUTED_VALUE"""),574.09)</f>
        <v>574.09</v>
      </c>
    </row>
    <row r="276">
      <c r="A276" s="3">
        <f>IFERROR(__xludf.DUMMYFUNCTION("""COMPUTED_VALUE"""),42404.66666666667)</f>
        <v>42404.66667</v>
      </c>
      <c r="B276" s="2">
        <f>IFERROR(__xludf.DUMMYFUNCTION("""COMPUTED_VALUE"""),22.94)</f>
        <v>22.94</v>
      </c>
      <c r="D276" s="3">
        <f>IFERROR(__xludf.DUMMYFUNCTION("""COMPUTED_VALUE"""),42404.66666666667)</f>
        <v>42404.66667</v>
      </c>
      <c r="E276" s="2">
        <f>IFERROR(__xludf.DUMMYFUNCTION("""COMPUTED_VALUE"""),7.05)</f>
        <v>7.05</v>
      </c>
      <c r="G276" s="3">
        <f>IFERROR(__xludf.DUMMYFUNCTION("""COMPUTED_VALUE"""),42601.99861111111)</f>
        <v>42601.99861</v>
      </c>
      <c r="H276" s="2">
        <f>IFERROR(__xludf.DUMMYFUNCTION("""COMPUTED_VALUE"""),573.67)</f>
        <v>573.67</v>
      </c>
    </row>
    <row r="277">
      <c r="A277" s="3">
        <f>IFERROR(__xludf.DUMMYFUNCTION("""COMPUTED_VALUE"""),42405.66666666667)</f>
        <v>42405.66667</v>
      </c>
      <c r="B277" s="2">
        <f>IFERROR(__xludf.DUMMYFUNCTION("""COMPUTED_VALUE"""),22.24)</f>
        <v>22.24</v>
      </c>
      <c r="D277" s="3">
        <f>IFERROR(__xludf.DUMMYFUNCTION("""COMPUTED_VALUE"""),42405.66666666667)</f>
        <v>42405.66667</v>
      </c>
      <c r="E277" s="2">
        <f>IFERROR(__xludf.DUMMYFUNCTION("""COMPUTED_VALUE"""),6.61)</f>
        <v>6.61</v>
      </c>
      <c r="G277" s="3">
        <f>IFERROR(__xludf.DUMMYFUNCTION("""COMPUTED_VALUE"""),42602.99861111111)</f>
        <v>42602.99861</v>
      </c>
      <c r="H277" s="2">
        <f>IFERROR(__xludf.DUMMYFUNCTION("""COMPUTED_VALUE"""),581.87)</f>
        <v>581.87</v>
      </c>
    </row>
    <row r="278">
      <c r="A278" s="3">
        <f>IFERROR(__xludf.DUMMYFUNCTION("""COMPUTED_VALUE"""),42408.66666666667)</f>
        <v>42408.66667</v>
      </c>
      <c r="B278" s="2">
        <f>IFERROR(__xludf.DUMMYFUNCTION("""COMPUTED_VALUE"""),21.38)</f>
        <v>21.38</v>
      </c>
      <c r="D278" s="3">
        <f>IFERROR(__xludf.DUMMYFUNCTION("""COMPUTED_VALUE"""),42408.66666666667)</f>
        <v>42408.66667</v>
      </c>
      <c r="E278" s="2">
        <f>IFERROR(__xludf.DUMMYFUNCTION("""COMPUTED_VALUE"""),6.31)</f>
        <v>6.31</v>
      </c>
      <c r="G278" s="3">
        <f>IFERROR(__xludf.DUMMYFUNCTION("""COMPUTED_VALUE"""),42603.99861111111)</f>
        <v>42603.99861</v>
      </c>
      <c r="H278" s="2">
        <f>IFERROR(__xludf.DUMMYFUNCTION("""COMPUTED_VALUE"""),581.29)</f>
        <v>581.29</v>
      </c>
    </row>
    <row r="279">
      <c r="A279" s="3">
        <f>IFERROR(__xludf.DUMMYFUNCTION("""COMPUTED_VALUE"""),42409.66666666667)</f>
        <v>42409.66667</v>
      </c>
      <c r="B279" s="2">
        <f>IFERROR(__xludf.DUMMYFUNCTION("""COMPUTED_VALUE"""),21.18)</f>
        <v>21.18</v>
      </c>
      <c r="D279" s="3">
        <f>IFERROR(__xludf.DUMMYFUNCTION("""COMPUTED_VALUE"""),42409.66666666667)</f>
        <v>42409.66667</v>
      </c>
      <c r="E279" s="2">
        <f>IFERROR(__xludf.DUMMYFUNCTION("""COMPUTED_VALUE"""),6.37)</f>
        <v>6.37</v>
      </c>
      <c r="G279" s="3">
        <f>IFERROR(__xludf.DUMMYFUNCTION("""COMPUTED_VALUE"""),42604.99861111111)</f>
        <v>42604.99861</v>
      </c>
      <c r="H279" s="2">
        <f>IFERROR(__xludf.DUMMYFUNCTION("""COMPUTED_VALUE"""),585.2)</f>
        <v>585.2</v>
      </c>
    </row>
    <row r="280">
      <c r="A280" s="3">
        <f>IFERROR(__xludf.DUMMYFUNCTION("""COMPUTED_VALUE"""),42410.66666666667)</f>
        <v>42410.66667</v>
      </c>
      <c r="B280" s="2">
        <f>IFERROR(__xludf.DUMMYFUNCTION("""COMPUTED_VALUE"""),21.76)</f>
        <v>21.76</v>
      </c>
      <c r="D280" s="3">
        <f>IFERROR(__xludf.DUMMYFUNCTION("""COMPUTED_VALUE"""),42410.66666666667)</f>
        <v>42410.66667</v>
      </c>
      <c r="E280" s="2">
        <f>IFERROR(__xludf.DUMMYFUNCTION("""COMPUTED_VALUE"""),6.36)</f>
        <v>6.36</v>
      </c>
      <c r="G280" s="3">
        <f>IFERROR(__xludf.DUMMYFUNCTION("""COMPUTED_VALUE"""),42605.99861111111)</f>
        <v>42605.99861</v>
      </c>
      <c r="H280" s="2">
        <f>IFERROR(__xludf.DUMMYFUNCTION("""COMPUTED_VALUE"""),582.39)</f>
        <v>582.39</v>
      </c>
    </row>
    <row r="281">
      <c r="A281" s="3">
        <f>IFERROR(__xludf.DUMMYFUNCTION("""COMPUTED_VALUE"""),42411.66666666667)</f>
        <v>42411.66667</v>
      </c>
      <c r="B281" s="2">
        <f>IFERROR(__xludf.DUMMYFUNCTION("""COMPUTED_VALUE"""),21.55)</f>
        <v>21.55</v>
      </c>
      <c r="D281" s="3">
        <f>IFERROR(__xludf.DUMMYFUNCTION("""COMPUTED_VALUE"""),42411.66666666667)</f>
        <v>42411.66667</v>
      </c>
      <c r="E281" s="2">
        <f>IFERROR(__xludf.DUMMYFUNCTION("""COMPUTED_VALUE"""),6.33)</f>
        <v>6.33</v>
      </c>
      <c r="G281" s="3">
        <f>IFERROR(__xludf.DUMMYFUNCTION("""COMPUTED_VALUE"""),42606.99861111111)</f>
        <v>42606.99861</v>
      </c>
      <c r="H281" s="2">
        <f>IFERROR(__xludf.DUMMYFUNCTION("""COMPUTED_VALUE"""),578.47)</f>
        <v>578.47</v>
      </c>
    </row>
    <row r="282">
      <c r="A282" s="3">
        <f>IFERROR(__xludf.DUMMYFUNCTION("""COMPUTED_VALUE"""),42412.66666666667)</f>
        <v>42412.66667</v>
      </c>
      <c r="B282" s="2">
        <f>IFERROR(__xludf.DUMMYFUNCTION("""COMPUTED_VALUE"""),22.21)</f>
        <v>22.21</v>
      </c>
      <c r="D282" s="3">
        <f>IFERROR(__xludf.DUMMYFUNCTION("""COMPUTED_VALUE"""),42412.66666666667)</f>
        <v>42412.66667</v>
      </c>
      <c r="E282" s="2">
        <f>IFERROR(__xludf.DUMMYFUNCTION("""COMPUTED_VALUE"""),6.43)</f>
        <v>6.43</v>
      </c>
      <c r="G282" s="3">
        <f>IFERROR(__xludf.DUMMYFUNCTION("""COMPUTED_VALUE"""),42607.99861111111)</f>
        <v>42607.99861</v>
      </c>
      <c r="H282" s="2">
        <f>IFERROR(__xludf.DUMMYFUNCTION("""COMPUTED_VALUE"""),575.58)</f>
        <v>575.58</v>
      </c>
    </row>
    <row r="283">
      <c r="A283" s="3">
        <f>IFERROR(__xludf.DUMMYFUNCTION("""COMPUTED_VALUE"""),42416.66666666667)</f>
        <v>42416.66667</v>
      </c>
      <c r="B283" s="2">
        <f>IFERROR(__xludf.DUMMYFUNCTION("""COMPUTED_VALUE"""),22.6)</f>
        <v>22.6</v>
      </c>
      <c r="D283" s="3">
        <f>IFERROR(__xludf.DUMMYFUNCTION("""COMPUTED_VALUE"""),42416.66666666667)</f>
        <v>42416.66667</v>
      </c>
      <c r="E283" s="2">
        <f>IFERROR(__xludf.DUMMYFUNCTION("""COMPUTED_VALUE"""),6.75)</f>
        <v>6.75</v>
      </c>
      <c r="G283" s="3">
        <f>IFERROR(__xludf.DUMMYFUNCTION("""COMPUTED_VALUE"""),42608.99861111111)</f>
        <v>42608.99861</v>
      </c>
      <c r="H283" s="2">
        <f>IFERROR(__xludf.DUMMYFUNCTION("""COMPUTED_VALUE"""),579.29)</f>
        <v>579.29</v>
      </c>
    </row>
    <row r="284">
      <c r="A284" s="3">
        <f>IFERROR(__xludf.DUMMYFUNCTION("""COMPUTED_VALUE"""),42417.66666666667)</f>
        <v>42417.66667</v>
      </c>
      <c r="B284" s="2">
        <f>IFERROR(__xludf.DUMMYFUNCTION("""COMPUTED_VALUE"""),23.05)</f>
        <v>23.05</v>
      </c>
      <c r="D284" s="3">
        <f>IFERROR(__xludf.DUMMYFUNCTION("""COMPUTED_VALUE"""),42417.66666666667)</f>
        <v>42417.66667</v>
      </c>
      <c r="E284" s="2">
        <f>IFERROR(__xludf.DUMMYFUNCTION("""COMPUTED_VALUE"""),6.92)</f>
        <v>6.92</v>
      </c>
      <c r="G284" s="3">
        <f>IFERROR(__xludf.DUMMYFUNCTION("""COMPUTED_VALUE"""),42609.99861111111)</f>
        <v>42609.99861</v>
      </c>
      <c r="H284" s="2">
        <f>IFERROR(__xludf.DUMMYFUNCTION("""COMPUTED_VALUE"""),570.84)</f>
        <v>570.84</v>
      </c>
    </row>
    <row r="285">
      <c r="A285" s="3">
        <f>IFERROR(__xludf.DUMMYFUNCTION("""COMPUTED_VALUE"""),42418.66666666667)</f>
        <v>42418.66667</v>
      </c>
      <c r="B285" s="2">
        <f>IFERROR(__xludf.DUMMYFUNCTION("""COMPUTED_VALUE"""),23.22)</f>
        <v>23.22</v>
      </c>
      <c r="D285" s="3">
        <f>IFERROR(__xludf.DUMMYFUNCTION("""COMPUTED_VALUE"""),42418.66666666667)</f>
        <v>42418.66667</v>
      </c>
      <c r="E285" s="2">
        <f>IFERROR(__xludf.DUMMYFUNCTION("""COMPUTED_VALUE"""),7.51)</f>
        <v>7.51</v>
      </c>
      <c r="G285" s="3">
        <f>IFERROR(__xludf.DUMMYFUNCTION("""COMPUTED_VALUE"""),42610.99861111111)</f>
        <v>42610.99861</v>
      </c>
      <c r="H285" s="2">
        <f>IFERROR(__xludf.DUMMYFUNCTION("""COMPUTED_VALUE"""),575.41)</f>
        <v>575.41</v>
      </c>
    </row>
    <row r="286">
      <c r="A286" s="3">
        <f>IFERROR(__xludf.DUMMYFUNCTION("""COMPUTED_VALUE"""),42419.66666666667)</f>
        <v>42419.66667</v>
      </c>
      <c r="B286" s="2">
        <f>IFERROR(__xludf.DUMMYFUNCTION("""COMPUTED_VALUE"""),23.9)</f>
        <v>23.9</v>
      </c>
      <c r="D286" s="3">
        <f>IFERROR(__xludf.DUMMYFUNCTION("""COMPUTED_VALUE"""),42419.66666666667)</f>
        <v>42419.66667</v>
      </c>
      <c r="E286" s="2">
        <f>IFERROR(__xludf.DUMMYFUNCTION("""COMPUTED_VALUE"""),7.61)</f>
        <v>7.61</v>
      </c>
      <c r="G286" s="3">
        <f>IFERROR(__xludf.DUMMYFUNCTION("""COMPUTED_VALUE"""),42611.99861111111)</f>
        <v>42611.99861</v>
      </c>
      <c r="H286" s="2">
        <f>IFERROR(__xludf.DUMMYFUNCTION("""COMPUTED_VALUE"""),573.21)</f>
        <v>573.21</v>
      </c>
    </row>
    <row r="287">
      <c r="A287" s="3">
        <f>IFERROR(__xludf.DUMMYFUNCTION("""COMPUTED_VALUE"""),42422.66666666667)</f>
        <v>42422.66667</v>
      </c>
      <c r="B287" s="2">
        <f>IFERROR(__xludf.DUMMYFUNCTION("""COMPUTED_VALUE"""),24.67)</f>
        <v>24.67</v>
      </c>
      <c r="D287" s="3">
        <f>IFERROR(__xludf.DUMMYFUNCTION("""COMPUTED_VALUE"""),42422.66666666667)</f>
        <v>42422.66667</v>
      </c>
      <c r="E287" s="2">
        <f>IFERROR(__xludf.DUMMYFUNCTION("""COMPUTED_VALUE"""),7.88)</f>
        <v>7.88</v>
      </c>
      <c r="G287" s="3">
        <f>IFERROR(__xludf.DUMMYFUNCTION("""COMPUTED_VALUE"""),42612.99861111111)</f>
        <v>42612.99861</v>
      </c>
      <c r="H287" s="2">
        <f>IFERROR(__xludf.DUMMYFUNCTION("""COMPUTED_VALUE"""),574.95)</f>
        <v>574.95</v>
      </c>
    </row>
    <row r="288">
      <c r="A288" s="3">
        <f>IFERROR(__xludf.DUMMYFUNCTION("""COMPUTED_VALUE"""),42423.66666666667)</f>
        <v>42423.66667</v>
      </c>
      <c r="B288" s="2">
        <f>IFERROR(__xludf.DUMMYFUNCTION("""COMPUTED_VALUE"""),25.18)</f>
        <v>25.18</v>
      </c>
      <c r="D288" s="3">
        <f>IFERROR(__xludf.DUMMYFUNCTION("""COMPUTED_VALUE"""),42423.66666666667)</f>
        <v>42423.66667</v>
      </c>
      <c r="E288" s="2">
        <f>IFERROR(__xludf.DUMMYFUNCTION("""COMPUTED_VALUE"""),7.9)</f>
        <v>7.9</v>
      </c>
      <c r="G288" s="3">
        <f>IFERROR(__xludf.DUMMYFUNCTION("""COMPUTED_VALUE"""),42613.99861111111)</f>
        <v>42613.99861</v>
      </c>
      <c r="H288" s="2">
        <f>IFERROR(__xludf.DUMMYFUNCTION("""COMPUTED_VALUE"""),572.89)</f>
        <v>572.89</v>
      </c>
    </row>
    <row r="289">
      <c r="A289" s="3">
        <f>IFERROR(__xludf.DUMMYFUNCTION("""COMPUTED_VALUE"""),42424.66666666667)</f>
        <v>42424.66667</v>
      </c>
      <c r="B289" s="2">
        <f>IFERROR(__xludf.DUMMYFUNCTION("""COMPUTED_VALUE"""),25.73)</f>
        <v>25.73</v>
      </c>
      <c r="D289" s="3">
        <f>IFERROR(__xludf.DUMMYFUNCTION("""COMPUTED_VALUE"""),42424.66666666667)</f>
        <v>42424.66667</v>
      </c>
      <c r="E289" s="2">
        <f>IFERROR(__xludf.DUMMYFUNCTION("""COMPUTED_VALUE"""),7.96)</f>
        <v>7.96</v>
      </c>
      <c r="G289" s="3">
        <f>IFERROR(__xludf.DUMMYFUNCTION("""COMPUTED_VALUE"""),42614.99861111111)</f>
        <v>42614.99861</v>
      </c>
      <c r="H289" s="2">
        <f>IFERROR(__xludf.DUMMYFUNCTION("""COMPUTED_VALUE"""),573.02)</f>
        <v>573.02</v>
      </c>
    </row>
    <row r="290">
      <c r="A290" s="3">
        <f>IFERROR(__xludf.DUMMYFUNCTION("""COMPUTED_VALUE"""),42425.66666666667)</f>
        <v>42425.66667</v>
      </c>
      <c r="B290" s="2">
        <f>IFERROR(__xludf.DUMMYFUNCTION("""COMPUTED_VALUE"""),25.74)</f>
        <v>25.74</v>
      </c>
      <c r="D290" s="3">
        <f>IFERROR(__xludf.DUMMYFUNCTION("""COMPUTED_VALUE"""),42425.66666666667)</f>
        <v>42425.66667</v>
      </c>
      <c r="E290" s="2">
        <f>IFERROR(__xludf.DUMMYFUNCTION("""COMPUTED_VALUE"""),7.97)</f>
        <v>7.97</v>
      </c>
      <c r="G290" s="3">
        <f>IFERROR(__xludf.DUMMYFUNCTION("""COMPUTED_VALUE"""),42615.99861111111)</f>
        <v>42615.99861</v>
      </c>
      <c r="H290" s="2">
        <f>IFERROR(__xludf.DUMMYFUNCTION("""COMPUTED_VALUE"""),576.21)</f>
        <v>576.21</v>
      </c>
    </row>
    <row r="291">
      <c r="A291" s="3">
        <f>IFERROR(__xludf.DUMMYFUNCTION("""COMPUTED_VALUE"""),42426.66666666667)</f>
        <v>42426.66667</v>
      </c>
      <c r="B291" s="2">
        <f>IFERROR(__xludf.DUMMYFUNCTION("""COMPUTED_VALUE"""),25.94)</f>
        <v>25.94</v>
      </c>
      <c r="D291" s="3">
        <f>IFERROR(__xludf.DUMMYFUNCTION("""COMPUTED_VALUE"""),42426.66666666667)</f>
        <v>42426.66667</v>
      </c>
      <c r="E291" s="2">
        <f>IFERROR(__xludf.DUMMYFUNCTION("""COMPUTED_VALUE"""),7.92)</f>
        <v>7.92</v>
      </c>
      <c r="G291" s="3">
        <f>IFERROR(__xludf.DUMMYFUNCTION("""COMPUTED_VALUE"""),42616.99861111111)</f>
        <v>42616.99861</v>
      </c>
      <c r="H291" s="2">
        <f>IFERROR(__xludf.DUMMYFUNCTION("""COMPUTED_VALUE"""),600.91)</f>
        <v>600.91</v>
      </c>
    </row>
    <row r="292">
      <c r="A292" s="3">
        <f>IFERROR(__xludf.DUMMYFUNCTION("""COMPUTED_VALUE"""),42429.66666666667)</f>
        <v>42429.66667</v>
      </c>
      <c r="B292" s="2">
        <f>IFERROR(__xludf.DUMMYFUNCTION("""COMPUTED_VALUE"""),26.09)</f>
        <v>26.09</v>
      </c>
      <c r="D292" s="3">
        <f>IFERROR(__xludf.DUMMYFUNCTION("""COMPUTED_VALUE"""),42429.66666666667)</f>
        <v>42429.66667</v>
      </c>
      <c r="E292" s="2">
        <f>IFERROR(__xludf.DUMMYFUNCTION("""COMPUTED_VALUE"""),7.84)</f>
        <v>7.84</v>
      </c>
      <c r="G292" s="3">
        <f>IFERROR(__xludf.DUMMYFUNCTION("""COMPUTED_VALUE"""),42617.99861111111)</f>
        <v>42617.99861</v>
      </c>
      <c r="H292" s="2">
        <f>IFERROR(__xludf.DUMMYFUNCTION("""COMPUTED_VALUE"""),611.92)</f>
        <v>611.92</v>
      </c>
    </row>
    <row r="293">
      <c r="A293" s="3">
        <f>IFERROR(__xludf.DUMMYFUNCTION("""COMPUTED_VALUE"""),42430.66666666667)</f>
        <v>42430.66667</v>
      </c>
      <c r="B293" s="2">
        <f>IFERROR(__xludf.DUMMYFUNCTION("""COMPUTED_VALUE"""),26.34)</f>
        <v>26.34</v>
      </c>
      <c r="D293" s="3">
        <f>IFERROR(__xludf.DUMMYFUNCTION("""COMPUTED_VALUE"""),42430.66666666667)</f>
        <v>42430.66667</v>
      </c>
      <c r="E293" s="2">
        <f>IFERROR(__xludf.DUMMYFUNCTION("""COMPUTED_VALUE"""),8.19)</f>
        <v>8.19</v>
      </c>
      <c r="G293" s="3">
        <f>IFERROR(__xludf.DUMMYFUNCTION("""COMPUTED_VALUE"""),42618.99861111111)</f>
        <v>42618.99861</v>
      </c>
      <c r="H293" s="2">
        <f>IFERROR(__xludf.DUMMYFUNCTION("""COMPUTED_VALUE"""),605.69)</f>
        <v>605.69</v>
      </c>
    </row>
    <row r="294">
      <c r="A294" s="3">
        <f>IFERROR(__xludf.DUMMYFUNCTION("""COMPUTED_VALUE"""),42431.66666666667)</f>
        <v>42431.66667</v>
      </c>
      <c r="B294" s="2">
        <f>IFERROR(__xludf.DUMMYFUNCTION("""COMPUTED_VALUE"""),26.88)</f>
        <v>26.88</v>
      </c>
      <c r="D294" s="3">
        <f>IFERROR(__xludf.DUMMYFUNCTION("""COMPUTED_VALUE"""),42431.66666666667)</f>
        <v>42431.66667</v>
      </c>
      <c r="E294" s="2">
        <f>IFERROR(__xludf.DUMMYFUNCTION("""COMPUTED_VALUE"""),8.24)</f>
        <v>8.24</v>
      </c>
      <c r="G294" s="3">
        <f>IFERROR(__xludf.DUMMYFUNCTION("""COMPUTED_VALUE"""),42619.99861111111)</f>
        <v>42619.99861</v>
      </c>
      <c r="H294" s="2">
        <f>IFERROR(__xludf.DUMMYFUNCTION("""COMPUTED_VALUE"""),612.99)</f>
        <v>612.99</v>
      </c>
    </row>
    <row r="295">
      <c r="A295" s="3">
        <f>IFERROR(__xludf.DUMMYFUNCTION("""COMPUTED_VALUE"""),42432.66666666667)</f>
        <v>42432.66667</v>
      </c>
      <c r="B295" s="2">
        <f>IFERROR(__xludf.DUMMYFUNCTION("""COMPUTED_VALUE"""),27.09)</f>
        <v>27.09</v>
      </c>
      <c r="D295" s="3">
        <f>IFERROR(__xludf.DUMMYFUNCTION("""COMPUTED_VALUE"""),42432.66666666667)</f>
        <v>42432.66667</v>
      </c>
      <c r="E295" s="2">
        <f>IFERROR(__xludf.DUMMYFUNCTION("""COMPUTED_VALUE"""),8.16)</f>
        <v>8.16</v>
      </c>
      <c r="G295" s="3">
        <f>IFERROR(__xludf.DUMMYFUNCTION("""COMPUTED_VALUE"""),42620.99861111111)</f>
        <v>42620.99861</v>
      </c>
      <c r="H295" s="2">
        <f>IFERROR(__xludf.DUMMYFUNCTION("""COMPUTED_VALUE"""),615.21)</f>
        <v>615.21</v>
      </c>
    </row>
    <row r="296">
      <c r="A296" s="3">
        <f>IFERROR(__xludf.DUMMYFUNCTION("""COMPUTED_VALUE"""),42433.66666666667)</f>
        <v>42433.66667</v>
      </c>
      <c r="B296" s="2">
        <f>IFERROR(__xludf.DUMMYFUNCTION("""COMPUTED_VALUE"""),27.22)</f>
        <v>27.22</v>
      </c>
      <c r="D296" s="3">
        <f>IFERROR(__xludf.DUMMYFUNCTION("""COMPUTED_VALUE"""),42433.66666666667)</f>
        <v>42433.66667</v>
      </c>
      <c r="E296" s="2">
        <f>IFERROR(__xludf.DUMMYFUNCTION("""COMPUTED_VALUE"""),8.14)</f>
        <v>8.14</v>
      </c>
      <c r="G296" s="3">
        <f>IFERROR(__xludf.DUMMYFUNCTION("""COMPUTED_VALUE"""),42621.99861111111)</f>
        <v>42621.99861</v>
      </c>
      <c r="H296" s="2">
        <f>IFERROR(__xludf.DUMMYFUNCTION("""COMPUTED_VALUE"""),627.97)</f>
        <v>627.97</v>
      </c>
    </row>
    <row r="297">
      <c r="A297" s="3">
        <f>IFERROR(__xludf.DUMMYFUNCTION("""COMPUTED_VALUE"""),42436.66666666667)</f>
        <v>42436.66667</v>
      </c>
      <c r="B297" s="2">
        <f>IFERROR(__xludf.DUMMYFUNCTION("""COMPUTED_VALUE"""),27.15)</f>
        <v>27.15</v>
      </c>
      <c r="D297" s="3">
        <f>IFERROR(__xludf.DUMMYFUNCTION("""COMPUTED_VALUE"""),42436.66666666667)</f>
        <v>42436.66667</v>
      </c>
      <c r="E297" s="2">
        <f>IFERROR(__xludf.DUMMYFUNCTION("""COMPUTED_VALUE"""),8.09)</f>
        <v>8.09</v>
      </c>
      <c r="G297" s="3">
        <f>IFERROR(__xludf.DUMMYFUNCTION("""COMPUTED_VALUE"""),42622.99861111111)</f>
        <v>42622.99861</v>
      </c>
      <c r="H297" s="2">
        <f>IFERROR(__xludf.DUMMYFUNCTION("""COMPUTED_VALUE"""),622.07)</f>
        <v>622.07</v>
      </c>
    </row>
    <row r="298">
      <c r="A298" s="3">
        <f>IFERROR(__xludf.DUMMYFUNCTION("""COMPUTED_VALUE"""),42437.66666666667)</f>
        <v>42437.66667</v>
      </c>
      <c r="B298" s="2">
        <f>IFERROR(__xludf.DUMMYFUNCTION("""COMPUTED_VALUE"""),26.74)</f>
        <v>26.74</v>
      </c>
      <c r="D298" s="3">
        <f>IFERROR(__xludf.DUMMYFUNCTION("""COMPUTED_VALUE"""),42437.66666666667)</f>
        <v>42437.66667</v>
      </c>
      <c r="E298" s="2">
        <f>IFERROR(__xludf.DUMMYFUNCTION("""COMPUTED_VALUE"""),7.94)</f>
        <v>7.94</v>
      </c>
      <c r="G298" s="3">
        <f>IFERROR(__xludf.DUMMYFUNCTION("""COMPUTED_VALUE"""),42623.99861111111)</f>
        <v>42623.99861</v>
      </c>
      <c r="H298" s="2">
        <f>IFERROR(__xludf.DUMMYFUNCTION("""COMPUTED_VALUE"""),623.74)</f>
        <v>623.74</v>
      </c>
    </row>
    <row r="299">
      <c r="A299" s="3">
        <f>IFERROR(__xludf.DUMMYFUNCTION("""COMPUTED_VALUE"""),42438.66666666667)</f>
        <v>42438.66667</v>
      </c>
      <c r="B299" s="2">
        <f>IFERROR(__xludf.DUMMYFUNCTION("""COMPUTED_VALUE"""),25.8)</f>
        <v>25.8</v>
      </c>
      <c r="D299" s="3">
        <f>IFERROR(__xludf.DUMMYFUNCTION("""COMPUTED_VALUE"""),42438.66666666667)</f>
        <v>42438.66667</v>
      </c>
      <c r="E299" s="2">
        <f>IFERROR(__xludf.DUMMYFUNCTION("""COMPUTED_VALUE"""),7.93)</f>
        <v>7.93</v>
      </c>
      <c r="G299" s="3">
        <f>IFERROR(__xludf.DUMMYFUNCTION("""COMPUTED_VALUE"""),42624.99861111111)</f>
        <v>42624.99861</v>
      </c>
      <c r="H299" s="2">
        <f>IFERROR(__xludf.DUMMYFUNCTION("""COMPUTED_VALUE"""),607.94)</f>
        <v>607.94</v>
      </c>
    </row>
    <row r="300">
      <c r="A300" s="3">
        <f>IFERROR(__xludf.DUMMYFUNCTION("""COMPUTED_VALUE"""),42439.66666666667)</f>
        <v>42439.66667</v>
      </c>
      <c r="B300" s="2">
        <f>IFERROR(__xludf.DUMMYFUNCTION("""COMPUTED_VALUE"""),26.05)</f>
        <v>26.05</v>
      </c>
      <c r="D300" s="3">
        <f>IFERROR(__xludf.DUMMYFUNCTION("""COMPUTED_VALUE"""),42439.66666666667)</f>
        <v>42439.66667</v>
      </c>
      <c r="E300" s="2">
        <f>IFERROR(__xludf.DUMMYFUNCTION("""COMPUTED_VALUE"""),7.92)</f>
        <v>7.92</v>
      </c>
      <c r="G300" s="3">
        <f>IFERROR(__xludf.DUMMYFUNCTION("""COMPUTED_VALUE"""),42625.99861111111)</f>
        <v>42625.99861</v>
      </c>
      <c r="H300" s="2">
        <f>IFERROR(__xludf.DUMMYFUNCTION("""COMPUTED_VALUE"""),606.74)</f>
        <v>606.74</v>
      </c>
    </row>
    <row r="301">
      <c r="A301" s="3">
        <f>IFERROR(__xludf.DUMMYFUNCTION("""COMPUTED_VALUE"""),42440.66666666667)</f>
        <v>42440.66667</v>
      </c>
      <c r="B301" s="2">
        <f>IFERROR(__xludf.DUMMYFUNCTION("""COMPUTED_VALUE"""),26.56)</f>
        <v>26.56</v>
      </c>
      <c r="D301" s="3">
        <f>IFERROR(__xludf.DUMMYFUNCTION("""COMPUTED_VALUE"""),42440.66666666667)</f>
        <v>42440.66667</v>
      </c>
      <c r="E301" s="2">
        <f>IFERROR(__xludf.DUMMYFUNCTION("""COMPUTED_VALUE"""),8.06)</f>
        <v>8.06</v>
      </c>
      <c r="G301" s="3">
        <f>IFERROR(__xludf.DUMMYFUNCTION("""COMPUTED_VALUE"""),42626.99861111111)</f>
        <v>42626.99861</v>
      </c>
      <c r="H301" s="2">
        <f>IFERROR(__xludf.DUMMYFUNCTION("""COMPUTED_VALUE"""),608.63)</f>
        <v>608.63</v>
      </c>
    </row>
    <row r="302">
      <c r="A302" s="3">
        <f>IFERROR(__xludf.DUMMYFUNCTION("""COMPUTED_VALUE"""),42443.66666666667)</f>
        <v>42443.66667</v>
      </c>
      <c r="B302" s="2">
        <f>IFERROR(__xludf.DUMMYFUNCTION("""COMPUTED_VALUE"""),26.57)</f>
        <v>26.57</v>
      </c>
      <c r="D302" s="3">
        <f>IFERROR(__xludf.DUMMYFUNCTION("""COMPUTED_VALUE"""),42443.66666666667)</f>
        <v>42443.66667</v>
      </c>
      <c r="E302" s="2">
        <f>IFERROR(__xludf.DUMMYFUNCTION("""COMPUTED_VALUE"""),8.07)</f>
        <v>8.07</v>
      </c>
      <c r="G302" s="3">
        <f>IFERROR(__xludf.DUMMYFUNCTION("""COMPUTED_VALUE"""),42627.99861111111)</f>
        <v>42627.99861</v>
      </c>
      <c r="H302" s="2">
        <f>IFERROR(__xludf.DUMMYFUNCTION("""COMPUTED_VALUE"""),608.43)</f>
        <v>608.43</v>
      </c>
    </row>
    <row r="303">
      <c r="A303" s="3">
        <f>IFERROR(__xludf.DUMMYFUNCTION("""COMPUTED_VALUE"""),42444.66666666667)</f>
        <v>42444.66667</v>
      </c>
      <c r="B303" s="2">
        <f>IFERROR(__xludf.DUMMYFUNCTION("""COMPUTED_VALUE"""),26.21)</f>
        <v>26.21</v>
      </c>
      <c r="D303" s="3">
        <f>IFERROR(__xludf.DUMMYFUNCTION("""COMPUTED_VALUE"""),42444.66666666667)</f>
        <v>42444.66667</v>
      </c>
      <c r="E303" s="2">
        <f>IFERROR(__xludf.DUMMYFUNCTION("""COMPUTED_VALUE"""),8.04)</f>
        <v>8.04</v>
      </c>
      <c r="G303" s="3">
        <f>IFERROR(__xludf.DUMMYFUNCTION("""COMPUTED_VALUE"""),42628.99861111111)</f>
        <v>42628.99861</v>
      </c>
      <c r="H303" s="2">
        <f>IFERROR(__xludf.DUMMYFUNCTION("""COMPUTED_VALUE"""),605.44)</f>
        <v>605.44</v>
      </c>
    </row>
    <row r="304">
      <c r="A304" s="3">
        <f>IFERROR(__xludf.DUMMYFUNCTION("""COMPUTED_VALUE"""),42445.66666666667)</f>
        <v>42445.66667</v>
      </c>
      <c r="B304" s="2">
        <f>IFERROR(__xludf.DUMMYFUNCTION("""COMPUTED_VALUE"""),26.52)</f>
        <v>26.52</v>
      </c>
      <c r="D304" s="3">
        <f>IFERROR(__xludf.DUMMYFUNCTION("""COMPUTED_VALUE"""),42445.66666666667)</f>
        <v>42445.66667</v>
      </c>
      <c r="E304" s="2">
        <f>IFERROR(__xludf.DUMMYFUNCTION("""COMPUTED_VALUE"""),8.28)</f>
        <v>8.28</v>
      </c>
      <c r="G304" s="3">
        <f>IFERROR(__xludf.DUMMYFUNCTION("""COMPUTED_VALUE"""),42629.99861111111)</f>
        <v>42629.99861</v>
      </c>
      <c r="H304" s="2">
        <f>IFERROR(__xludf.DUMMYFUNCTION("""COMPUTED_VALUE"""),607.93)</f>
        <v>607.93</v>
      </c>
    </row>
    <row r="305">
      <c r="A305" s="3">
        <f>IFERROR(__xludf.DUMMYFUNCTION("""COMPUTED_VALUE"""),42446.66666666667)</f>
        <v>42446.66667</v>
      </c>
      <c r="B305" s="2">
        <f>IFERROR(__xludf.DUMMYFUNCTION("""COMPUTED_VALUE"""),27.25)</f>
        <v>27.25</v>
      </c>
      <c r="D305" s="3">
        <f>IFERROR(__xludf.DUMMYFUNCTION("""COMPUTED_VALUE"""),42446.66666666667)</f>
        <v>42446.66667</v>
      </c>
      <c r="E305" s="2">
        <f>IFERROR(__xludf.DUMMYFUNCTION("""COMPUTED_VALUE"""),8.21)</f>
        <v>8.21</v>
      </c>
      <c r="G305" s="3">
        <f>IFERROR(__xludf.DUMMYFUNCTION("""COMPUTED_VALUE"""),42630.99861111111)</f>
        <v>42630.99861</v>
      </c>
      <c r="H305" s="2">
        <f>IFERROR(__xludf.DUMMYFUNCTION("""COMPUTED_VALUE"""),607.92)</f>
        <v>607.92</v>
      </c>
    </row>
    <row r="306">
      <c r="A306" s="3">
        <f>IFERROR(__xludf.DUMMYFUNCTION("""COMPUTED_VALUE"""),42447.66666666667)</f>
        <v>42447.66667</v>
      </c>
      <c r="B306" s="2">
        <f>IFERROR(__xludf.DUMMYFUNCTION("""COMPUTED_VALUE"""),27.74)</f>
        <v>27.74</v>
      </c>
      <c r="D306" s="3">
        <f>IFERROR(__xludf.DUMMYFUNCTION("""COMPUTED_VALUE"""),42447.66666666667)</f>
        <v>42447.66667</v>
      </c>
      <c r="E306" s="2">
        <f>IFERROR(__xludf.DUMMYFUNCTION("""COMPUTED_VALUE"""),8.45)</f>
        <v>8.45</v>
      </c>
      <c r="G306" s="3">
        <f>IFERROR(__xludf.DUMMYFUNCTION("""COMPUTED_VALUE"""),42631.99861111111)</f>
        <v>42631.99861</v>
      </c>
      <c r="H306" s="2">
        <f>IFERROR(__xludf.DUMMYFUNCTION("""COMPUTED_VALUE"""),611.4)</f>
        <v>611.4</v>
      </c>
    </row>
    <row r="307">
      <c r="A307" s="3">
        <f>IFERROR(__xludf.DUMMYFUNCTION("""COMPUTED_VALUE"""),42450.66666666667)</f>
        <v>42450.66667</v>
      </c>
      <c r="B307" s="2">
        <f>IFERROR(__xludf.DUMMYFUNCTION("""COMPUTED_VALUE"""),27.94)</f>
        <v>27.94</v>
      </c>
      <c r="D307" s="3">
        <f>IFERROR(__xludf.DUMMYFUNCTION("""COMPUTED_VALUE"""),42450.66666666667)</f>
        <v>42450.66667</v>
      </c>
      <c r="E307" s="2">
        <f>IFERROR(__xludf.DUMMYFUNCTION("""COMPUTED_VALUE"""),8.48)</f>
        <v>8.48</v>
      </c>
      <c r="G307" s="3">
        <f>IFERROR(__xludf.DUMMYFUNCTION("""COMPUTED_VALUE"""),42632.99861111111)</f>
        <v>42632.99861</v>
      </c>
      <c r="H307" s="2">
        <f>IFERROR(__xludf.DUMMYFUNCTION("""COMPUTED_VALUE"""),608.6)</f>
        <v>608.6</v>
      </c>
    </row>
    <row r="308">
      <c r="A308" s="3">
        <f>IFERROR(__xludf.DUMMYFUNCTION("""COMPUTED_VALUE"""),42451.66666666667)</f>
        <v>42451.66667</v>
      </c>
      <c r="B308" s="2">
        <f>IFERROR(__xludf.DUMMYFUNCTION("""COMPUTED_VALUE"""),28.22)</f>
        <v>28.22</v>
      </c>
      <c r="D308" s="3">
        <f>IFERROR(__xludf.DUMMYFUNCTION("""COMPUTED_VALUE"""),42451.66666666667)</f>
        <v>42451.66667</v>
      </c>
      <c r="E308" s="2">
        <f>IFERROR(__xludf.DUMMYFUNCTION("""COMPUTED_VALUE"""),8.46)</f>
        <v>8.46</v>
      </c>
      <c r="G308" s="3">
        <f>IFERROR(__xludf.DUMMYFUNCTION("""COMPUTED_VALUE"""),42633.99861111111)</f>
        <v>42633.99861</v>
      </c>
      <c r="H308" s="2">
        <f>IFERROR(__xludf.DUMMYFUNCTION("""COMPUTED_VALUE"""),605.6)</f>
        <v>605.6</v>
      </c>
    </row>
    <row r="309">
      <c r="A309" s="3">
        <f>IFERROR(__xludf.DUMMYFUNCTION("""COMPUTED_VALUE"""),42452.66666666667)</f>
        <v>42452.66667</v>
      </c>
      <c r="B309" s="2">
        <f>IFERROR(__xludf.DUMMYFUNCTION("""COMPUTED_VALUE"""),27.0)</f>
        <v>27</v>
      </c>
      <c r="D309" s="3">
        <f>IFERROR(__xludf.DUMMYFUNCTION("""COMPUTED_VALUE"""),42452.66666666667)</f>
        <v>42452.66667</v>
      </c>
      <c r="E309" s="2">
        <f>IFERROR(__xludf.DUMMYFUNCTION("""COMPUTED_VALUE"""),8.61)</f>
        <v>8.61</v>
      </c>
      <c r="G309" s="3">
        <f>IFERROR(__xludf.DUMMYFUNCTION("""COMPUTED_VALUE"""),42634.99861111111)</f>
        <v>42634.99861</v>
      </c>
      <c r="H309" s="2">
        <f>IFERROR(__xludf.DUMMYFUNCTION("""COMPUTED_VALUE"""),597.0)</f>
        <v>597</v>
      </c>
    </row>
    <row r="310">
      <c r="A310" s="3">
        <f>IFERROR(__xludf.DUMMYFUNCTION("""COMPUTED_VALUE"""),42453.66666666667)</f>
        <v>42453.66667</v>
      </c>
      <c r="B310" s="2">
        <f>IFERROR(__xludf.DUMMYFUNCTION("""COMPUTED_VALUE"""),27.0)</f>
        <v>27</v>
      </c>
      <c r="D310" s="3">
        <f>IFERROR(__xludf.DUMMYFUNCTION("""COMPUTED_VALUE"""),42453.66666666667)</f>
        <v>42453.66667</v>
      </c>
      <c r="E310" s="2">
        <f>IFERROR(__xludf.DUMMYFUNCTION("""COMPUTED_VALUE"""),8.62)</f>
        <v>8.62</v>
      </c>
      <c r="G310" s="3">
        <f>IFERROR(__xludf.DUMMYFUNCTION("""COMPUTED_VALUE"""),42635.99861111111)</f>
        <v>42635.99861</v>
      </c>
      <c r="H310" s="2">
        <f>IFERROR(__xludf.DUMMYFUNCTION("""COMPUTED_VALUE"""),596.21)</f>
        <v>596.21</v>
      </c>
    </row>
    <row r="311">
      <c r="A311" s="3">
        <f>IFERROR(__xludf.DUMMYFUNCTION("""COMPUTED_VALUE"""),42457.66666666667)</f>
        <v>42457.66667</v>
      </c>
      <c r="B311" s="2">
        <f>IFERROR(__xludf.DUMMYFUNCTION("""COMPUTED_VALUE"""),27.24)</f>
        <v>27.24</v>
      </c>
      <c r="D311" s="3">
        <f>IFERROR(__xludf.DUMMYFUNCTION("""COMPUTED_VALUE"""),42457.66666666667)</f>
        <v>42457.66667</v>
      </c>
      <c r="E311" s="2">
        <f>IFERROR(__xludf.DUMMYFUNCTION("""COMPUTED_VALUE"""),8.71)</f>
        <v>8.71</v>
      </c>
      <c r="G311" s="3">
        <f>IFERROR(__xludf.DUMMYFUNCTION("""COMPUTED_VALUE"""),42636.99861111111)</f>
        <v>42636.99861</v>
      </c>
      <c r="H311" s="2">
        <f>IFERROR(__xludf.DUMMYFUNCTION("""COMPUTED_VALUE"""),602.96)</f>
        <v>602.96</v>
      </c>
    </row>
    <row r="312">
      <c r="A312" s="3">
        <f>IFERROR(__xludf.DUMMYFUNCTION("""COMPUTED_VALUE"""),42458.66666666667)</f>
        <v>42458.66667</v>
      </c>
      <c r="B312" s="2">
        <f>IFERROR(__xludf.DUMMYFUNCTION("""COMPUTED_VALUE"""),27.74)</f>
        <v>27.74</v>
      </c>
      <c r="D312" s="3">
        <f>IFERROR(__xludf.DUMMYFUNCTION("""COMPUTED_VALUE"""),42458.66666666667)</f>
        <v>42458.66667</v>
      </c>
      <c r="E312" s="2">
        <f>IFERROR(__xludf.DUMMYFUNCTION("""COMPUTED_VALUE"""),8.85)</f>
        <v>8.85</v>
      </c>
      <c r="G312" s="3">
        <f>IFERROR(__xludf.DUMMYFUNCTION("""COMPUTED_VALUE"""),42637.99861111111)</f>
        <v>42637.99861</v>
      </c>
      <c r="H312" s="2">
        <f>IFERROR(__xludf.DUMMYFUNCTION("""COMPUTED_VALUE"""),603.68)</f>
        <v>603.68</v>
      </c>
    </row>
    <row r="313">
      <c r="A313" s="3">
        <f>IFERROR(__xludf.DUMMYFUNCTION("""COMPUTED_VALUE"""),42459.66666666667)</f>
        <v>42459.66667</v>
      </c>
      <c r="B313" s="2">
        <f>IFERROR(__xludf.DUMMYFUNCTION("""COMPUTED_VALUE"""),27.42)</f>
        <v>27.42</v>
      </c>
      <c r="D313" s="3">
        <f>IFERROR(__xludf.DUMMYFUNCTION("""COMPUTED_VALUE"""),42459.66666666667)</f>
        <v>42459.66667</v>
      </c>
      <c r="E313" s="2">
        <f>IFERROR(__xludf.DUMMYFUNCTION("""COMPUTED_VALUE"""),8.94)</f>
        <v>8.94</v>
      </c>
      <c r="G313" s="3">
        <f>IFERROR(__xludf.DUMMYFUNCTION("""COMPUTED_VALUE"""),42638.99861111111)</f>
        <v>42638.99861</v>
      </c>
      <c r="H313" s="2">
        <f>IFERROR(__xludf.DUMMYFUNCTION("""COMPUTED_VALUE"""),601.67)</f>
        <v>601.67</v>
      </c>
    </row>
    <row r="314">
      <c r="A314" s="3">
        <f>IFERROR(__xludf.DUMMYFUNCTION("""COMPUTED_VALUE"""),42460.66666666667)</f>
        <v>42460.66667</v>
      </c>
      <c r="B314" s="2">
        <f>IFERROR(__xludf.DUMMYFUNCTION("""COMPUTED_VALUE"""),27.74)</f>
        <v>27.74</v>
      </c>
      <c r="D314" s="3">
        <f>IFERROR(__xludf.DUMMYFUNCTION("""COMPUTED_VALUE"""),42460.66666666667)</f>
        <v>42460.66667</v>
      </c>
      <c r="E314" s="2">
        <f>IFERROR(__xludf.DUMMYFUNCTION("""COMPUTED_VALUE"""),8.91)</f>
        <v>8.91</v>
      </c>
      <c r="G314" s="3">
        <f>IFERROR(__xludf.DUMMYFUNCTION("""COMPUTED_VALUE"""),42639.99861111111)</f>
        <v>42639.99861</v>
      </c>
      <c r="H314" s="2">
        <f>IFERROR(__xludf.DUMMYFUNCTION("""COMPUTED_VALUE"""),607.08)</f>
        <v>607.08</v>
      </c>
    </row>
    <row r="315">
      <c r="A315" s="3">
        <f>IFERROR(__xludf.DUMMYFUNCTION("""COMPUTED_VALUE"""),42461.66666666667)</f>
        <v>42461.66667</v>
      </c>
      <c r="B315" s="2">
        <f>IFERROR(__xludf.DUMMYFUNCTION("""COMPUTED_VALUE"""),27.81)</f>
        <v>27.81</v>
      </c>
      <c r="D315" s="3">
        <f>IFERROR(__xludf.DUMMYFUNCTION("""COMPUTED_VALUE"""),42461.66666666667)</f>
        <v>42461.66667</v>
      </c>
      <c r="E315" s="2">
        <f>IFERROR(__xludf.DUMMYFUNCTION("""COMPUTED_VALUE"""),9.04)</f>
        <v>9.04</v>
      </c>
      <c r="G315" s="3">
        <f>IFERROR(__xludf.DUMMYFUNCTION("""COMPUTED_VALUE"""),42640.99861111111)</f>
        <v>42640.99861</v>
      </c>
      <c r="H315" s="2">
        <f>IFERROR(__xludf.DUMMYFUNCTION("""COMPUTED_VALUE"""),605.71)</f>
        <v>605.71</v>
      </c>
    </row>
    <row r="316">
      <c r="A316" s="3">
        <f>IFERROR(__xludf.DUMMYFUNCTION("""COMPUTED_VALUE"""),42464.66666666667)</f>
        <v>42464.66667</v>
      </c>
      <c r="B316" s="2">
        <f>IFERROR(__xludf.DUMMYFUNCTION("""COMPUTED_VALUE"""),27.35)</f>
        <v>27.35</v>
      </c>
      <c r="D316" s="3">
        <f>IFERROR(__xludf.DUMMYFUNCTION("""COMPUTED_VALUE"""),42464.66666666667)</f>
        <v>42464.66667</v>
      </c>
      <c r="E316" s="2">
        <f>IFERROR(__xludf.DUMMYFUNCTION("""COMPUTED_VALUE"""),8.95)</f>
        <v>8.95</v>
      </c>
      <c r="G316" s="3">
        <f>IFERROR(__xludf.DUMMYFUNCTION("""COMPUTED_VALUE"""),42641.99861111111)</f>
        <v>42641.99861</v>
      </c>
      <c r="H316" s="2">
        <f>IFERROR(__xludf.DUMMYFUNCTION("""COMPUTED_VALUE"""),605.04)</f>
        <v>605.04</v>
      </c>
    </row>
    <row r="317">
      <c r="A317" s="3">
        <f>IFERROR(__xludf.DUMMYFUNCTION("""COMPUTED_VALUE"""),42465.66666666667)</f>
        <v>42465.66667</v>
      </c>
      <c r="B317" s="2">
        <f>IFERROR(__xludf.DUMMYFUNCTION("""COMPUTED_VALUE"""),26.9)</f>
        <v>26.9</v>
      </c>
      <c r="D317" s="3">
        <f>IFERROR(__xludf.DUMMYFUNCTION("""COMPUTED_VALUE"""),42465.66666666667)</f>
        <v>42465.66667</v>
      </c>
      <c r="E317" s="2">
        <f>IFERROR(__xludf.DUMMYFUNCTION("""COMPUTED_VALUE"""),8.94)</f>
        <v>8.94</v>
      </c>
      <c r="G317" s="3">
        <f>IFERROR(__xludf.DUMMYFUNCTION("""COMPUTED_VALUE"""),42642.99861111111)</f>
        <v>42642.99861</v>
      </c>
      <c r="H317" s="2">
        <f>IFERROR(__xludf.DUMMYFUNCTION("""COMPUTED_VALUE"""),605.99)</f>
        <v>605.99</v>
      </c>
    </row>
    <row r="318">
      <c r="A318" s="3">
        <f>IFERROR(__xludf.DUMMYFUNCTION("""COMPUTED_VALUE"""),42466.66666666667)</f>
        <v>42466.66667</v>
      </c>
      <c r="B318" s="2">
        <f>IFERROR(__xludf.DUMMYFUNCTION("""COMPUTED_VALUE"""),26.77)</f>
        <v>26.77</v>
      </c>
      <c r="D318" s="3">
        <f>IFERROR(__xludf.DUMMYFUNCTION("""COMPUTED_VALUE"""),42466.66666666667)</f>
        <v>42466.66667</v>
      </c>
      <c r="E318" s="2">
        <f>IFERROR(__xludf.DUMMYFUNCTION("""COMPUTED_VALUE"""),8.95)</f>
        <v>8.95</v>
      </c>
      <c r="G318" s="3">
        <f>IFERROR(__xludf.DUMMYFUNCTION("""COMPUTED_VALUE"""),42643.99861111111)</f>
        <v>42643.99861</v>
      </c>
      <c r="H318" s="2">
        <f>IFERROR(__xludf.DUMMYFUNCTION("""COMPUTED_VALUE"""),608.99)</f>
        <v>608.99</v>
      </c>
    </row>
    <row r="319">
      <c r="A319" s="3">
        <f>IFERROR(__xludf.DUMMYFUNCTION("""COMPUTED_VALUE"""),42467.66666666667)</f>
        <v>42467.66667</v>
      </c>
      <c r="B319" s="2">
        <f>IFERROR(__xludf.DUMMYFUNCTION("""COMPUTED_VALUE"""),26.43)</f>
        <v>26.43</v>
      </c>
      <c r="D319" s="3">
        <f>IFERROR(__xludf.DUMMYFUNCTION("""COMPUTED_VALUE"""),42467.66666666667)</f>
        <v>42467.66667</v>
      </c>
      <c r="E319" s="2">
        <f>IFERROR(__xludf.DUMMYFUNCTION("""COMPUTED_VALUE"""),8.86)</f>
        <v>8.86</v>
      </c>
      <c r="G319" s="3">
        <f>IFERROR(__xludf.DUMMYFUNCTION("""COMPUTED_VALUE"""),42644.99861111111)</f>
        <v>42644.99861</v>
      </c>
      <c r="H319" s="2">
        <f>IFERROR(__xludf.DUMMYFUNCTION("""COMPUTED_VALUE"""),615.65)</f>
        <v>615.65</v>
      </c>
    </row>
    <row r="320">
      <c r="A320" s="3">
        <f>IFERROR(__xludf.DUMMYFUNCTION("""COMPUTED_VALUE"""),42468.66666666667)</f>
        <v>42468.66667</v>
      </c>
      <c r="B320" s="2">
        <f>IFERROR(__xludf.DUMMYFUNCTION("""COMPUTED_VALUE"""),26.72)</f>
        <v>26.72</v>
      </c>
      <c r="D320" s="3">
        <f>IFERROR(__xludf.DUMMYFUNCTION("""COMPUTED_VALUE"""),42468.66666666667)</f>
        <v>42468.66667</v>
      </c>
      <c r="E320" s="2">
        <f>IFERROR(__xludf.DUMMYFUNCTION("""COMPUTED_VALUE"""),8.91)</f>
        <v>8.91</v>
      </c>
      <c r="G320" s="3">
        <f>IFERROR(__xludf.DUMMYFUNCTION("""COMPUTED_VALUE"""),42645.99861111111)</f>
        <v>42645.99861</v>
      </c>
      <c r="H320" s="2">
        <f>IFERROR(__xludf.DUMMYFUNCTION("""COMPUTED_VALUE"""),612.4)</f>
        <v>612.4</v>
      </c>
    </row>
    <row r="321">
      <c r="A321" s="3">
        <f>IFERROR(__xludf.DUMMYFUNCTION("""COMPUTED_VALUE"""),42471.66666666667)</f>
        <v>42471.66667</v>
      </c>
      <c r="B321" s="2">
        <f>IFERROR(__xludf.DUMMYFUNCTION("""COMPUTED_VALUE"""),26.94)</f>
        <v>26.94</v>
      </c>
      <c r="D321" s="3">
        <f>IFERROR(__xludf.DUMMYFUNCTION("""COMPUTED_VALUE"""),42471.66666666667)</f>
        <v>42471.66667</v>
      </c>
      <c r="E321" s="2">
        <f>IFERROR(__xludf.DUMMYFUNCTION("""COMPUTED_VALUE"""),8.97)</f>
        <v>8.97</v>
      </c>
      <c r="G321" s="3">
        <f>IFERROR(__xludf.DUMMYFUNCTION("""COMPUTED_VALUE"""),42646.99861111111)</f>
        <v>42646.99861</v>
      </c>
      <c r="H321" s="2">
        <f>IFERROR(__xludf.DUMMYFUNCTION("""COMPUTED_VALUE"""),612.99)</f>
        <v>612.99</v>
      </c>
    </row>
    <row r="322">
      <c r="A322" s="3">
        <f>IFERROR(__xludf.DUMMYFUNCTION("""COMPUTED_VALUE"""),42472.66666666667)</f>
        <v>42472.66667</v>
      </c>
      <c r="B322" s="2">
        <f>IFERROR(__xludf.DUMMYFUNCTION("""COMPUTED_VALUE"""),26.72)</f>
        <v>26.72</v>
      </c>
      <c r="D322" s="3">
        <f>IFERROR(__xludf.DUMMYFUNCTION("""COMPUTED_VALUE"""),42472.66666666667)</f>
        <v>42472.66667</v>
      </c>
      <c r="E322" s="2">
        <f>IFERROR(__xludf.DUMMYFUNCTION("""COMPUTED_VALUE"""),8.96)</f>
        <v>8.96</v>
      </c>
      <c r="G322" s="3">
        <f>IFERROR(__xludf.DUMMYFUNCTION("""COMPUTED_VALUE"""),42647.99861111111)</f>
        <v>42647.99861</v>
      </c>
      <c r="H322" s="2">
        <f>IFERROR(__xludf.DUMMYFUNCTION("""COMPUTED_VALUE"""),610.34)</f>
        <v>610.34</v>
      </c>
    </row>
    <row r="323">
      <c r="A323" s="3">
        <f>IFERROR(__xludf.DUMMYFUNCTION("""COMPUTED_VALUE"""),42473.66666666667)</f>
        <v>42473.66667</v>
      </c>
      <c r="B323" s="2">
        <f>IFERROR(__xludf.DUMMYFUNCTION("""COMPUTED_VALUE"""),27.8)</f>
        <v>27.8</v>
      </c>
      <c r="D323" s="3">
        <f>IFERROR(__xludf.DUMMYFUNCTION("""COMPUTED_VALUE"""),42473.66666666667)</f>
        <v>42473.66667</v>
      </c>
      <c r="E323" s="2">
        <f>IFERROR(__xludf.DUMMYFUNCTION("""COMPUTED_VALUE"""),9.19)</f>
        <v>9.19</v>
      </c>
      <c r="G323" s="3">
        <f>IFERROR(__xludf.DUMMYFUNCTION("""COMPUTED_VALUE"""),42648.99861111111)</f>
        <v>42648.99861</v>
      </c>
      <c r="H323" s="2">
        <f>IFERROR(__xludf.DUMMYFUNCTION("""COMPUTED_VALUE"""),613.16)</f>
        <v>613.16</v>
      </c>
    </row>
    <row r="324">
      <c r="A324" s="3">
        <f>IFERROR(__xludf.DUMMYFUNCTION("""COMPUTED_VALUE"""),42474.66666666667)</f>
        <v>42474.66667</v>
      </c>
      <c r="B324" s="2">
        <f>IFERROR(__xludf.DUMMYFUNCTION("""COMPUTED_VALUE"""),27.32)</f>
        <v>27.32</v>
      </c>
      <c r="D324" s="3">
        <f>IFERROR(__xludf.DUMMYFUNCTION("""COMPUTED_VALUE"""),42474.66666666667)</f>
        <v>42474.66667</v>
      </c>
      <c r="E324" s="2">
        <f>IFERROR(__xludf.DUMMYFUNCTION("""COMPUTED_VALUE"""),9.21)</f>
        <v>9.21</v>
      </c>
      <c r="G324" s="3">
        <f>IFERROR(__xludf.DUMMYFUNCTION("""COMPUTED_VALUE"""),42649.99861111111)</f>
        <v>42649.99861</v>
      </c>
      <c r="H324" s="2">
        <f>IFERROR(__xludf.DUMMYFUNCTION("""COMPUTED_VALUE"""),611.88)</f>
        <v>611.88</v>
      </c>
    </row>
    <row r="325">
      <c r="A325" s="3">
        <f>IFERROR(__xludf.DUMMYFUNCTION("""COMPUTED_VALUE"""),42475.66666666667)</f>
        <v>42475.66667</v>
      </c>
      <c r="B325" s="2">
        <f>IFERROR(__xludf.DUMMYFUNCTION("""COMPUTED_VALUE"""),27.14)</f>
        <v>27.14</v>
      </c>
      <c r="D325" s="3">
        <f>IFERROR(__xludf.DUMMYFUNCTION("""COMPUTED_VALUE"""),42475.66666666667)</f>
        <v>42475.66667</v>
      </c>
      <c r="E325" s="2">
        <f>IFERROR(__xludf.DUMMYFUNCTION("""COMPUTED_VALUE"""),9.28)</f>
        <v>9.28</v>
      </c>
      <c r="G325" s="3">
        <f>IFERROR(__xludf.DUMMYFUNCTION("""COMPUTED_VALUE"""),42650.99861111111)</f>
        <v>42650.99861</v>
      </c>
      <c r="H325" s="2">
        <f>IFERROR(__xludf.DUMMYFUNCTION("""COMPUTED_VALUE"""),617.98)</f>
        <v>617.98</v>
      </c>
    </row>
    <row r="326">
      <c r="A326" s="3">
        <f>IFERROR(__xludf.DUMMYFUNCTION("""COMPUTED_VALUE"""),42478.66666666667)</f>
        <v>42478.66667</v>
      </c>
      <c r="B326" s="2">
        <f>IFERROR(__xludf.DUMMYFUNCTION("""COMPUTED_VALUE"""),27.1)</f>
        <v>27.1</v>
      </c>
      <c r="D326" s="3">
        <f>IFERROR(__xludf.DUMMYFUNCTION("""COMPUTED_VALUE"""),42478.66666666667)</f>
        <v>42478.66667</v>
      </c>
      <c r="E326" s="2">
        <f>IFERROR(__xludf.DUMMYFUNCTION("""COMPUTED_VALUE"""),9.24)</f>
        <v>9.24</v>
      </c>
      <c r="G326" s="3">
        <f>IFERROR(__xludf.DUMMYFUNCTION("""COMPUTED_VALUE"""),42651.99861111111)</f>
        <v>42651.99861</v>
      </c>
      <c r="H326" s="2">
        <f>IFERROR(__xludf.DUMMYFUNCTION("""COMPUTED_VALUE"""),619.5)</f>
        <v>619.5</v>
      </c>
    </row>
    <row r="327">
      <c r="A327" s="3">
        <f>IFERROR(__xludf.DUMMYFUNCTION("""COMPUTED_VALUE"""),42479.66666666667)</f>
        <v>42479.66667</v>
      </c>
      <c r="B327" s="2">
        <f>IFERROR(__xludf.DUMMYFUNCTION("""COMPUTED_VALUE"""),27.26)</f>
        <v>27.26</v>
      </c>
      <c r="D327" s="3">
        <f>IFERROR(__xludf.DUMMYFUNCTION("""COMPUTED_VALUE"""),42479.66666666667)</f>
        <v>42479.66667</v>
      </c>
      <c r="E327" s="2">
        <f>IFERROR(__xludf.DUMMYFUNCTION("""COMPUTED_VALUE"""),9.08)</f>
        <v>9.08</v>
      </c>
      <c r="G327" s="3">
        <f>IFERROR(__xludf.DUMMYFUNCTION("""COMPUTED_VALUE"""),42652.99861111111)</f>
        <v>42652.99861</v>
      </c>
      <c r="H327" s="2">
        <f>IFERROR(__xludf.DUMMYFUNCTION("""COMPUTED_VALUE"""),617.42)</f>
        <v>617.42</v>
      </c>
    </row>
    <row r="328">
      <c r="A328" s="3">
        <f>IFERROR(__xludf.DUMMYFUNCTION("""COMPUTED_VALUE"""),42480.66666666667)</f>
        <v>42480.66667</v>
      </c>
      <c r="B328" s="2">
        <f>IFERROR(__xludf.DUMMYFUNCTION("""COMPUTED_VALUE"""),27.16)</f>
        <v>27.16</v>
      </c>
      <c r="D328" s="3">
        <f>IFERROR(__xludf.DUMMYFUNCTION("""COMPUTED_VALUE"""),42480.66666666667)</f>
        <v>42480.66667</v>
      </c>
      <c r="E328" s="2">
        <f>IFERROR(__xludf.DUMMYFUNCTION("""COMPUTED_VALUE"""),9.11)</f>
        <v>9.11</v>
      </c>
      <c r="G328" s="3">
        <f>IFERROR(__xludf.DUMMYFUNCTION("""COMPUTED_VALUE"""),42653.99861111111)</f>
        <v>42653.99861</v>
      </c>
      <c r="H328" s="2">
        <f>IFERROR(__xludf.DUMMYFUNCTION("""COMPUTED_VALUE"""),618.72)</f>
        <v>618.72</v>
      </c>
    </row>
    <row r="329">
      <c r="A329" s="3">
        <f>IFERROR(__xludf.DUMMYFUNCTION("""COMPUTED_VALUE"""),42481.66666666667)</f>
        <v>42481.66667</v>
      </c>
      <c r="B329" s="2">
        <f>IFERROR(__xludf.DUMMYFUNCTION("""COMPUTED_VALUE"""),27.07)</f>
        <v>27.07</v>
      </c>
      <c r="D329" s="3">
        <f>IFERROR(__xludf.DUMMYFUNCTION("""COMPUTED_VALUE"""),42481.66666666667)</f>
        <v>42481.66667</v>
      </c>
      <c r="E329" s="2">
        <f>IFERROR(__xludf.DUMMYFUNCTION("""COMPUTED_VALUE"""),9.1)</f>
        <v>9.1</v>
      </c>
      <c r="G329" s="3">
        <f>IFERROR(__xludf.DUMMYFUNCTION("""COMPUTED_VALUE"""),42654.99861111111)</f>
        <v>42654.99861</v>
      </c>
      <c r="H329" s="2">
        <f>IFERROR(__xludf.DUMMYFUNCTION("""COMPUTED_VALUE"""),642.12)</f>
        <v>642.12</v>
      </c>
    </row>
    <row r="330">
      <c r="A330" s="3">
        <f>IFERROR(__xludf.DUMMYFUNCTION("""COMPUTED_VALUE"""),42482.66666666667)</f>
        <v>42482.66667</v>
      </c>
      <c r="B330" s="2">
        <f>IFERROR(__xludf.DUMMYFUNCTION("""COMPUTED_VALUE"""),27.43)</f>
        <v>27.43</v>
      </c>
      <c r="D330" s="3">
        <f>IFERROR(__xludf.DUMMYFUNCTION("""COMPUTED_VALUE"""),42482.66666666667)</f>
        <v>42482.66667</v>
      </c>
      <c r="E330" s="2">
        <f>IFERROR(__xludf.DUMMYFUNCTION("""COMPUTED_VALUE"""),9.07)</f>
        <v>9.07</v>
      </c>
      <c r="G330" s="3">
        <f>IFERROR(__xludf.DUMMYFUNCTION("""COMPUTED_VALUE"""),42655.99861111111)</f>
        <v>42655.99861</v>
      </c>
      <c r="H330" s="2">
        <f>IFERROR(__xludf.DUMMYFUNCTION("""COMPUTED_VALUE"""),635.79)</f>
        <v>635.79</v>
      </c>
    </row>
    <row r="331">
      <c r="A331" s="3">
        <f>IFERROR(__xludf.DUMMYFUNCTION("""COMPUTED_VALUE"""),42485.66666666667)</f>
        <v>42485.66667</v>
      </c>
      <c r="B331" s="2">
        <f>IFERROR(__xludf.DUMMYFUNCTION("""COMPUTED_VALUE"""),26.92)</f>
        <v>26.92</v>
      </c>
      <c r="D331" s="3">
        <f>IFERROR(__xludf.DUMMYFUNCTION("""COMPUTED_VALUE"""),42485.66666666667)</f>
        <v>42485.66667</v>
      </c>
      <c r="E331" s="2">
        <f>IFERROR(__xludf.DUMMYFUNCTION("""COMPUTED_VALUE"""),9.11)</f>
        <v>9.11</v>
      </c>
      <c r="G331" s="3">
        <f>IFERROR(__xludf.DUMMYFUNCTION("""COMPUTED_VALUE"""),42656.99861111111)</f>
        <v>42656.99861</v>
      </c>
      <c r="H331" s="2">
        <f>IFERROR(__xludf.DUMMYFUNCTION("""COMPUTED_VALUE"""),635.66)</f>
        <v>635.66</v>
      </c>
    </row>
    <row r="332">
      <c r="A332" s="3">
        <f>IFERROR(__xludf.DUMMYFUNCTION("""COMPUTED_VALUE"""),42486.66666666667)</f>
        <v>42486.66667</v>
      </c>
      <c r="B332" s="2">
        <f>IFERROR(__xludf.DUMMYFUNCTION("""COMPUTED_VALUE"""),27.29)</f>
        <v>27.29</v>
      </c>
      <c r="D332" s="3">
        <f>IFERROR(__xludf.DUMMYFUNCTION("""COMPUTED_VALUE"""),42486.66666666667)</f>
        <v>42486.66667</v>
      </c>
      <c r="E332" s="2">
        <f>IFERROR(__xludf.DUMMYFUNCTION("""COMPUTED_VALUE"""),9.12)</f>
        <v>9.12</v>
      </c>
      <c r="G332" s="3">
        <f>IFERROR(__xludf.DUMMYFUNCTION("""COMPUTED_VALUE"""),42657.99861111111)</f>
        <v>42657.99861</v>
      </c>
      <c r="H332" s="2">
        <f>IFERROR(__xludf.DUMMYFUNCTION("""COMPUTED_VALUE"""),638.03)</f>
        <v>638.03</v>
      </c>
    </row>
    <row r="333">
      <c r="A333" s="3">
        <f>IFERROR(__xludf.DUMMYFUNCTION("""COMPUTED_VALUE"""),42487.66666666667)</f>
        <v>42487.66667</v>
      </c>
      <c r="B333" s="2">
        <f>IFERROR(__xludf.DUMMYFUNCTION("""COMPUTED_VALUE"""),27.12)</f>
        <v>27.12</v>
      </c>
      <c r="D333" s="3">
        <f>IFERROR(__xludf.DUMMYFUNCTION("""COMPUTED_VALUE"""),42487.66666666667)</f>
        <v>42487.66667</v>
      </c>
      <c r="E333" s="2">
        <f>IFERROR(__xludf.DUMMYFUNCTION("""COMPUTED_VALUE"""),9.33)</f>
        <v>9.33</v>
      </c>
      <c r="G333" s="3">
        <f>IFERROR(__xludf.DUMMYFUNCTION("""COMPUTED_VALUE"""),42658.99861111111)</f>
        <v>42658.99861</v>
      </c>
      <c r="H333" s="2">
        <f>IFERROR(__xludf.DUMMYFUNCTION("""COMPUTED_VALUE"""),638.16)</f>
        <v>638.16</v>
      </c>
    </row>
    <row r="334">
      <c r="A334" s="3">
        <f>IFERROR(__xludf.DUMMYFUNCTION("""COMPUTED_VALUE"""),42488.66666666667)</f>
        <v>42488.66667</v>
      </c>
      <c r="B334" s="2">
        <f>IFERROR(__xludf.DUMMYFUNCTION("""COMPUTED_VALUE"""),26.45)</f>
        <v>26.45</v>
      </c>
      <c r="D334" s="3">
        <f>IFERROR(__xludf.DUMMYFUNCTION("""COMPUTED_VALUE"""),42488.66666666667)</f>
        <v>42488.66667</v>
      </c>
      <c r="E334" s="2">
        <f>IFERROR(__xludf.DUMMYFUNCTION("""COMPUTED_VALUE"""),9.05)</f>
        <v>9.05</v>
      </c>
      <c r="G334" s="3">
        <f>IFERROR(__xludf.DUMMYFUNCTION("""COMPUTED_VALUE"""),42659.99861111111)</f>
        <v>42659.99861</v>
      </c>
      <c r="H334" s="2">
        <f>IFERROR(__xludf.DUMMYFUNCTION("""COMPUTED_VALUE"""),641.92)</f>
        <v>641.92</v>
      </c>
    </row>
    <row r="335">
      <c r="A335" s="3">
        <f>IFERROR(__xludf.DUMMYFUNCTION("""COMPUTED_VALUE"""),42489.66666666667)</f>
        <v>42489.66667</v>
      </c>
      <c r="B335" s="2">
        <f>IFERROR(__xludf.DUMMYFUNCTION("""COMPUTED_VALUE"""),26.08)</f>
        <v>26.08</v>
      </c>
      <c r="D335" s="3">
        <f>IFERROR(__xludf.DUMMYFUNCTION("""COMPUTED_VALUE"""),42489.66666666667)</f>
        <v>42489.66667</v>
      </c>
      <c r="E335" s="2">
        <f>IFERROR(__xludf.DUMMYFUNCTION("""COMPUTED_VALUE"""),8.88)</f>
        <v>8.88</v>
      </c>
      <c r="G335" s="3">
        <f>IFERROR(__xludf.DUMMYFUNCTION("""COMPUTED_VALUE"""),42660.99861111111)</f>
        <v>42660.99861</v>
      </c>
      <c r="H335" s="2">
        <f>IFERROR(__xludf.DUMMYFUNCTION("""COMPUTED_VALUE"""),639.56)</f>
        <v>639.56</v>
      </c>
    </row>
    <row r="336">
      <c r="A336" s="3">
        <f>IFERROR(__xludf.DUMMYFUNCTION("""COMPUTED_VALUE"""),42492.66666666667)</f>
        <v>42492.66667</v>
      </c>
      <c r="B336" s="2">
        <f>IFERROR(__xludf.DUMMYFUNCTION("""COMPUTED_VALUE"""),26.0)</f>
        <v>26</v>
      </c>
      <c r="D336" s="3">
        <f>IFERROR(__xludf.DUMMYFUNCTION("""COMPUTED_VALUE"""),42492.66666666667)</f>
        <v>42492.66667</v>
      </c>
      <c r="E336" s="2">
        <f>IFERROR(__xludf.DUMMYFUNCTION("""COMPUTED_VALUE"""),9.0)</f>
        <v>9</v>
      </c>
      <c r="G336" s="3">
        <f>IFERROR(__xludf.DUMMYFUNCTION("""COMPUTED_VALUE"""),42661.99861111111)</f>
        <v>42661.99861</v>
      </c>
      <c r="H336" s="2">
        <f>IFERROR(__xludf.DUMMYFUNCTION("""COMPUTED_VALUE"""),635.11)</f>
        <v>635.11</v>
      </c>
    </row>
    <row r="337">
      <c r="A337" s="3">
        <f>IFERROR(__xludf.DUMMYFUNCTION("""COMPUTED_VALUE"""),42493.66666666667)</f>
        <v>42493.66667</v>
      </c>
      <c r="B337" s="2">
        <f>IFERROR(__xludf.DUMMYFUNCTION("""COMPUTED_VALUE"""),26.0)</f>
        <v>26</v>
      </c>
      <c r="D337" s="3">
        <f>IFERROR(__xludf.DUMMYFUNCTION("""COMPUTED_VALUE"""),42493.66666666667)</f>
        <v>42493.66667</v>
      </c>
      <c r="E337" s="2">
        <f>IFERROR(__xludf.DUMMYFUNCTION("""COMPUTED_VALUE"""),8.89)</f>
        <v>8.89</v>
      </c>
      <c r="G337" s="3">
        <f>IFERROR(__xludf.DUMMYFUNCTION("""COMPUTED_VALUE"""),42662.99861111111)</f>
        <v>42662.99861</v>
      </c>
      <c r="H337" s="2">
        <f>IFERROR(__xludf.DUMMYFUNCTION("""COMPUTED_VALUE"""),629.79)</f>
        <v>629.79</v>
      </c>
    </row>
    <row r="338">
      <c r="A338" s="3">
        <f>IFERROR(__xludf.DUMMYFUNCTION("""COMPUTED_VALUE"""),42494.66666666667)</f>
        <v>42494.66667</v>
      </c>
      <c r="B338" s="2">
        <f>IFERROR(__xludf.DUMMYFUNCTION("""COMPUTED_VALUE"""),25.91)</f>
        <v>25.91</v>
      </c>
      <c r="D338" s="3">
        <f>IFERROR(__xludf.DUMMYFUNCTION("""COMPUTED_VALUE"""),42494.66666666667)</f>
        <v>42494.66667</v>
      </c>
      <c r="E338" s="2">
        <f>IFERROR(__xludf.DUMMYFUNCTION("""COMPUTED_VALUE"""),8.69)</f>
        <v>8.69</v>
      </c>
      <c r="G338" s="3">
        <f>IFERROR(__xludf.DUMMYFUNCTION("""COMPUTED_VALUE"""),42663.99861111111)</f>
        <v>42663.99861</v>
      </c>
      <c r="H338" s="2">
        <f>IFERROR(__xludf.DUMMYFUNCTION("""COMPUTED_VALUE"""),628.05)</f>
        <v>628.05</v>
      </c>
    </row>
    <row r="339">
      <c r="A339" s="3">
        <f>IFERROR(__xludf.DUMMYFUNCTION("""COMPUTED_VALUE"""),42495.66666666667)</f>
        <v>42495.66667</v>
      </c>
      <c r="B339" s="2">
        <f>IFERROR(__xludf.DUMMYFUNCTION("""COMPUTED_VALUE"""),25.83)</f>
        <v>25.83</v>
      </c>
      <c r="D339" s="3">
        <f>IFERROR(__xludf.DUMMYFUNCTION("""COMPUTED_VALUE"""),42495.66666666667)</f>
        <v>42495.66667</v>
      </c>
      <c r="E339" s="2">
        <f>IFERROR(__xludf.DUMMYFUNCTION("""COMPUTED_VALUE"""),8.74)</f>
        <v>8.74</v>
      </c>
      <c r="G339" s="3">
        <f>IFERROR(__xludf.DUMMYFUNCTION("""COMPUTED_VALUE"""),42664.99861111111)</f>
        <v>42664.99861</v>
      </c>
      <c r="H339" s="2">
        <f>IFERROR(__xludf.DUMMYFUNCTION("""COMPUTED_VALUE"""),630.83)</f>
        <v>630.83</v>
      </c>
    </row>
    <row r="340">
      <c r="A340" s="3">
        <f>IFERROR(__xludf.DUMMYFUNCTION("""COMPUTED_VALUE"""),42496.66666666667)</f>
        <v>42496.66667</v>
      </c>
      <c r="B340" s="2">
        <f>IFERROR(__xludf.DUMMYFUNCTION("""COMPUTED_VALUE"""),25.98)</f>
        <v>25.98</v>
      </c>
      <c r="D340" s="3">
        <f>IFERROR(__xludf.DUMMYFUNCTION("""COMPUTED_VALUE"""),42496.66666666667)</f>
        <v>42496.66667</v>
      </c>
      <c r="E340" s="2">
        <f>IFERROR(__xludf.DUMMYFUNCTION("""COMPUTED_VALUE"""),8.83)</f>
        <v>8.83</v>
      </c>
      <c r="G340" s="3">
        <f>IFERROR(__xludf.DUMMYFUNCTION("""COMPUTED_VALUE"""),42665.99861111111)</f>
        <v>42665.99861</v>
      </c>
      <c r="H340" s="2">
        <f>IFERROR(__xludf.DUMMYFUNCTION("""COMPUTED_VALUE"""),652.75)</f>
        <v>652.75</v>
      </c>
    </row>
    <row r="341">
      <c r="A341" s="3">
        <f>IFERROR(__xludf.DUMMYFUNCTION("""COMPUTED_VALUE"""),42499.66666666667)</f>
        <v>42499.66667</v>
      </c>
      <c r="B341" s="2">
        <f>IFERROR(__xludf.DUMMYFUNCTION("""COMPUTED_VALUE"""),25.72)</f>
        <v>25.72</v>
      </c>
      <c r="D341" s="3">
        <f>IFERROR(__xludf.DUMMYFUNCTION("""COMPUTED_VALUE"""),42499.66666666667)</f>
        <v>42499.66667</v>
      </c>
      <c r="E341" s="2">
        <f>IFERROR(__xludf.DUMMYFUNCTION("""COMPUTED_VALUE"""),8.82)</f>
        <v>8.82</v>
      </c>
      <c r="G341" s="3">
        <f>IFERROR(__xludf.DUMMYFUNCTION("""COMPUTED_VALUE"""),42666.99861111111)</f>
        <v>42666.99861</v>
      </c>
      <c r="H341" s="2">
        <f>IFERROR(__xludf.DUMMYFUNCTION("""COMPUTED_VALUE"""),651.04)</f>
        <v>651.04</v>
      </c>
    </row>
    <row r="342">
      <c r="A342" s="3">
        <f>IFERROR(__xludf.DUMMYFUNCTION("""COMPUTED_VALUE"""),42500.66666666667)</f>
        <v>42500.66667</v>
      </c>
      <c r="B342" s="2">
        <f>IFERROR(__xludf.DUMMYFUNCTION("""COMPUTED_VALUE"""),26.21)</f>
        <v>26.21</v>
      </c>
      <c r="D342" s="3">
        <f>IFERROR(__xludf.DUMMYFUNCTION("""COMPUTED_VALUE"""),42500.66666666667)</f>
        <v>42500.66667</v>
      </c>
      <c r="E342" s="2">
        <f>IFERROR(__xludf.DUMMYFUNCTION("""COMPUTED_VALUE"""),8.99)</f>
        <v>8.99</v>
      </c>
      <c r="G342" s="3">
        <f>IFERROR(__xludf.DUMMYFUNCTION("""COMPUTED_VALUE"""),42667.99861111111)</f>
        <v>42667.99861</v>
      </c>
      <c r="H342" s="2">
        <f>IFERROR(__xludf.DUMMYFUNCTION("""COMPUTED_VALUE"""),649.98)</f>
        <v>649.98</v>
      </c>
    </row>
    <row r="343">
      <c r="A343" s="3">
        <f>IFERROR(__xludf.DUMMYFUNCTION("""COMPUTED_VALUE"""),42501.66666666667)</f>
        <v>42501.66667</v>
      </c>
      <c r="B343" s="2">
        <f>IFERROR(__xludf.DUMMYFUNCTION("""COMPUTED_VALUE"""),25.84)</f>
        <v>25.84</v>
      </c>
      <c r="D343" s="3">
        <f>IFERROR(__xludf.DUMMYFUNCTION("""COMPUTED_VALUE"""),42501.66666666667)</f>
        <v>42501.66667</v>
      </c>
      <c r="E343" s="2">
        <f>IFERROR(__xludf.DUMMYFUNCTION("""COMPUTED_VALUE"""),9.02)</f>
        <v>9.02</v>
      </c>
      <c r="G343" s="3">
        <f>IFERROR(__xludf.DUMMYFUNCTION("""COMPUTED_VALUE"""),42668.99861111111)</f>
        <v>42668.99861</v>
      </c>
      <c r="H343" s="2">
        <f>IFERROR(__xludf.DUMMYFUNCTION("""COMPUTED_VALUE"""),654.3)</f>
        <v>654.3</v>
      </c>
    </row>
    <row r="344">
      <c r="A344" s="3">
        <f>IFERROR(__xludf.DUMMYFUNCTION("""COMPUTED_VALUE"""),42502.66666666667)</f>
        <v>42502.66667</v>
      </c>
      <c r="B344" s="2">
        <f>IFERROR(__xludf.DUMMYFUNCTION("""COMPUTED_VALUE"""),26.27)</f>
        <v>26.27</v>
      </c>
      <c r="D344" s="3">
        <f>IFERROR(__xludf.DUMMYFUNCTION("""COMPUTED_VALUE"""),42502.66666666667)</f>
        <v>42502.66667</v>
      </c>
      <c r="E344" s="2">
        <f>IFERROR(__xludf.DUMMYFUNCTION("""COMPUTED_VALUE"""),8.89)</f>
        <v>8.89</v>
      </c>
      <c r="G344" s="3">
        <f>IFERROR(__xludf.DUMMYFUNCTION("""COMPUTED_VALUE"""),42669.99861111111)</f>
        <v>42669.99861</v>
      </c>
      <c r="H344" s="2">
        <f>IFERROR(__xludf.DUMMYFUNCTION("""COMPUTED_VALUE"""),674.0)</f>
        <v>674</v>
      </c>
    </row>
    <row r="345">
      <c r="A345" s="3">
        <f>IFERROR(__xludf.DUMMYFUNCTION("""COMPUTED_VALUE"""),42503.66666666667)</f>
        <v>42503.66667</v>
      </c>
      <c r="B345" s="2">
        <f>IFERROR(__xludf.DUMMYFUNCTION("""COMPUTED_VALUE"""),25.98)</f>
        <v>25.98</v>
      </c>
      <c r="D345" s="3">
        <f>IFERROR(__xludf.DUMMYFUNCTION("""COMPUTED_VALUE"""),42503.66666666667)</f>
        <v>42503.66667</v>
      </c>
      <c r="E345" s="2">
        <f>IFERROR(__xludf.DUMMYFUNCTION("""COMPUTED_VALUE"""),10.25)</f>
        <v>10.25</v>
      </c>
      <c r="G345" s="3">
        <f>IFERROR(__xludf.DUMMYFUNCTION("""COMPUTED_VALUE"""),42670.99861111111)</f>
        <v>42670.99861</v>
      </c>
      <c r="H345" s="2">
        <f>IFERROR(__xludf.DUMMYFUNCTION("""COMPUTED_VALUE"""),691.21)</f>
        <v>691.21</v>
      </c>
    </row>
    <row r="346">
      <c r="A346" s="3">
        <f>IFERROR(__xludf.DUMMYFUNCTION("""COMPUTED_VALUE"""),42506.66666666667)</f>
        <v>42506.66667</v>
      </c>
      <c r="B346" s="2">
        <f>IFERROR(__xludf.DUMMYFUNCTION("""COMPUTED_VALUE"""),26.27)</f>
        <v>26.27</v>
      </c>
      <c r="D346" s="3">
        <f>IFERROR(__xludf.DUMMYFUNCTION("""COMPUTED_VALUE"""),42506.66666666667)</f>
        <v>42506.66667</v>
      </c>
      <c r="E346" s="2">
        <f>IFERROR(__xludf.DUMMYFUNCTION("""COMPUTED_VALUE"""),10.55)</f>
        <v>10.55</v>
      </c>
      <c r="G346" s="3">
        <f>IFERROR(__xludf.DUMMYFUNCTION("""COMPUTED_VALUE"""),42671.99861111111)</f>
        <v>42671.99861</v>
      </c>
      <c r="H346" s="2">
        <f>IFERROR(__xludf.DUMMYFUNCTION("""COMPUTED_VALUE"""),689.95)</f>
        <v>689.95</v>
      </c>
    </row>
    <row r="347">
      <c r="A347" s="3">
        <f>IFERROR(__xludf.DUMMYFUNCTION("""COMPUTED_VALUE"""),42507.66666666667)</f>
        <v>42507.66667</v>
      </c>
      <c r="B347" s="2">
        <f>IFERROR(__xludf.DUMMYFUNCTION("""COMPUTED_VALUE"""),26.21)</f>
        <v>26.21</v>
      </c>
      <c r="D347" s="3">
        <f>IFERROR(__xludf.DUMMYFUNCTION("""COMPUTED_VALUE"""),42507.66666666667)</f>
        <v>42507.66667</v>
      </c>
      <c r="E347" s="2">
        <f>IFERROR(__xludf.DUMMYFUNCTION("""COMPUTED_VALUE"""),10.57)</f>
        <v>10.57</v>
      </c>
      <c r="G347" s="3">
        <f>IFERROR(__xludf.DUMMYFUNCTION("""COMPUTED_VALUE"""),42672.99861111111)</f>
        <v>42672.99861</v>
      </c>
      <c r="H347" s="2">
        <f>IFERROR(__xludf.DUMMYFUNCTION("""COMPUTED_VALUE"""),714.28)</f>
        <v>714.28</v>
      </c>
    </row>
    <row r="348">
      <c r="A348" s="3">
        <f>IFERROR(__xludf.DUMMYFUNCTION("""COMPUTED_VALUE"""),42508.66666666667)</f>
        <v>42508.66667</v>
      </c>
      <c r="B348" s="2">
        <f>IFERROR(__xludf.DUMMYFUNCTION("""COMPUTED_VALUE"""),26.21)</f>
        <v>26.21</v>
      </c>
      <c r="D348" s="3">
        <f>IFERROR(__xludf.DUMMYFUNCTION("""COMPUTED_VALUE"""),42508.66666666667)</f>
        <v>42508.66667</v>
      </c>
      <c r="E348" s="2">
        <f>IFERROR(__xludf.DUMMYFUNCTION("""COMPUTED_VALUE"""),10.84)</f>
        <v>10.84</v>
      </c>
      <c r="G348" s="3">
        <f>IFERROR(__xludf.DUMMYFUNCTION("""COMPUTED_VALUE"""),42673.99861111111)</f>
        <v>42673.99861</v>
      </c>
      <c r="H348" s="2">
        <f>IFERROR(__xludf.DUMMYFUNCTION("""COMPUTED_VALUE"""),697.41)</f>
        <v>697.41</v>
      </c>
    </row>
    <row r="349">
      <c r="A349" s="3">
        <f>IFERROR(__xludf.DUMMYFUNCTION("""COMPUTED_VALUE"""),42509.66666666667)</f>
        <v>42509.66667</v>
      </c>
      <c r="B349" s="2">
        <f>IFERROR(__xludf.DUMMYFUNCTION("""COMPUTED_VALUE"""),25.99)</f>
        <v>25.99</v>
      </c>
      <c r="D349" s="3">
        <f>IFERROR(__xludf.DUMMYFUNCTION("""COMPUTED_VALUE"""),42509.66666666667)</f>
        <v>42509.66667</v>
      </c>
      <c r="E349" s="2">
        <f>IFERROR(__xludf.DUMMYFUNCTION("""COMPUTED_VALUE"""),10.89)</f>
        <v>10.89</v>
      </c>
      <c r="G349" s="3">
        <f>IFERROR(__xludf.DUMMYFUNCTION("""COMPUTED_VALUE"""),42674.99861111111)</f>
        <v>42674.99861</v>
      </c>
      <c r="H349" s="2">
        <f>IFERROR(__xludf.DUMMYFUNCTION("""COMPUTED_VALUE"""),696.9)</f>
        <v>696.9</v>
      </c>
    </row>
    <row r="350">
      <c r="A350" s="3">
        <f>IFERROR(__xludf.DUMMYFUNCTION("""COMPUTED_VALUE"""),42510.66666666667)</f>
        <v>42510.66667</v>
      </c>
      <c r="B350" s="2">
        <f>IFERROR(__xludf.DUMMYFUNCTION("""COMPUTED_VALUE"""),29.94)</f>
        <v>29.94</v>
      </c>
      <c r="D350" s="3">
        <f>IFERROR(__xludf.DUMMYFUNCTION("""COMPUTED_VALUE"""),42510.66666666667)</f>
        <v>42510.66667</v>
      </c>
      <c r="E350" s="2">
        <f>IFERROR(__xludf.DUMMYFUNCTION("""COMPUTED_VALUE"""),11.08)</f>
        <v>11.08</v>
      </c>
      <c r="G350" s="3">
        <f>IFERROR(__xludf.DUMMYFUNCTION("""COMPUTED_VALUE"""),42675.99861111111)</f>
        <v>42675.99861</v>
      </c>
      <c r="H350" s="2">
        <f>IFERROR(__xludf.DUMMYFUNCTION("""COMPUTED_VALUE"""),730.7)</f>
        <v>730.7</v>
      </c>
    </row>
    <row r="351">
      <c r="A351" s="3">
        <f>IFERROR(__xludf.DUMMYFUNCTION("""COMPUTED_VALUE"""),42513.66666666667)</f>
        <v>42513.66667</v>
      </c>
      <c r="B351" s="2">
        <f>IFERROR(__xludf.DUMMYFUNCTION("""COMPUTED_VALUE"""),30.13)</f>
        <v>30.13</v>
      </c>
      <c r="D351" s="3">
        <f>IFERROR(__xludf.DUMMYFUNCTION("""COMPUTED_VALUE"""),42513.66666666667)</f>
        <v>42513.66667</v>
      </c>
      <c r="E351" s="2">
        <f>IFERROR(__xludf.DUMMYFUNCTION("""COMPUTED_VALUE"""),11.1)</f>
        <v>11.1</v>
      </c>
      <c r="G351" s="3">
        <f>IFERROR(__xludf.DUMMYFUNCTION("""COMPUTED_VALUE"""),42676.99861111111)</f>
        <v>42676.99861</v>
      </c>
      <c r="H351" s="2">
        <f>IFERROR(__xludf.DUMMYFUNCTION("""COMPUTED_VALUE"""),744.6)</f>
        <v>744.6</v>
      </c>
    </row>
    <row r="352">
      <c r="A352" s="3">
        <f>IFERROR(__xludf.DUMMYFUNCTION("""COMPUTED_VALUE"""),42514.66666666667)</f>
        <v>42514.66667</v>
      </c>
      <c r="B352" s="2">
        <f>IFERROR(__xludf.DUMMYFUNCTION("""COMPUTED_VALUE"""),30.42)</f>
        <v>30.42</v>
      </c>
      <c r="D352" s="3">
        <f>IFERROR(__xludf.DUMMYFUNCTION("""COMPUTED_VALUE"""),42514.66666666667)</f>
        <v>42514.66667</v>
      </c>
      <c r="E352" s="2">
        <f>IFERROR(__xludf.DUMMYFUNCTION("""COMPUTED_VALUE"""),11.34)</f>
        <v>11.34</v>
      </c>
      <c r="G352" s="3">
        <f>IFERROR(__xludf.DUMMYFUNCTION("""COMPUTED_VALUE"""),42677.99861111111)</f>
        <v>42677.99861</v>
      </c>
      <c r="H352" s="2">
        <f>IFERROR(__xludf.DUMMYFUNCTION("""COMPUTED_VALUE"""),690.0)</f>
        <v>690</v>
      </c>
    </row>
    <row r="353">
      <c r="A353" s="3">
        <f>IFERROR(__xludf.DUMMYFUNCTION("""COMPUTED_VALUE"""),42515.66666666667)</f>
        <v>42515.66667</v>
      </c>
      <c r="B353" s="2">
        <f>IFERROR(__xludf.DUMMYFUNCTION("""COMPUTED_VALUE"""),30.49)</f>
        <v>30.49</v>
      </c>
      <c r="D353" s="3">
        <f>IFERROR(__xludf.DUMMYFUNCTION("""COMPUTED_VALUE"""),42515.66666666667)</f>
        <v>42515.66667</v>
      </c>
      <c r="E353" s="2">
        <f>IFERROR(__xludf.DUMMYFUNCTION("""COMPUTED_VALUE"""),11.29)</f>
        <v>11.29</v>
      </c>
      <c r="G353" s="3">
        <f>IFERROR(__xludf.DUMMYFUNCTION("""COMPUTED_VALUE"""),42678.99861111111)</f>
        <v>42678.99861</v>
      </c>
      <c r="H353" s="2">
        <f>IFERROR(__xludf.DUMMYFUNCTION("""COMPUTED_VALUE"""),706.32)</f>
        <v>706.32</v>
      </c>
    </row>
    <row r="354">
      <c r="A354" s="3">
        <f>IFERROR(__xludf.DUMMYFUNCTION("""COMPUTED_VALUE"""),42516.66666666667)</f>
        <v>42516.66667</v>
      </c>
      <c r="B354" s="2">
        <f>IFERROR(__xludf.DUMMYFUNCTION("""COMPUTED_VALUE"""),30.48)</f>
        <v>30.48</v>
      </c>
      <c r="D354" s="3">
        <f>IFERROR(__xludf.DUMMYFUNCTION("""COMPUTED_VALUE"""),42516.66666666667)</f>
        <v>42516.66667</v>
      </c>
      <c r="E354" s="2">
        <f>IFERROR(__xludf.DUMMYFUNCTION("""COMPUTED_VALUE"""),11.41)</f>
        <v>11.41</v>
      </c>
      <c r="G354" s="3">
        <f>IFERROR(__xludf.DUMMYFUNCTION("""COMPUTED_VALUE"""),42679.99861111111)</f>
        <v>42679.99861</v>
      </c>
      <c r="H354" s="2">
        <f>IFERROR(__xludf.DUMMYFUNCTION("""COMPUTED_VALUE"""),706.99)</f>
        <v>706.99</v>
      </c>
    </row>
    <row r="355">
      <c r="A355" s="3">
        <f>IFERROR(__xludf.DUMMYFUNCTION("""COMPUTED_VALUE"""),42517.66666666667)</f>
        <v>42517.66667</v>
      </c>
      <c r="B355" s="2">
        <f>IFERROR(__xludf.DUMMYFUNCTION("""COMPUTED_VALUE"""),30.72)</f>
        <v>30.72</v>
      </c>
      <c r="D355" s="3">
        <f>IFERROR(__xludf.DUMMYFUNCTION("""COMPUTED_VALUE"""),42517.66666666667)</f>
        <v>42517.66667</v>
      </c>
      <c r="E355" s="2">
        <f>IFERROR(__xludf.DUMMYFUNCTION("""COMPUTED_VALUE"""),11.48)</f>
        <v>11.48</v>
      </c>
      <c r="G355" s="3">
        <f>IFERROR(__xludf.DUMMYFUNCTION("""COMPUTED_VALUE"""),42680.99861111111)</f>
        <v>42680.99861</v>
      </c>
      <c r="H355" s="2">
        <f>IFERROR(__xludf.DUMMYFUNCTION("""COMPUTED_VALUE"""),717.02)</f>
        <v>717.02</v>
      </c>
    </row>
    <row r="356">
      <c r="A356" s="3">
        <f>IFERROR(__xludf.DUMMYFUNCTION("""COMPUTED_VALUE"""),42521.66666666667)</f>
        <v>42521.66667</v>
      </c>
      <c r="B356" s="2">
        <f>IFERROR(__xludf.DUMMYFUNCTION("""COMPUTED_VALUE"""),30.63)</f>
        <v>30.63</v>
      </c>
      <c r="D356" s="3">
        <f>IFERROR(__xludf.DUMMYFUNCTION("""COMPUTED_VALUE"""),42521.66666666667)</f>
        <v>42521.66667</v>
      </c>
      <c r="E356" s="2">
        <f>IFERROR(__xludf.DUMMYFUNCTION("""COMPUTED_VALUE"""),11.68)</f>
        <v>11.68</v>
      </c>
      <c r="G356" s="3">
        <f>IFERROR(__xludf.DUMMYFUNCTION("""COMPUTED_VALUE"""),42681.99861111111)</f>
        <v>42681.99861</v>
      </c>
      <c r="H356" s="2">
        <f>IFERROR(__xludf.DUMMYFUNCTION("""COMPUTED_VALUE"""),706.42)</f>
        <v>706.42</v>
      </c>
    </row>
    <row r="357">
      <c r="A357" s="3">
        <f>IFERROR(__xludf.DUMMYFUNCTION("""COMPUTED_VALUE"""),42522.66666666667)</f>
        <v>42522.66667</v>
      </c>
      <c r="B357" s="2">
        <f>IFERROR(__xludf.DUMMYFUNCTION("""COMPUTED_VALUE"""),30.84)</f>
        <v>30.84</v>
      </c>
      <c r="D357" s="3">
        <f>IFERROR(__xludf.DUMMYFUNCTION("""COMPUTED_VALUE"""),42522.66666666667)</f>
        <v>42522.66667</v>
      </c>
      <c r="E357" s="2">
        <f>IFERROR(__xludf.DUMMYFUNCTION("""COMPUTED_VALUE"""),11.7)</f>
        <v>11.7</v>
      </c>
      <c r="G357" s="3">
        <f>IFERROR(__xludf.DUMMYFUNCTION("""COMPUTED_VALUE"""),42682.99861111111)</f>
        <v>42682.99861</v>
      </c>
      <c r="H357" s="2">
        <f>IFERROR(__xludf.DUMMYFUNCTION("""COMPUTED_VALUE"""),711.15)</f>
        <v>711.15</v>
      </c>
    </row>
    <row r="358">
      <c r="A358" s="3">
        <f>IFERROR(__xludf.DUMMYFUNCTION("""COMPUTED_VALUE"""),42523.66666666667)</f>
        <v>42523.66667</v>
      </c>
      <c r="B358" s="2">
        <f>IFERROR(__xludf.DUMMYFUNCTION("""COMPUTED_VALUE"""),31.39)</f>
        <v>31.39</v>
      </c>
      <c r="D358" s="3">
        <f>IFERROR(__xludf.DUMMYFUNCTION("""COMPUTED_VALUE"""),42523.66666666667)</f>
        <v>42523.66667</v>
      </c>
      <c r="E358" s="2">
        <f>IFERROR(__xludf.DUMMYFUNCTION("""COMPUTED_VALUE"""),11.79)</f>
        <v>11.79</v>
      </c>
      <c r="G358" s="3">
        <f>IFERROR(__xludf.DUMMYFUNCTION("""COMPUTED_VALUE"""),42683.99861111111)</f>
        <v>42683.99861</v>
      </c>
      <c r="H358" s="2">
        <f>IFERROR(__xludf.DUMMYFUNCTION("""COMPUTED_VALUE"""),720.97)</f>
        <v>720.97</v>
      </c>
    </row>
    <row r="359">
      <c r="A359" s="3">
        <f>IFERROR(__xludf.DUMMYFUNCTION("""COMPUTED_VALUE"""),42524.66666666667)</f>
        <v>42524.66667</v>
      </c>
      <c r="B359" s="2">
        <f>IFERROR(__xludf.DUMMYFUNCTION("""COMPUTED_VALUE"""),31.42)</f>
        <v>31.42</v>
      </c>
      <c r="D359" s="3">
        <f>IFERROR(__xludf.DUMMYFUNCTION("""COMPUTED_VALUE"""),42524.66666666667)</f>
        <v>42524.66667</v>
      </c>
      <c r="E359" s="2">
        <f>IFERROR(__xludf.DUMMYFUNCTION("""COMPUTED_VALUE"""),11.62)</f>
        <v>11.62</v>
      </c>
      <c r="G359" s="3">
        <f>IFERROR(__xludf.DUMMYFUNCTION("""COMPUTED_VALUE"""),42684.99861111111)</f>
        <v>42684.99861</v>
      </c>
      <c r="H359" s="2">
        <f>IFERROR(__xludf.DUMMYFUNCTION("""COMPUTED_VALUE"""),712.91)</f>
        <v>712.91</v>
      </c>
    </row>
    <row r="360">
      <c r="A360" s="3">
        <f>IFERROR(__xludf.DUMMYFUNCTION("""COMPUTED_VALUE"""),42527.66666666667)</f>
        <v>42527.66667</v>
      </c>
      <c r="B360" s="2">
        <f>IFERROR(__xludf.DUMMYFUNCTION("""COMPUTED_VALUE"""),31.57)</f>
        <v>31.57</v>
      </c>
      <c r="D360" s="3">
        <f>IFERROR(__xludf.DUMMYFUNCTION("""COMPUTED_VALUE"""),42527.66666666667)</f>
        <v>42527.66667</v>
      </c>
      <c r="E360" s="2">
        <f>IFERROR(__xludf.DUMMYFUNCTION("""COMPUTED_VALUE"""),11.56)</f>
        <v>11.56</v>
      </c>
      <c r="G360" s="3">
        <f>IFERROR(__xludf.DUMMYFUNCTION("""COMPUTED_VALUE"""),42685.99861111111)</f>
        <v>42685.99861</v>
      </c>
      <c r="H360" s="2">
        <f>IFERROR(__xludf.DUMMYFUNCTION("""COMPUTED_VALUE"""),716.9)</f>
        <v>716.9</v>
      </c>
    </row>
    <row r="361">
      <c r="A361" s="3">
        <f>IFERROR(__xludf.DUMMYFUNCTION("""COMPUTED_VALUE"""),42528.66666666667)</f>
        <v>42528.66667</v>
      </c>
      <c r="B361" s="2">
        <f>IFERROR(__xludf.DUMMYFUNCTION("""COMPUTED_VALUE"""),31.33)</f>
        <v>31.33</v>
      </c>
      <c r="D361" s="3">
        <f>IFERROR(__xludf.DUMMYFUNCTION("""COMPUTED_VALUE"""),42528.66666666667)</f>
        <v>42528.66667</v>
      </c>
      <c r="E361" s="2">
        <f>IFERROR(__xludf.DUMMYFUNCTION("""COMPUTED_VALUE"""),11.58)</f>
        <v>11.58</v>
      </c>
      <c r="G361" s="3">
        <f>IFERROR(__xludf.DUMMYFUNCTION("""COMPUTED_VALUE"""),42686.99861111111)</f>
        <v>42686.99861</v>
      </c>
      <c r="H361" s="2">
        <f>IFERROR(__xludf.DUMMYFUNCTION("""COMPUTED_VALUE"""),704.53)</f>
        <v>704.53</v>
      </c>
    </row>
    <row r="362">
      <c r="A362" s="3">
        <f>IFERROR(__xludf.DUMMYFUNCTION("""COMPUTED_VALUE"""),42529.66666666667)</f>
        <v>42529.66667</v>
      </c>
      <c r="B362" s="2">
        <f>IFERROR(__xludf.DUMMYFUNCTION("""COMPUTED_VALUE"""),31.7)</f>
        <v>31.7</v>
      </c>
      <c r="D362" s="3">
        <f>IFERROR(__xludf.DUMMYFUNCTION("""COMPUTED_VALUE"""),42529.66666666667)</f>
        <v>42529.66667</v>
      </c>
      <c r="E362" s="2">
        <f>IFERROR(__xludf.DUMMYFUNCTION("""COMPUTED_VALUE"""),11.55)</f>
        <v>11.55</v>
      </c>
      <c r="G362" s="3">
        <f>IFERROR(__xludf.DUMMYFUNCTION("""COMPUTED_VALUE"""),42687.99861111111)</f>
        <v>42687.99861</v>
      </c>
      <c r="H362" s="2">
        <f>IFERROR(__xludf.DUMMYFUNCTION("""COMPUTED_VALUE"""),704.01)</f>
        <v>704.01</v>
      </c>
    </row>
    <row r="363">
      <c r="A363" s="3">
        <f>IFERROR(__xludf.DUMMYFUNCTION("""COMPUTED_VALUE"""),42530.66666666667)</f>
        <v>42530.66667</v>
      </c>
      <c r="B363" s="2">
        <f>IFERROR(__xludf.DUMMYFUNCTION("""COMPUTED_VALUE"""),31.26)</f>
        <v>31.26</v>
      </c>
      <c r="D363" s="3">
        <f>IFERROR(__xludf.DUMMYFUNCTION("""COMPUTED_VALUE"""),42530.66666666667)</f>
        <v>42530.66667</v>
      </c>
      <c r="E363" s="2">
        <f>IFERROR(__xludf.DUMMYFUNCTION("""COMPUTED_VALUE"""),11.85)</f>
        <v>11.85</v>
      </c>
      <c r="G363" s="3">
        <f>IFERROR(__xludf.DUMMYFUNCTION("""COMPUTED_VALUE"""),42688.99861111111)</f>
        <v>42688.99861</v>
      </c>
      <c r="H363" s="2">
        <f>IFERROR(__xludf.DUMMYFUNCTION("""COMPUTED_VALUE"""),708.32)</f>
        <v>708.32</v>
      </c>
    </row>
    <row r="364">
      <c r="A364" s="3">
        <f>IFERROR(__xludf.DUMMYFUNCTION("""COMPUTED_VALUE"""),42531.66666666667)</f>
        <v>42531.66667</v>
      </c>
      <c r="B364" s="2">
        <f>IFERROR(__xludf.DUMMYFUNCTION("""COMPUTED_VALUE"""),30.64)</f>
        <v>30.64</v>
      </c>
      <c r="D364" s="3">
        <f>IFERROR(__xludf.DUMMYFUNCTION("""COMPUTED_VALUE"""),42531.66666666667)</f>
        <v>42531.66667</v>
      </c>
      <c r="E364" s="2">
        <f>IFERROR(__xludf.DUMMYFUNCTION("""COMPUTED_VALUE"""),11.55)</f>
        <v>11.55</v>
      </c>
      <c r="G364" s="3">
        <f>IFERROR(__xludf.DUMMYFUNCTION("""COMPUTED_VALUE"""),42689.99861111111)</f>
        <v>42689.99861</v>
      </c>
      <c r="H364" s="2">
        <f>IFERROR(__xludf.DUMMYFUNCTION("""COMPUTED_VALUE"""),712.29)</f>
        <v>712.29</v>
      </c>
    </row>
    <row r="365">
      <c r="A365" s="3">
        <f>IFERROR(__xludf.DUMMYFUNCTION("""COMPUTED_VALUE"""),42534.66666666667)</f>
        <v>42534.66667</v>
      </c>
      <c r="B365" s="2">
        <f>IFERROR(__xludf.DUMMYFUNCTION("""COMPUTED_VALUE"""),29.91)</f>
        <v>29.91</v>
      </c>
      <c r="D365" s="3">
        <f>IFERROR(__xludf.DUMMYFUNCTION("""COMPUTED_VALUE"""),42534.66666666667)</f>
        <v>42534.66667</v>
      </c>
      <c r="E365" s="2">
        <f>IFERROR(__xludf.DUMMYFUNCTION("""COMPUTED_VALUE"""),11.7)</f>
        <v>11.7</v>
      </c>
      <c r="G365" s="3">
        <f>IFERROR(__xludf.DUMMYFUNCTION("""COMPUTED_VALUE"""),42690.99861111111)</f>
        <v>42690.99861</v>
      </c>
      <c r="H365" s="2">
        <f>IFERROR(__xludf.DUMMYFUNCTION("""COMPUTED_VALUE"""),739.85)</f>
        <v>739.85</v>
      </c>
    </row>
    <row r="366">
      <c r="A366" s="3">
        <f>IFERROR(__xludf.DUMMYFUNCTION("""COMPUTED_VALUE"""),42535.66666666667)</f>
        <v>42535.66667</v>
      </c>
      <c r="B366" s="2">
        <f>IFERROR(__xludf.DUMMYFUNCTION("""COMPUTED_VALUE"""),29.63)</f>
        <v>29.63</v>
      </c>
      <c r="D366" s="3">
        <f>IFERROR(__xludf.DUMMYFUNCTION("""COMPUTED_VALUE"""),42535.66666666667)</f>
        <v>42535.66667</v>
      </c>
      <c r="E366" s="2">
        <f>IFERROR(__xludf.DUMMYFUNCTION("""COMPUTED_VALUE"""),11.72)</f>
        <v>11.72</v>
      </c>
      <c r="G366" s="3">
        <f>IFERROR(__xludf.DUMMYFUNCTION("""COMPUTED_VALUE"""),42691.99861111111)</f>
        <v>42691.99861</v>
      </c>
      <c r="H366" s="2">
        <f>IFERROR(__xludf.DUMMYFUNCTION("""COMPUTED_VALUE"""),730.71)</f>
        <v>730.71</v>
      </c>
    </row>
    <row r="367">
      <c r="A367" s="3">
        <f>IFERROR(__xludf.DUMMYFUNCTION("""COMPUTED_VALUE"""),42536.66666666667)</f>
        <v>42536.66667</v>
      </c>
      <c r="B367" s="2">
        <f>IFERROR(__xludf.DUMMYFUNCTION("""COMPUTED_VALUE"""),29.84)</f>
        <v>29.84</v>
      </c>
      <c r="D367" s="3">
        <f>IFERROR(__xludf.DUMMYFUNCTION("""COMPUTED_VALUE"""),42536.66666666667)</f>
        <v>42536.66667</v>
      </c>
      <c r="E367" s="2">
        <f>IFERROR(__xludf.DUMMYFUNCTION("""COMPUTED_VALUE"""),11.84)</f>
        <v>11.84</v>
      </c>
      <c r="G367" s="3">
        <f>IFERROR(__xludf.DUMMYFUNCTION("""COMPUTED_VALUE"""),42692.99861111111)</f>
        <v>42692.99861</v>
      </c>
      <c r="H367" s="2">
        <f>IFERROR(__xludf.DUMMYFUNCTION("""COMPUTED_VALUE"""),748.54)</f>
        <v>748.54</v>
      </c>
    </row>
    <row r="368">
      <c r="A368" s="3">
        <f>IFERROR(__xludf.DUMMYFUNCTION("""COMPUTED_VALUE"""),42537.66666666667)</f>
        <v>42537.66667</v>
      </c>
      <c r="B368" s="2">
        <f>IFERROR(__xludf.DUMMYFUNCTION("""COMPUTED_VALUE"""),29.49)</f>
        <v>29.49</v>
      </c>
      <c r="D368" s="3">
        <f>IFERROR(__xludf.DUMMYFUNCTION("""COMPUTED_VALUE"""),42537.66666666667)</f>
        <v>42537.66667</v>
      </c>
      <c r="E368" s="2">
        <f>IFERROR(__xludf.DUMMYFUNCTION("""COMPUTED_VALUE"""),11.89)</f>
        <v>11.89</v>
      </c>
      <c r="G368" s="3">
        <f>IFERROR(__xludf.DUMMYFUNCTION("""COMPUTED_VALUE"""),42693.99861111111)</f>
        <v>42693.99861</v>
      </c>
      <c r="H368" s="2">
        <f>IFERROR(__xludf.DUMMYFUNCTION("""COMPUTED_VALUE"""),750.77)</f>
        <v>750.77</v>
      </c>
    </row>
    <row r="369">
      <c r="A369" s="3">
        <f>IFERROR(__xludf.DUMMYFUNCTION("""COMPUTED_VALUE"""),42538.66666666667)</f>
        <v>42538.66667</v>
      </c>
      <c r="B369" s="2">
        <f>IFERROR(__xludf.DUMMYFUNCTION("""COMPUTED_VALUE"""),29.66)</f>
        <v>29.66</v>
      </c>
      <c r="D369" s="3">
        <f>IFERROR(__xludf.DUMMYFUNCTION("""COMPUTED_VALUE"""),42538.66666666667)</f>
        <v>42538.66667</v>
      </c>
      <c r="E369" s="2">
        <f>IFERROR(__xludf.DUMMYFUNCTION("""COMPUTED_VALUE"""),11.68)</f>
        <v>11.68</v>
      </c>
      <c r="G369" s="3">
        <f>IFERROR(__xludf.DUMMYFUNCTION("""COMPUTED_VALUE"""),42694.99861111111)</f>
        <v>42694.99861</v>
      </c>
      <c r="H369" s="2">
        <f>IFERROR(__xludf.DUMMYFUNCTION("""COMPUTED_VALUE"""),731.99)</f>
        <v>731.99</v>
      </c>
    </row>
    <row r="370">
      <c r="A370" s="3">
        <f>IFERROR(__xludf.DUMMYFUNCTION("""COMPUTED_VALUE"""),42541.66666666667)</f>
        <v>42541.66667</v>
      </c>
      <c r="B370" s="2">
        <f>IFERROR(__xludf.DUMMYFUNCTION("""COMPUTED_VALUE"""),30.45)</f>
        <v>30.45</v>
      </c>
      <c r="D370" s="3">
        <f>IFERROR(__xludf.DUMMYFUNCTION("""COMPUTED_VALUE"""),42541.66666666667)</f>
        <v>42541.66667</v>
      </c>
      <c r="E370" s="2">
        <f>IFERROR(__xludf.DUMMYFUNCTION("""COMPUTED_VALUE"""),11.89)</f>
        <v>11.89</v>
      </c>
      <c r="G370" s="3">
        <f>IFERROR(__xludf.DUMMYFUNCTION("""COMPUTED_VALUE"""),42695.99861111111)</f>
        <v>42695.99861</v>
      </c>
      <c r="H370" s="2">
        <f>IFERROR(__xludf.DUMMYFUNCTION("""COMPUTED_VALUE"""),736.4)</f>
        <v>736.4</v>
      </c>
    </row>
    <row r="371">
      <c r="A371" s="3">
        <f>IFERROR(__xludf.DUMMYFUNCTION("""COMPUTED_VALUE"""),42542.66666666667)</f>
        <v>42542.66667</v>
      </c>
      <c r="B371" s="2">
        <f>IFERROR(__xludf.DUMMYFUNCTION("""COMPUTED_VALUE"""),30.06)</f>
        <v>30.06</v>
      </c>
      <c r="D371" s="3">
        <f>IFERROR(__xludf.DUMMYFUNCTION("""COMPUTED_VALUE"""),42542.66666666667)</f>
        <v>42542.66667</v>
      </c>
      <c r="E371" s="2">
        <f>IFERROR(__xludf.DUMMYFUNCTION("""COMPUTED_VALUE"""),11.82)</f>
        <v>11.82</v>
      </c>
      <c r="G371" s="3">
        <f>IFERROR(__xludf.DUMMYFUNCTION("""COMPUTED_VALUE"""),42696.99861111111)</f>
        <v>42696.99861</v>
      </c>
      <c r="H371" s="2">
        <f>IFERROR(__xludf.DUMMYFUNCTION("""COMPUTED_VALUE"""),746.66)</f>
        <v>746.66</v>
      </c>
    </row>
    <row r="372">
      <c r="A372" s="3">
        <f>IFERROR(__xludf.DUMMYFUNCTION("""COMPUTED_VALUE"""),42543.66666666667)</f>
        <v>42543.66667</v>
      </c>
      <c r="B372" s="2">
        <f>IFERROR(__xludf.DUMMYFUNCTION("""COMPUTED_VALUE"""),30.4)</f>
        <v>30.4</v>
      </c>
      <c r="D372" s="3">
        <f>IFERROR(__xludf.DUMMYFUNCTION("""COMPUTED_VALUE"""),42543.66666666667)</f>
        <v>42543.66667</v>
      </c>
      <c r="E372" s="2">
        <f>IFERROR(__xludf.DUMMYFUNCTION("""COMPUTED_VALUE"""),11.81)</f>
        <v>11.81</v>
      </c>
      <c r="G372" s="3">
        <f>IFERROR(__xludf.DUMMYFUNCTION("""COMPUTED_VALUE"""),42697.99861111111)</f>
        <v>42697.99861</v>
      </c>
      <c r="H372" s="2">
        <f>IFERROR(__xludf.DUMMYFUNCTION("""COMPUTED_VALUE"""),741.52)</f>
        <v>741.52</v>
      </c>
    </row>
    <row r="373">
      <c r="A373" s="3">
        <f>IFERROR(__xludf.DUMMYFUNCTION("""COMPUTED_VALUE"""),42544.66666666667)</f>
        <v>42544.66667</v>
      </c>
      <c r="B373" s="2">
        <f>IFERROR(__xludf.DUMMYFUNCTION("""COMPUTED_VALUE"""),31.03)</f>
        <v>31.03</v>
      </c>
      <c r="D373" s="3">
        <f>IFERROR(__xludf.DUMMYFUNCTION("""COMPUTED_VALUE"""),42544.66666666667)</f>
        <v>42544.66667</v>
      </c>
      <c r="E373" s="2">
        <f>IFERROR(__xludf.DUMMYFUNCTION("""COMPUTED_VALUE"""),12.12)</f>
        <v>12.12</v>
      </c>
      <c r="G373" s="3">
        <f>IFERROR(__xludf.DUMMYFUNCTION("""COMPUTED_VALUE"""),42698.99861111111)</f>
        <v>42698.99861</v>
      </c>
      <c r="H373" s="2">
        <f>IFERROR(__xludf.DUMMYFUNCTION("""COMPUTED_VALUE"""),737.99)</f>
        <v>737.99</v>
      </c>
    </row>
    <row r="374">
      <c r="A374" s="3">
        <f>IFERROR(__xludf.DUMMYFUNCTION("""COMPUTED_VALUE"""),42545.66666666667)</f>
        <v>42545.66667</v>
      </c>
      <c r="B374" s="2">
        <f>IFERROR(__xludf.DUMMYFUNCTION("""COMPUTED_VALUE"""),29.66)</f>
        <v>29.66</v>
      </c>
      <c r="D374" s="3">
        <f>IFERROR(__xludf.DUMMYFUNCTION("""COMPUTED_VALUE"""),42545.66666666667)</f>
        <v>42545.66667</v>
      </c>
      <c r="E374" s="2">
        <f>IFERROR(__xludf.DUMMYFUNCTION("""COMPUTED_VALUE"""),11.43)</f>
        <v>11.43</v>
      </c>
      <c r="G374" s="3">
        <f>IFERROR(__xludf.DUMMYFUNCTION("""COMPUTED_VALUE"""),42699.99861111111)</f>
        <v>42699.99861</v>
      </c>
      <c r="H374" s="2">
        <f>IFERROR(__xludf.DUMMYFUNCTION("""COMPUTED_VALUE"""),739.74)</f>
        <v>739.74</v>
      </c>
    </row>
    <row r="375">
      <c r="A375" s="3">
        <f>IFERROR(__xludf.DUMMYFUNCTION("""COMPUTED_VALUE"""),42548.66666666667)</f>
        <v>42548.66667</v>
      </c>
      <c r="B375" s="2">
        <f>IFERROR(__xludf.DUMMYFUNCTION("""COMPUTED_VALUE"""),28.49)</f>
        <v>28.49</v>
      </c>
      <c r="D375" s="3">
        <f>IFERROR(__xludf.DUMMYFUNCTION("""COMPUTED_VALUE"""),42548.66666666667)</f>
        <v>42548.66667</v>
      </c>
      <c r="E375" s="2">
        <f>IFERROR(__xludf.DUMMYFUNCTION("""COMPUTED_VALUE"""),11.31)</f>
        <v>11.31</v>
      </c>
      <c r="G375" s="3">
        <f>IFERROR(__xludf.DUMMYFUNCTION("""COMPUTED_VALUE"""),42700.99861111111)</f>
        <v>42700.99861</v>
      </c>
      <c r="H375" s="2">
        <f>IFERROR(__xludf.DUMMYFUNCTION("""COMPUTED_VALUE"""),735.7)</f>
        <v>735.7</v>
      </c>
    </row>
    <row r="376">
      <c r="A376" s="3">
        <f>IFERROR(__xludf.DUMMYFUNCTION("""COMPUTED_VALUE"""),42549.66666666667)</f>
        <v>42549.66667</v>
      </c>
      <c r="B376" s="2">
        <f>IFERROR(__xludf.DUMMYFUNCTION("""COMPUTED_VALUE"""),28.93)</f>
        <v>28.93</v>
      </c>
      <c r="D376" s="3">
        <f>IFERROR(__xludf.DUMMYFUNCTION("""COMPUTED_VALUE"""),42549.66666666667)</f>
        <v>42549.66667</v>
      </c>
      <c r="E376" s="2">
        <f>IFERROR(__xludf.DUMMYFUNCTION("""COMPUTED_VALUE"""),11.48)</f>
        <v>11.48</v>
      </c>
      <c r="G376" s="3">
        <f>IFERROR(__xludf.DUMMYFUNCTION("""COMPUTED_VALUE"""),42701.99861111111)</f>
        <v>42701.99861</v>
      </c>
      <c r="H376" s="2">
        <f>IFERROR(__xludf.DUMMYFUNCTION("""COMPUTED_VALUE"""),729.24)</f>
        <v>729.24</v>
      </c>
    </row>
    <row r="377">
      <c r="A377" s="3">
        <f>IFERROR(__xludf.DUMMYFUNCTION("""COMPUTED_VALUE"""),42550.66666666667)</f>
        <v>42550.66667</v>
      </c>
      <c r="B377" s="2">
        <f>IFERROR(__xludf.DUMMYFUNCTION("""COMPUTED_VALUE"""),29.08)</f>
        <v>29.08</v>
      </c>
      <c r="D377" s="3">
        <f>IFERROR(__xludf.DUMMYFUNCTION("""COMPUTED_VALUE"""),42550.66666666667)</f>
        <v>42550.66667</v>
      </c>
      <c r="E377" s="2">
        <f>IFERROR(__xludf.DUMMYFUNCTION("""COMPUTED_VALUE"""),11.66)</f>
        <v>11.66</v>
      </c>
      <c r="G377" s="3">
        <f>IFERROR(__xludf.DUMMYFUNCTION("""COMPUTED_VALUE"""),42702.99861111111)</f>
        <v>42702.99861</v>
      </c>
      <c r="H377" s="2">
        <f>IFERROR(__xludf.DUMMYFUNCTION("""COMPUTED_VALUE"""),729.77)</f>
        <v>729.77</v>
      </c>
    </row>
    <row r="378">
      <c r="A378" s="3">
        <f>IFERROR(__xludf.DUMMYFUNCTION("""COMPUTED_VALUE"""),42551.66666666667)</f>
        <v>42551.66667</v>
      </c>
      <c r="B378" s="2">
        <f>IFERROR(__xludf.DUMMYFUNCTION("""COMPUTED_VALUE"""),29.09)</f>
        <v>29.09</v>
      </c>
      <c r="D378" s="3">
        <f>IFERROR(__xludf.DUMMYFUNCTION("""COMPUTED_VALUE"""),42551.66666666667)</f>
        <v>42551.66667</v>
      </c>
      <c r="E378" s="2">
        <f>IFERROR(__xludf.DUMMYFUNCTION("""COMPUTED_VALUE"""),11.75)</f>
        <v>11.75</v>
      </c>
      <c r="G378" s="3">
        <f>IFERROR(__xludf.DUMMYFUNCTION("""COMPUTED_VALUE"""),42703.99861111111)</f>
        <v>42703.99861</v>
      </c>
      <c r="H378" s="2">
        <f>IFERROR(__xludf.DUMMYFUNCTION("""COMPUTED_VALUE"""),732.37)</f>
        <v>732.37</v>
      </c>
    </row>
    <row r="379">
      <c r="A379" s="3">
        <f>IFERROR(__xludf.DUMMYFUNCTION("""COMPUTED_VALUE"""),42552.66666666667)</f>
        <v>42552.66667</v>
      </c>
      <c r="B379" s="2">
        <f>IFERROR(__xludf.DUMMYFUNCTION("""COMPUTED_VALUE"""),28.93)</f>
        <v>28.93</v>
      </c>
      <c r="D379" s="3">
        <f>IFERROR(__xludf.DUMMYFUNCTION("""COMPUTED_VALUE"""),42552.66666666667)</f>
        <v>42552.66667</v>
      </c>
      <c r="E379" s="2">
        <f>IFERROR(__xludf.DUMMYFUNCTION("""COMPUTED_VALUE"""),11.67)</f>
        <v>11.67</v>
      </c>
      <c r="G379" s="3">
        <f>IFERROR(__xludf.DUMMYFUNCTION("""COMPUTED_VALUE"""),42704.99861111111)</f>
        <v>42704.99861</v>
      </c>
      <c r="H379" s="2">
        <f>IFERROR(__xludf.DUMMYFUNCTION("""COMPUTED_VALUE"""),742.69)</f>
        <v>742.69</v>
      </c>
    </row>
    <row r="380">
      <c r="A380" s="3">
        <f>IFERROR(__xludf.DUMMYFUNCTION("""COMPUTED_VALUE"""),42556.66666666667)</f>
        <v>42556.66667</v>
      </c>
      <c r="B380" s="2">
        <f>IFERROR(__xludf.DUMMYFUNCTION("""COMPUTED_VALUE"""),28.39)</f>
        <v>28.39</v>
      </c>
      <c r="D380" s="3">
        <f>IFERROR(__xludf.DUMMYFUNCTION("""COMPUTED_VALUE"""),42556.66666666667)</f>
        <v>42556.66667</v>
      </c>
      <c r="E380" s="2">
        <f>IFERROR(__xludf.DUMMYFUNCTION("""COMPUTED_VALUE"""),11.84)</f>
        <v>11.84</v>
      </c>
      <c r="G380" s="3">
        <f>IFERROR(__xludf.DUMMYFUNCTION("""COMPUTED_VALUE"""),42705.99861111111)</f>
        <v>42705.99861</v>
      </c>
      <c r="H380" s="2">
        <f>IFERROR(__xludf.DUMMYFUNCTION("""COMPUTED_VALUE"""),754.0)</f>
        <v>754</v>
      </c>
    </row>
    <row r="381">
      <c r="A381" s="3">
        <f>IFERROR(__xludf.DUMMYFUNCTION("""COMPUTED_VALUE"""),42557.66666666667)</f>
        <v>42557.66667</v>
      </c>
      <c r="B381" s="2">
        <f>IFERROR(__xludf.DUMMYFUNCTION("""COMPUTED_VALUE"""),28.25)</f>
        <v>28.25</v>
      </c>
      <c r="D381" s="3">
        <f>IFERROR(__xludf.DUMMYFUNCTION("""COMPUTED_VALUE"""),42557.66666666667)</f>
        <v>42557.66667</v>
      </c>
      <c r="E381" s="2">
        <f>IFERROR(__xludf.DUMMYFUNCTION("""COMPUTED_VALUE"""),11.91)</f>
        <v>11.91</v>
      </c>
      <c r="G381" s="3">
        <f>IFERROR(__xludf.DUMMYFUNCTION("""COMPUTED_VALUE"""),42706.99861111111)</f>
        <v>42706.99861</v>
      </c>
      <c r="H381" s="2">
        <f>IFERROR(__xludf.DUMMYFUNCTION("""COMPUTED_VALUE"""),769.25)</f>
        <v>769.25</v>
      </c>
    </row>
    <row r="382">
      <c r="A382" s="3">
        <f>IFERROR(__xludf.DUMMYFUNCTION("""COMPUTED_VALUE"""),42558.66666666667)</f>
        <v>42558.66667</v>
      </c>
      <c r="B382" s="2">
        <f>IFERROR(__xludf.DUMMYFUNCTION("""COMPUTED_VALUE"""),28.18)</f>
        <v>28.18</v>
      </c>
      <c r="D382" s="3">
        <f>IFERROR(__xludf.DUMMYFUNCTION("""COMPUTED_VALUE"""),42558.66666666667)</f>
        <v>42558.66667</v>
      </c>
      <c r="E382" s="2">
        <f>IFERROR(__xludf.DUMMYFUNCTION("""COMPUTED_VALUE"""),12.22)</f>
        <v>12.22</v>
      </c>
      <c r="G382" s="3">
        <f>IFERROR(__xludf.DUMMYFUNCTION("""COMPUTED_VALUE"""),42707.99861111111)</f>
        <v>42707.99861</v>
      </c>
      <c r="H382" s="2">
        <f>IFERROR(__xludf.DUMMYFUNCTION("""COMPUTED_VALUE"""),766.98)</f>
        <v>766.98</v>
      </c>
    </row>
    <row r="383">
      <c r="A383" s="3">
        <f>IFERROR(__xludf.DUMMYFUNCTION("""COMPUTED_VALUE"""),42559.66666666667)</f>
        <v>42559.66667</v>
      </c>
      <c r="B383" s="2">
        <f>IFERROR(__xludf.DUMMYFUNCTION("""COMPUTED_VALUE"""),29.02)</f>
        <v>29.02</v>
      </c>
      <c r="D383" s="3">
        <f>IFERROR(__xludf.DUMMYFUNCTION("""COMPUTED_VALUE"""),42559.66666666667)</f>
        <v>42559.66667</v>
      </c>
      <c r="E383" s="2">
        <f>IFERROR(__xludf.DUMMYFUNCTION("""COMPUTED_VALUE"""),12.71)</f>
        <v>12.71</v>
      </c>
      <c r="G383" s="3">
        <f>IFERROR(__xludf.DUMMYFUNCTION("""COMPUTED_VALUE"""),42708.99861111111)</f>
        <v>42708.99861</v>
      </c>
      <c r="H383" s="2">
        <f>IFERROR(__xludf.DUMMYFUNCTION("""COMPUTED_VALUE"""),767.99)</f>
        <v>767.99</v>
      </c>
    </row>
    <row r="384">
      <c r="A384" s="3">
        <f>IFERROR(__xludf.DUMMYFUNCTION("""COMPUTED_VALUE"""),42562.66666666667)</f>
        <v>42562.66667</v>
      </c>
      <c r="B384" s="2">
        <f>IFERROR(__xludf.DUMMYFUNCTION("""COMPUTED_VALUE"""),28.53)</f>
        <v>28.53</v>
      </c>
      <c r="D384" s="3">
        <f>IFERROR(__xludf.DUMMYFUNCTION("""COMPUTED_VALUE"""),42562.66666666667)</f>
        <v>42562.66667</v>
      </c>
      <c r="E384" s="2">
        <f>IFERROR(__xludf.DUMMYFUNCTION("""COMPUTED_VALUE"""),13.01)</f>
        <v>13.01</v>
      </c>
      <c r="G384" s="3">
        <f>IFERROR(__xludf.DUMMYFUNCTION("""COMPUTED_VALUE"""),42709.99861111111)</f>
        <v>42709.99861</v>
      </c>
      <c r="H384" s="2">
        <f>IFERROR(__xludf.DUMMYFUNCTION("""COMPUTED_VALUE"""),752.0)</f>
        <v>752</v>
      </c>
    </row>
    <row r="385">
      <c r="A385" s="3">
        <f>IFERROR(__xludf.DUMMYFUNCTION("""COMPUTED_VALUE"""),42563.66666666667)</f>
        <v>42563.66667</v>
      </c>
      <c r="B385" s="2">
        <f>IFERROR(__xludf.DUMMYFUNCTION("""COMPUTED_VALUE"""),28.9)</f>
        <v>28.9</v>
      </c>
      <c r="D385" s="3">
        <f>IFERROR(__xludf.DUMMYFUNCTION("""COMPUTED_VALUE"""),42563.66666666667)</f>
        <v>42563.66667</v>
      </c>
      <c r="E385" s="2">
        <f>IFERROR(__xludf.DUMMYFUNCTION("""COMPUTED_VALUE"""),13.2)</f>
        <v>13.2</v>
      </c>
      <c r="G385" s="3">
        <f>IFERROR(__xludf.DUMMYFUNCTION("""COMPUTED_VALUE"""),42710.99861111111)</f>
        <v>42710.99861</v>
      </c>
      <c r="H385" s="2">
        <f>IFERROR(__xludf.DUMMYFUNCTION("""COMPUTED_VALUE"""),759.8)</f>
        <v>759.8</v>
      </c>
    </row>
    <row r="386">
      <c r="A386" s="3">
        <f>IFERROR(__xludf.DUMMYFUNCTION("""COMPUTED_VALUE"""),42564.66666666667)</f>
        <v>42564.66667</v>
      </c>
      <c r="B386" s="2">
        <f>IFERROR(__xludf.DUMMYFUNCTION("""COMPUTED_VALUE"""),28.72)</f>
        <v>28.72</v>
      </c>
      <c r="D386" s="3">
        <f>IFERROR(__xludf.DUMMYFUNCTION("""COMPUTED_VALUE"""),42564.66666666667)</f>
        <v>42564.66667</v>
      </c>
      <c r="E386" s="2">
        <f>IFERROR(__xludf.DUMMYFUNCTION("""COMPUTED_VALUE"""),13.2)</f>
        <v>13.2</v>
      </c>
      <c r="G386" s="3">
        <f>IFERROR(__xludf.DUMMYFUNCTION("""COMPUTED_VALUE"""),42711.99861111111)</f>
        <v>42711.99861</v>
      </c>
      <c r="H386" s="2">
        <f>IFERROR(__xludf.DUMMYFUNCTION("""COMPUTED_VALUE"""),764.34)</f>
        <v>764.34</v>
      </c>
    </row>
    <row r="387">
      <c r="A387" s="3">
        <f>IFERROR(__xludf.DUMMYFUNCTION("""COMPUTED_VALUE"""),42565.66666666667)</f>
        <v>42565.66667</v>
      </c>
      <c r="B387" s="2">
        <f>IFERROR(__xludf.DUMMYFUNCTION("""COMPUTED_VALUE"""),28.88)</f>
        <v>28.88</v>
      </c>
      <c r="D387" s="3">
        <f>IFERROR(__xludf.DUMMYFUNCTION("""COMPUTED_VALUE"""),42565.66666666667)</f>
        <v>42565.66667</v>
      </c>
      <c r="E387" s="2">
        <f>IFERROR(__xludf.DUMMYFUNCTION("""COMPUTED_VALUE"""),13.33)</f>
        <v>13.33</v>
      </c>
      <c r="G387" s="3">
        <f>IFERROR(__xludf.DUMMYFUNCTION("""COMPUTED_VALUE"""),42712.99861111111)</f>
        <v>42712.99861</v>
      </c>
      <c r="H387" s="2">
        <f>IFERROR(__xludf.DUMMYFUNCTION("""COMPUTED_VALUE"""),767.89)</f>
        <v>767.89</v>
      </c>
    </row>
    <row r="388">
      <c r="A388" s="3">
        <f>IFERROR(__xludf.DUMMYFUNCTION("""COMPUTED_VALUE"""),42566.66666666667)</f>
        <v>42566.66667</v>
      </c>
      <c r="B388" s="2">
        <f>IFERROR(__xludf.DUMMYFUNCTION("""COMPUTED_VALUE"""),29.1)</f>
        <v>29.1</v>
      </c>
      <c r="D388" s="3">
        <f>IFERROR(__xludf.DUMMYFUNCTION("""COMPUTED_VALUE"""),42566.66666666667)</f>
        <v>42566.66667</v>
      </c>
      <c r="E388" s="2">
        <f>IFERROR(__xludf.DUMMYFUNCTION("""COMPUTED_VALUE"""),13.18)</f>
        <v>13.18</v>
      </c>
      <c r="G388" s="3">
        <f>IFERROR(__xludf.DUMMYFUNCTION("""COMPUTED_VALUE"""),42713.99861111111)</f>
        <v>42713.99861</v>
      </c>
      <c r="H388" s="2">
        <f>IFERROR(__xludf.DUMMYFUNCTION("""COMPUTED_VALUE"""),773.22)</f>
        <v>773.22</v>
      </c>
    </row>
    <row r="389">
      <c r="A389" s="3">
        <f>IFERROR(__xludf.DUMMYFUNCTION("""COMPUTED_VALUE"""),42569.66666666667)</f>
        <v>42569.66667</v>
      </c>
      <c r="B389" s="2">
        <f>IFERROR(__xludf.DUMMYFUNCTION("""COMPUTED_VALUE"""),29.32)</f>
        <v>29.32</v>
      </c>
      <c r="D389" s="3">
        <f>IFERROR(__xludf.DUMMYFUNCTION("""COMPUTED_VALUE"""),42569.66666666667)</f>
        <v>42569.66667</v>
      </c>
      <c r="E389" s="2">
        <f>IFERROR(__xludf.DUMMYFUNCTION("""COMPUTED_VALUE"""),13.24)</f>
        <v>13.24</v>
      </c>
      <c r="G389" s="3">
        <f>IFERROR(__xludf.DUMMYFUNCTION("""COMPUTED_VALUE"""),42714.99861111111)</f>
        <v>42714.99861</v>
      </c>
      <c r="H389" s="2">
        <f>IFERROR(__xludf.DUMMYFUNCTION("""COMPUTED_VALUE"""),775.87)</f>
        <v>775.87</v>
      </c>
    </row>
    <row r="390">
      <c r="A390" s="3">
        <f>IFERROR(__xludf.DUMMYFUNCTION("""COMPUTED_VALUE"""),42570.66666666667)</f>
        <v>42570.66667</v>
      </c>
      <c r="B390" s="2">
        <f>IFERROR(__xludf.DUMMYFUNCTION("""COMPUTED_VALUE"""),29.26)</f>
        <v>29.26</v>
      </c>
      <c r="D390" s="3">
        <f>IFERROR(__xludf.DUMMYFUNCTION("""COMPUTED_VALUE"""),42570.66666666667)</f>
        <v>42570.66667</v>
      </c>
      <c r="E390" s="2">
        <f>IFERROR(__xludf.DUMMYFUNCTION("""COMPUTED_VALUE"""),13.38)</f>
        <v>13.38</v>
      </c>
      <c r="G390" s="3">
        <f>IFERROR(__xludf.DUMMYFUNCTION("""COMPUTED_VALUE"""),42715.99861111111)</f>
        <v>42715.99861</v>
      </c>
      <c r="H390" s="2">
        <f>IFERROR(__xludf.DUMMYFUNCTION("""COMPUTED_VALUE"""),771.05)</f>
        <v>771.05</v>
      </c>
    </row>
    <row r="391">
      <c r="A391" s="3">
        <f>IFERROR(__xludf.DUMMYFUNCTION("""COMPUTED_VALUE"""),42571.66666666667)</f>
        <v>42571.66667</v>
      </c>
      <c r="B391" s="2">
        <f>IFERROR(__xludf.DUMMYFUNCTION("""COMPUTED_VALUE"""),29.72)</f>
        <v>29.72</v>
      </c>
      <c r="D391" s="3">
        <f>IFERROR(__xludf.DUMMYFUNCTION("""COMPUTED_VALUE"""),42571.66666666667)</f>
        <v>42571.66667</v>
      </c>
      <c r="E391" s="2">
        <f>IFERROR(__xludf.DUMMYFUNCTION("""COMPUTED_VALUE"""),13.56)</f>
        <v>13.56</v>
      </c>
      <c r="G391" s="3">
        <f>IFERROR(__xludf.DUMMYFUNCTION("""COMPUTED_VALUE"""),42716.99861111111)</f>
        <v>42716.99861</v>
      </c>
      <c r="H391" s="2">
        <f>IFERROR(__xludf.DUMMYFUNCTION("""COMPUTED_VALUE"""),778.94)</f>
        <v>778.94</v>
      </c>
    </row>
    <row r="392">
      <c r="A392" s="3">
        <f>IFERROR(__xludf.DUMMYFUNCTION("""COMPUTED_VALUE"""),42572.66666666667)</f>
        <v>42572.66667</v>
      </c>
      <c r="B392" s="2">
        <f>IFERROR(__xludf.DUMMYFUNCTION("""COMPUTED_VALUE"""),29.52)</f>
        <v>29.52</v>
      </c>
      <c r="D392" s="3">
        <f>IFERROR(__xludf.DUMMYFUNCTION("""COMPUTED_VALUE"""),42572.66666666667)</f>
        <v>42572.66667</v>
      </c>
      <c r="E392" s="2">
        <f>IFERROR(__xludf.DUMMYFUNCTION("""COMPUTED_VALUE"""),13.31)</f>
        <v>13.31</v>
      </c>
      <c r="G392" s="3">
        <f>IFERROR(__xludf.DUMMYFUNCTION("""COMPUTED_VALUE"""),42717.99861111111)</f>
        <v>42717.99861</v>
      </c>
      <c r="H392" s="2">
        <f>IFERROR(__xludf.DUMMYFUNCTION("""COMPUTED_VALUE"""),776.18)</f>
        <v>776.18</v>
      </c>
    </row>
    <row r="393">
      <c r="A393" s="3">
        <f>IFERROR(__xludf.DUMMYFUNCTION("""COMPUTED_VALUE"""),42573.66666666667)</f>
        <v>42573.66667</v>
      </c>
      <c r="B393" s="2">
        <f>IFERROR(__xludf.DUMMYFUNCTION("""COMPUTED_VALUE"""),29.86)</f>
        <v>29.86</v>
      </c>
      <c r="D393" s="3">
        <f>IFERROR(__xludf.DUMMYFUNCTION("""COMPUTED_VALUE"""),42573.66666666667)</f>
        <v>42573.66667</v>
      </c>
      <c r="E393" s="2">
        <f>IFERROR(__xludf.DUMMYFUNCTION("""COMPUTED_VALUE"""),13.67)</f>
        <v>13.67</v>
      </c>
      <c r="G393" s="3">
        <f>IFERROR(__xludf.DUMMYFUNCTION("""COMPUTED_VALUE"""),42718.99861111111)</f>
        <v>42718.99861</v>
      </c>
      <c r="H393" s="2">
        <f>IFERROR(__xludf.DUMMYFUNCTION("""COMPUTED_VALUE"""),777.66)</f>
        <v>777.66</v>
      </c>
    </row>
    <row r="394">
      <c r="A394" s="3">
        <f>IFERROR(__xludf.DUMMYFUNCTION("""COMPUTED_VALUE"""),42576.66666666667)</f>
        <v>42576.66667</v>
      </c>
      <c r="B394" s="2">
        <f>IFERROR(__xludf.DUMMYFUNCTION("""COMPUTED_VALUE"""),29.48)</f>
        <v>29.48</v>
      </c>
      <c r="D394" s="3">
        <f>IFERROR(__xludf.DUMMYFUNCTION("""COMPUTED_VALUE"""),42576.66666666667)</f>
        <v>42576.66667</v>
      </c>
      <c r="E394" s="2">
        <f>IFERROR(__xludf.DUMMYFUNCTION("""COMPUTED_VALUE"""),13.92)</f>
        <v>13.92</v>
      </c>
      <c r="G394" s="3">
        <f>IFERROR(__xludf.DUMMYFUNCTION("""COMPUTED_VALUE"""),42719.99861111111)</f>
        <v>42719.99861</v>
      </c>
      <c r="H394" s="2">
        <f>IFERROR(__xludf.DUMMYFUNCTION("""COMPUTED_VALUE"""),776.16)</f>
        <v>776.16</v>
      </c>
    </row>
    <row r="395">
      <c r="A395" s="3">
        <f>IFERROR(__xludf.DUMMYFUNCTION("""COMPUTED_VALUE"""),42577.66666666667)</f>
        <v>42577.66667</v>
      </c>
      <c r="B395" s="2">
        <f>IFERROR(__xludf.DUMMYFUNCTION("""COMPUTED_VALUE"""),29.67)</f>
        <v>29.67</v>
      </c>
      <c r="D395" s="3">
        <f>IFERROR(__xludf.DUMMYFUNCTION("""COMPUTED_VALUE"""),42577.66666666667)</f>
        <v>42577.66667</v>
      </c>
      <c r="E395" s="2">
        <f>IFERROR(__xludf.DUMMYFUNCTION("""COMPUTED_VALUE"""),14.16)</f>
        <v>14.16</v>
      </c>
      <c r="G395" s="3">
        <f>IFERROR(__xludf.DUMMYFUNCTION("""COMPUTED_VALUE"""),42720.99861111111)</f>
        <v>42720.99861</v>
      </c>
      <c r="H395" s="2">
        <f>IFERROR(__xludf.DUMMYFUNCTION("""COMPUTED_VALUE"""),780.98)</f>
        <v>780.98</v>
      </c>
    </row>
    <row r="396">
      <c r="A396" s="3">
        <f>IFERROR(__xludf.DUMMYFUNCTION("""COMPUTED_VALUE"""),42578.66666666667)</f>
        <v>42578.66667</v>
      </c>
      <c r="B396" s="2">
        <f>IFERROR(__xludf.DUMMYFUNCTION("""COMPUTED_VALUE"""),29.76)</f>
        <v>29.76</v>
      </c>
      <c r="D396" s="3">
        <f>IFERROR(__xludf.DUMMYFUNCTION("""COMPUTED_VALUE"""),42578.66666666667)</f>
        <v>42578.66667</v>
      </c>
      <c r="E396" s="2">
        <f>IFERROR(__xludf.DUMMYFUNCTION("""COMPUTED_VALUE"""),14.02)</f>
        <v>14.02</v>
      </c>
      <c r="G396" s="3">
        <f>IFERROR(__xludf.DUMMYFUNCTION("""COMPUTED_VALUE"""),42721.99861111111)</f>
        <v>42721.99861</v>
      </c>
      <c r="H396" s="2">
        <f>IFERROR(__xludf.DUMMYFUNCTION("""COMPUTED_VALUE"""),788.57)</f>
        <v>788.57</v>
      </c>
    </row>
    <row r="397">
      <c r="A397" s="3">
        <f>IFERROR(__xludf.DUMMYFUNCTION("""COMPUTED_VALUE"""),42579.66666666667)</f>
        <v>42579.66667</v>
      </c>
      <c r="B397" s="2">
        <f>IFERROR(__xludf.DUMMYFUNCTION("""COMPUTED_VALUE"""),29.57)</f>
        <v>29.57</v>
      </c>
      <c r="D397" s="3">
        <f>IFERROR(__xludf.DUMMYFUNCTION("""COMPUTED_VALUE"""),42579.66666666667)</f>
        <v>42579.66667</v>
      </c>
      <c r="E397" s="2">
        <f>IFERROR(__xludf.DUMMYFUNCTION("""COMPUTED_VALUE"""),14.05)</f>
        <v>14.05</v>
      </c>
      <c r="G397" s="3">
        <f>IFERROR(__xludf.DUMMYFUNCTION("""COMPUTED_VALUE"""),42722.99861111111)</f>
        <v>42722.99861</v>
      </c>
      <c r="H397" s="2">
        <f>IFERROR(__xludf.DUMMYFUNCTION("""COMPUTED_VALUE"""),790.72)</f>
        <v>790.72</v>
      </c>
    </row>
    <row r="398">
      <c r="A398" s="3">
        <f>IFERROR(__xludf.DUMMYFUNCTION("""COMPUTED_VALUE"""),42580.66666666667)</f>
        <v>42580.66667</v>
      </c>
      <c r="B398" s="2">
        <f>IFERROR(__xludf.DUMMYFUNCTION("""COMPUTED_VALUE"""),29.24)</f>
        <v>29.24</v>
      </c>
      <c r="D398" s="3">
        <f>IFERROR(__xludf.DUMMYFUNCTION("""COMPUTED_VALUE"""),42580.66666666667)</f>
        <v>42580.66667</v>
      </c>
      <c r="E398" s="2">
        <f>IFERROR(__xludf.DUMMYFUNCTION("""COMPUTED_VALUE"""),14.28)</f>
        <v>14.28</v>
      </c>
      <c r="G398" s="3">
        <f>IFERROR(__xludf.DUMMYFUNCTION("""COMPUTED_VALUE"""),42723.99861111111)</f>
        <v>42723.99861</v>
      </c>
      <c r="H398" s="2">
        <f>IFERROR(__xludf.DUMMYFUNCTION("""COMPUTED_VALUE"""),790.81)</f>
        <v>790.81</v>
      </c>
    </row>
    <row r="399">
      <c r="A399" s="3">
        <f>IFERROR(__xludf.DUMMYFUNCTION("""COMPUTED_VALUE"""),42583.66666666667)</f>
        <v>42583.66667</v>
      </c>
      <c r="B399" s="2">
        <f>IFERROR(__xludf.DUMMYFUNCTION("""COMPUTED_VALUE"""),29.19)</f>
        <v>29.19</v>
      </c>
      <c r="D399" s="3">
        <f>IFERROR(__xludf.DUMMYFUNCTION("""COMPUTED_VALUE"""),42583.66666666667)</f>
        <v>42583.66667</v>
      </c>
      <c r="E399" s="2">
        <f>IFERROR(__xludf.DUMMYFUNCTION("""COMPUTED_VALUE"""),14.18)</f>
        <v>14.18</v>
      </c>
      <c r="G399" s="3">
        <f>IFERROR(__xludf.DUMMYFUNCTION("""COMPUTED_VALUE"""),42724.99861111111)</f>
        <v>42724.99861</v>
      </c>
      <c r="H399" s="2">
        <f>IFERROR(__xludf.DUMMYFUNCTION("""COMPUTED_VALUE"""),798.99)</f>
        <v>798.99</v>
      </c>
    </row>
    <row r="400">
      <c r="A400" s="3">
        <f>IFERROR(__xludf.DUMMYFUNCTION("""COMPUTED_VALUE"""),42584.66666666667)</f>
        <v>42584.66667</v>
      </c>
      <c r="B400" s="2">
        <f>IFERROR(__xludf.DUMMYFUNCTION("""COMPUTED_VALUE"""),28.2)</f>
        <v>28.2</v>
      </c>
      <c r="D400" s="3">
        <f>IFERROR(__xludf.DUMMYFUNCTION("""COMPUTED_VALUE"""),42584.66666666667)</f>
        <v>42584.66667</v>
      </c>
      <c r="E400" s="2">
        <f>IFERROR(__xludf.DUMMYFUNCTION("""COMPUTED_VALUE"""),14.01)</f>
        <v>14.01</v>
      </c>
      <c r="G400" s="3">
        <f>IFERROR(__xludf.DUMMYFUNCTION("""COMPUTED_VALUE"""),42725.99861111111)</f>
        <v>42725.99861</v>
      </c>
      <c r="H400" s="2">
        <f>IFERROR(__xludf.DUMMYFUNCTION("""COMPUTED_VALUE"""),834.5)</f>
        <v>834.5</v>
      </c>
    </row>
    <row r="401">
      <c r="A401" s="3">
        <f>IFERROR(__xludf.DUMMYFUNCTION("""COMPUTED_VALUE"""),42585.66666666667)</f>
        <v>42585.66667</v>
      </c>
      <c r="B401" s="2">
        <f>IFERROR(__xludf.DUMMYFUNCTION("""COMPUTED_VALUE"""),28.61)</f>
        <v>28.61</v>
      </c>
      <c r="D401" s="3">
        <f>IFERROR(__xludf.DUMMYFUNCTION("""COMPUTED_VALUE"""),42585.66666666667)</f>
        <v>42585.66667</v>
      </c>
      <c r="E401" s="2">
        <f>IFERROR(__xludf.DUMMYFUNCTION("""COMPUTED_VALUE"""),14.05)</f>
        <v>14.05</v>
      </c>
      <c r="G401" s="3">
        <f>IFERROR(__xludf.DUMMYFUNCTION("""COMPUTED_VALUE"""),42726.99861111111)</f>
        <v>42726.99861</v>
      </c>
      <c r="H401" s="2">
        <f>IFERROR(__xludf.DUMMYFUNCTION("""COMPUTED_VALUE"""),856.02)</f>
        <v>856.02</v>
      </c>
    </row>
    <row r="402">
      <c r="A402" s="3">
        <f>IFERROR(__xludf.DUMMYFUNCTION("""COMPUTED_VALUE"""),42586.66666666667)</f>
        <v>42586.66667</v>
      </c>
      <c r="B402" s="2">
        <f>IFERROR(__xludf.DUMMYFUNCTION("""COMPUTED_VALUE"""),28.49)</f>
        <v>28.49</v>
      </c>
      <c r="D402" s="3">
        <f>IFERROR(__xludf.DUMMYFUNCTION("""COMPUTED_VALUE"""),42586.66666666667)</f>
        <v>42586.66667</v>
      </c>
      <c r="E402" s="2">
        <f>IFERROR(__xludf.DUMMYFUNCTION("""COMPUTED_VALUE"""),14.31)</f>
        <v>14.31</v>
      </c>
      <c r="G402" s="3">
        <f>IFERROR(__xludf.DUMMYFUNCTION("""COMPUTED_VALUE"""),42727.99861111111)</f>
        <v>42727.99861</v>
      </c>
      <c r="H402" s="2">
        <f>IFERROR(__xludf.DUMMYFUNCTION("""COMPUTED_VALUE"""),917.26)</f>
        <v>917.26</v>
      </c>
    </row>
    <row r="403">
      <c r="A403" s="3">
        <f>IFERROR(__xludf.DUMMYFUNCTION("""COMPUTED_VALUE"""),42587.66666666667)</f>
        <v>42587.66667</v>
      </c>
      <c r="B403" s="2">
        <f>IFERROR(__xludf.DUMMYFUNCTION("""COMPUTED_VALUE"""),28.93)</f>
        <v>28.93</v>
      </c>
      <c r="D403" s="3">
        <f>IFERROR(__xludf.DUMMYFUNCTION("""COMPUTED_VALUE"""),42587.66666666667)</f>
        <v>42587.66667</v>
      </c>
      <c r="E403" s="2">
        <f>IFERROR(__xludf.DUMMYFUNCTION("""COMPUTED_VALUE"""),14.55)</f>
        <v>14.55</v>
      </c>
      <c r="G403" s="3">
        <f>IFERROR(__xludf.DUMMYFUNCTION("""COMPUTED_VALUE"""),42728.99861111111)</f>
        <v>42728.99861</v>
      </c>
      <c r="H403" s="2">
        <f>IFERROR(__xludf.DUMMYFUNCTION("""COMPUTED_VALUE"""),891.5)</f>
        <v>891.5</v>
      </c>
    </row>
    <row r="404">
      <c r="A404" s="3">
        <f>IFERROR(__xludf.DUMMYFUNCTION("""COMPUTED_VALUE"""),42590.66666666667)</f>
        <v>42590.66667</v>
      </c>
      <c r="B404" s="2">
        <f>IFERROR(__xludf.DUMMYFUNCTION("""COMPUTED_VALUE"""),28.93)</f>
        <v>28.93</v>
      </c>
      <c r="D404" s="3">
        <f>IFERROR(__xludf.DUMMYFUNCTION("""COMPUTED_VALUE"""),42590.66666666667)</f>
        <v>42590.66667</v>
      </c>
      <c r="E404" s="2">
        <f>IFERROR(__xludf.DUMMYFUNCTION("""COMPUTED_VALUE"""),14.69)</f>
        <v>14.69</v>
      </c>
      <c r="G404" s="3">
        <f>IFERROR(__xludf.DUMMYFUNCTION("""COMPUTED_VALUE"""),42729.99861111111)</f>
        <v>42729.99861</v>
      </c>
      <c r="H404" s="2">
        <f>IFERROR(__xludf.DUMMYFUNCTION("""COMPUTED_VALUE"""),896.12)</f>
        <v>896.12</v>
      </c>
    </row>
    <row r="405">
      <c r="A405" s="3">
        <f>IFERROR(__xludf.DUMMYFUNCTION("""COMPUTED_VALUE"""),42591.66666666667)</f>
        <v>42591.66667</v>
      </c>
      <c r="B405" s="2">
        <f>IFERROR(__xludf.DUMMYFUNCTION("""COMPUTED_VALUE"""),28.79)</f>
        <v>28.79</v>
      </c>
      <c r="D405" s="3">
        <f>IFERROR(__xludf.DUMMYFUNCTION("""COMPUTED_VALUE"""),42591.66666666667)</f>
        <v>42591.66667</v>
      </c>
      <c r="E405" s="2">
        <f>IFERROR(__xludf.DUMMYFUNCTION("""COMPUTED_VALUE"""),14.72)</f>
        <v>14.72</v>
      </c>
      <c r="G405" s="3">
        <f>IFERROR(__xludf.DUMMYFUNCTION("""COMPUTED_VALUE"""),42730.99861111111)</f>
        <v>42730.99861</v>
      </c>
      <c r="H405" s="2">
        <f>IFERROR(__xludf.DUMMYFUNCTION("""COMPUTED_VALUE"""),902.09)</f>
        <v>902.09</v>
      </c>
    </row>
    <row r="406">
      <c r="A406" s="3">
        <f>IFERROR(__xludf.DUMMYFUNCTION("""COMPUTED_VALUE"""),42592.66666666667)</f>
        <v>42592.66667</v>
      </c>
      <c r="B406" s="2">
        <f>IFERROR(__xludf.DUMMYFUNCTION("""COMPUTED_VALUE"""),29.03)</f>
        <v>29.03</v>
      </c>
      <c r="D406" s="3">
        <f>IFERROR(__xludf.DUMMYFUNCTION("""COMPUTED_VALUE"""),42592.66666666667)</f>
        <v>42592.66667</v>
      </c>
      <c r="E406" s="2">
        <f>IFERROR(__xludf.DUMMYFUNCTION("""COMPUTED_VALUE"""),14.63)</f>
        <v>14.63</v>
      </c>
      <c r="G406" s="3">
        <f>IFERROR(__xludf.DUMMYFUNCTION("""COMPUTED_VALUE"""),42731.99861111111)</f>
        <v>42731.99861</v>
      </c>
      <c r="H406" s="2">
        <f>IFERROR(__xludf.DUMMYFUNCTION("""COMPUTED_VALUE"""),925.2)</f>
        <v>925.2</v>
      </c>
    </row>
    <row r="407">
      <c r="A407" s="3">
        <f>IFERROR(__xludf.DUMMYFUNCTION("""COMPUTED_VALUE"""),42593.66666666667)</f>
        <v>42593.66667</v>
      </c>
      <c r="B407" s="2">
        <f>IFERROR(__xludf.DUMMYFUNCTION("""COMPUTED_VALUE"""),29.21)</f>
        <v>29.21</v>
      </c>
      <c r="D407" s="3">
        <f>IFERROR(__xludf.DUMMYFUNCTION("""COMPUTED_VALUE"""),42593.66666666667)</f>
        <v>42593.66667</v>
      </c>
      <c r="E407" s="2">
        <f>IFERROR(__xludf.DUMMYFUNCTION("""COMPUTED_VALUE"""),14.93)</f>
        <v>14.93</v>
      </c>
      <c r="G407" s="3">
        <f>IFERROR(__xludf.DUMMYFUNCTION("""COMPUTED_VALUE"""),42732.99861111111)</f>
        <v>42732.99861</v>
      </c>
      <c r="H407" s="2">
        <f>IFERROR(__xludf.DUMMYFUNCTION("""COMPUTED_VALUE"""),982.17)</f>
        <v>982.17</v>
      </c>
    </row>
    <row r="408">
      <c r="A408" s="3">
        <f>IFERROR(__xludf.DUMMYFUNCTION("""COMPUTED_VALUE"""),42594.66666666667)</f>
        <v>42594.66667</v>
      </c>
      <c r="B408" s="2">
        <f>IFERROR(__xludf.DUMMYFUNCTION("""COMPUTED_VALUE"""),29.32)</f>
        <v>29.32</v>
      </c>
      <c r="D408" s="3">
        <f>IFERROR(__xludf.DUMMYFUNCTION("""COMPUTED_VALUE"""),42594.66666666667)</f>
        <v>42594.66667</v>
      </c>
      <c r="E408" s="2">
        <f>IFERROR(__xludf.DUMMYFUNCTION("""COMPUTED_VALUE"""),15.76)</f>
        <v>15.76</v>
      </c>
      <c r="G408" s="3">
        <f>IFERROR(__xludf.DUMMYFUNCTION("""COMPUTED_VALUE"""),42733.99861111111)</f>
        <v>42733.99861</v>
      </c>
      <c r="H408" s="2">
        <f>IFERROR(__xludf.DUMMYFUNCTION("""COMPUTED_VALUE"""),970.72)</f>
        <v>970.72</v>
      </c>
    </row>
    <row r="409">
      <c r="A409" s="3">
        <f>IFERROR(__xludf.DUMMYFUNCTION("""COMPUTED_VALUE"""),42597.66666666667)</f>
        <v>42597.66667</v>
      </c>
      <c r="B409" s="2">
        <f>IFERROR(__xludf.DUMMYFUNCTION("""COMPUTED_VALUE"""),29.67)</f>
        <v>29.67</v>
      </c>
      <c r="D409" s="3">
        <f>IFERROR(__xludf.DUMMYFUNCTION("""COMPUTED_VALUE"""),42597.66666666667)</f>
        <v>42597.66667</v>
      </c>
      <c r="E409" s="2">
        <f>IFERROR(__xludf.DUMMYFUNCTION("""COMPUTED_VALUE"""),15.75)</f>
        <v>15.75</v>
      </c>
      <c r="G409" s="3">
        <f>IFERROR(__xludf.DUMMYFUNCTION("""COMPUTED_VALUE"""),42734.99861111111)</f>
        <v>42734.99861</v>
      </c>
      <c r="H409" s="2">
        <f>IFERROR(__xludf.DUMMYFUNCTION("""COMPUTED_VALUE"""),960.81)</f>
        <v>960.81</v>
      </c>
    </row>
    <row r="410">
      <c r="A410" s="3">
        <f>IFERROR(__xludf.DUMMYFUNCTION("""COMPUTED_VALUE"""),42598.66666666667)</f>
        <v>42598.66667</v>
      </c>
      <c r="B410" s="2">
        <f>IFERROR(__xludf.DUMMYFUNCTION("""COMPUTED_VALUE"""),29.6)</f>
        <v>29.6</v>
      </c>
      <c r="D410" s="3">
        <f>IFERROR(__xludf.DUMMYFUNCTION("""COMPUTED_VALUE"""),42598.66666666667)</f>
        <v>42598.66667</v>
      </c>
      <c r="E410" s="2">
        <f>IFERROR(__xludf.DUMMYFUNCTION("""COMPUTED_VALUE"""),15.65)</f>
        <v>15.65</v>
      </c>
      <c r="G410" s="3">
        <f>IFERROR(__xludf.DUMMYFUNCTION("""COMPUTED_VALUE"""),42735.99861111111)</f>
        <v>42735.99861</v>
      </c>
      <c r="H410" s="2">
        <f>IFERROR(__xludf.DUMMYFUNCTION("""COMPUTED_VALUE"""),973.37)</f>
        <v>973.37</v>
      </c>
    </row>
    <row r="411">
      <c r="A411" s="3">
        <f>IFERROR(__xludf.DUMMYFUNCTION("""COMPUTED_VALUE"""),42599.66666666667)</f>
        <v>42599.66667</v>
      </c>
      <c r="B411" s="2">
        <f>IFERROR(__xludf.DUMMYFUNCTION("""COMPUTED_VALUE"""),29.68)</f>
        <v>29.68</v>
      </c>
      <c r="D411" s="3">
        <f>IFERROR(__xludf.DUMMYFUNCTION("""COMPUTED_VALUE"""),42599.66666666667)</f>
        <v>42599.66667</v>
      </c>
      <c r="E411" s="2">
        <f>IFERROR(__xludf.DUMMYFUNCTION("""COMPUTED_VALUE"""),15.29)</f>
        <v>15.29</v>
      </c>
      <c r="G411" s="3">
        <f>IFERROR(__xludf.DUMMYFUNCTION("""COMPUTED_VALUE"""),42736.99861111111)</f>
        <v>42736.99861</v>
      </c>
      <c r="H411" s="2">
        <f>IFERROR(__xludf.DUMMYFUNCTION("""COMPUTED_VALUE"""),992.95)</f>
        <v>992.95</v>
      </c>
    </row>
    <row r="412">
      <c r="A412" s="3">
        <f>IFERROR(__xludf.DUMMYFUNCTION("""COMPUTED_VALUE"""),42600.66666666667)</f>
        <v>42600.66667</v>
      </c>
      <c r="B412" s="2">
        <f>IFERROR(__xludf.DUMMYFUNCTION("""COMPUTED_VALUE"""),29.41)</f>
        <v>29.41</v>
      </c>
      <c r="D412" s="3">
        <f>IFERROR(__xludf.DUMMYFUNCTION("""COMPUTED_VALUE"""),42600.66666666667)</f>
        <v>42600.66667</v>
      </c>
      <c r="E412" s="2">
        <f>IFERROR(__xludf.DUMMYFUNCTION("""COMPUTED_VALUE"""),15.53)</f>
        <v>15.53</v>
      </c>
      <c r="G412" s="3">
        <f>IFERROR(__xludf.DUMMYFUNCTION("""COMPUTED_VALUE"""),42737.99861111111)</f>
        <v>42737.99861</v>
      </c>
      <c r="H412" s="2">
        <f>IFERROR(__xludf.DUMMYFUNCTION("""COMPUTED_VALUE"""),1011.45)</f>
        <v>1011.45</v>
      </c>
    </row>
    <row r="413">
      <c r="A413" s="3">
        <f>IFERROR(__xludf.DUMMYFUNCTION("""COMPUTED_VALUE"""),42601.66666666667)</f>
        <v>42601.66667</v>
      </c>
      <c r="B413" s="2">
        <f>IFERROR(__xludf.DUMMYFUNCTION("""COMPUTED_VALUE"""),30.19)</f>
        <v>30.19</v>
      </c>
      <c r="D413" s="3">
        <f>IFERROR(__xludf.DUMMYFUNCTION("""COMPUTED_VALUE"""),42601.66666666667)</f>
        <v>42601.66667</v>
      </c>
      <c r="E413" s="2">
        <f>IFERROR(__xludf.DUMMYFUNCTION("""COMPUTED_VALUE"""),15.57)</f>
        <v>15.57</v>
      </c>
      <c r="G413" s="3">
        <f>IFERROR(__xludf.DUMMYFUNCTION("""COMPUTED_VALUE"""),42738.99861111111)</f>
        <v>42738.99861</v>
      </c>
      <c r="H413" s="2">
        <f>IFERROR(__xludf.DUMMYFUNCTION("""COMPUTED_VALUE"""),1020.67)</f>
        <v>1020.67</v>
      </c>
    </row>
    <row r="414">
      <c r="A414" s="3">
        <f>IFERROR(__xludf.DUMMYFUNCTION("""COMPUTED_VALUE"""),42604.66666666667)</f>
        <v>42604.66667</v>
      </c>
      <c r="B414" s="2">
        <f>IFERROR(__xludf.DUMMYFUNCTION("""COMPUTED_VALUE"""),30.3)</f>
        <v>30.3</v>
      </c>
      <c r="D414" s="3">
        <f>IFERROR(__xludf.DUMMYFUNCTION("""COMPUTED_VALUE"""),42604.66666666667)</f>
        <v>42604.66667</v>
      </c>
      <c r="E414" s="2">
        <f>IFERROR(__xludf.DUMMYFUNCTION("""COMPUTED_VALUE"""),15.63)</f>
        <v>15.63</v>
      </c>
      <c r="G414" s="3">
        <f>IFERROR(__xludf.DUMMYFUNCTION("""COMPUTED_VALUE"""),42739.99861111111)</f>
        <v>42739.99861</v>
      </c>
      <c r="H414" s="2">
        <f>IFERROR(__xludf.DUMMYFUNCTION("""COMPUTED_VALUE"""),1130.3)</f>
        <v>1130.3</v>
      </c>
    </row>
    <row r="415">
      <c r="A415" s="3">
        <f>IFERROR(__xludf.DUMMYFUNCTION("""COMPUTED_VALUE"""),42605.66666666667)</f>
        <v>42605.66667</v>
      </c>
      <c r="B415" s="2">
        <f>IFERROR(__xludf.DUMMYFUNCTION("""COMPUTED_VALUE"""),30.29)</f>
        <v>30.29</v>
      </c>
      <c r="D415" s="3">
        <f>IFERROR(__xludf.DUMMYFUNCTION("""COMPUTED_VALUE"""),42605.66666666667)</f>
        <v>42605.66667</v>
      </c>
      <c r="E415" s="2">
        <f>IFERROR(__xludf.DUMMYFUNCTION("""COMPUTED_VALUE"""),15.73)</f>
        <v>15.73</v>
      </c>
      <c r="G415" s="3">
        <f>IFERROR(__xludf.DUMMYFUNCTION("""COMPUTED_VALUE"""),42740.99861111111)</f>
        <v>42740.99861</v>
      </c>
      <c r="H415" s="2">
        <f>IFERROR(__xludf.DUMMYFUNCTION("""COMPUTED_VALUE"""),1007.0)</f>
        <v>1007</v>
      </c>
    </row>
    <row r="416">
      <c r="A416" s="3">
        <f>IFERROR(__xludf.DUMMYFUNCTION("""COMPUTED_VALUE"""),42606.66666666667)</f>
        <v>42606.66667</v>
      </c>
      <c r="B416" s="2">
        <f>IFERROR(__xludf.DUMMYFUNCTION("""COMPUTED_VALUE"""),29.77)</f>
        <v>29.77</v>
      </c>
      <c r="D416" s="3">
        <f>IFERROR(__xludf.DUMMYFUNCTION("""COMPUTED_VALUE"""),42606.66666666667)</f>
        <v>42606.66667</v>
      </c>
      <c r="E416" s="2">
        <f>IFERROR(__xludf.DUMMYFUNCTION("""COMPUTED_VALUE"""),15.49)</f>
        <v>15.49</v>
      </c>
      <c r="G416" s="3">
        <f>IFERROR(__xludf.DUMMYFUNCTION("""COMPUTED_VALUE"""),42741.99861111111)</f>
        <v>42741.99861</v>
      </c>
      <c r="H416" s="2">
        <f>IFERROR(__xludf.DUMMYFUNCTION("""COMPUTED_VALUE"""),895.71)</f>
        <v>895.71</v>
      </c>
    </row>
    <row r="417">
      <c r="A417" s="3">
        <f>IFERROR(__xludf.DUMMYFUNCTION("""COMPUTED_VALUE"""),42607.66666666667)</f>
        <v>42607.66667</v>
      </c>
      <c r="B417" s="2">
        <f>IFERROR(__xludf.DUMMYFUNCTION("""COMPUTED_VALUE"""),29.98)</f>
        <v>29.98</v>
      </c>
      <c r="D417" s="3">
        <f>IFERROR(__xludf.DUMMYFUNCTION("""COMPUTED_VALUE"""),42607.66666666667)</f>
        <v>42607.66667</v>
      </c>
      <c r="E417" s="2">
        <f>IFERROR(__xludf.DUMMYFUNCTION("""COMPUTED_VALUE"""),15.38)</f>
        <v>15.38</v>
      </c>
      <c r="G417" s="3">
        <f>IFERROR(__xludf.DUMMYFUNCTION("""COMPUTED_VALUE"""),42742.99861111111)</f>
        <v>42742.99861</v>
      </c>
      <c r="H417" s="2">
        <f>IFERROR(__xludf.DUMMYFUNCTION("""COMPUTED_VALUE"""),909.0)</f>
        <v>909</v>
      </c>
    </row>
    <row r="418">
      <c r="A418" s="3">
        <f>IFERROR(__xludf.DUMMYFUNCTION("""COMPUTED_VALUE"""),42608.66666666667)</f>
        <v>42608.66667</v>
      </c>
      <c r="B418" s="2">
        <f>IFERROR(__xludf.DUMMYFUNCTION("""COMPUTED_VALUE"""),30.04)</f>
        <v>30.04</v>
      </c>
      <c r="D418" s="3">
        <f>IFERROR(__xludf.DUMMYFUNCTION("""COMPUTED_VALUE"""),42608.66666666667)</f>
        <v>42608.66667</v>
      </c>
      <c r="E418" s="2">
        <f>IFERROR(__xludf.DUMMYFUNCTION("""COMPUTED_VALUE"""),15.51)</f>
        <v>15.51</v>
      </c>
      <c r="G418" s="3">
        <f>IFERROR(__xludf.DUMMYFUNCTION("""COMPUTED_VALUE"""),42743.99861111111)</f>
        <v>42743.99861</v>
      </c>
      <c r="H418" s="2">
        <f>IFERROR(__xludf.DUMMYFUNCTION("""COMPUTED_VALUE"""),923.33)</f>
        <v>923.33</v>
      </c>
    </row>
    <row r="419">
      <c r="A419" s="3">
        <f>IFERROR(__xludf.DUMMYFUNCTION("""COMPUTED_VALUE"""),42611.66666666667)</f>
        <v>42611.66667</v>
      </c>
      <c r="B419" s="2">
        <f>IFERROR(__xludf.DUMMYFUNCTION("""COMPUTED_VALUE"""),30.26)</f>
        <v>30.26</v>
      </c>
      <c r="D419" s="3">
        <f>IFERROR(__xludf.DUMMYFUNCTION("""COMPUTED_VALUE"""),42611.66666666667)</f>
        <v>42611.66667</v>
      </c>
      <c r="E419" s="2">
        <f>IFERROR(__xludf.DUMMYFUNCTION("""COMPUTED_VALUE"""),15.5)</f>
        <v>15.5</v>
      </c>
      <c r="G419" s="3">
        <f>IFERROR(__xludf.DUMMYFUNCTION("""COMPUTED_VALUE"""),42744.99861111111)</f>
        <v>42744.99861</v>
      </c>
      <c r="H419" s="2">
        <f>IFERROR(__xludf.DUMMYFUNCTION("""COMPUTED_VALUE"""),902.66)</f>
        <v>902.66</v>
      </c>
    </row>
    <row r="420">
      <c r="A420" s="3">
        <f>IFERROR(__xludf.DUMMYFUNCTION("""COMPUTED_VALUE"""),42612.66666666667)</f>
        <v>42612.66667</v>
      </c>
      <c r="B420" s="2">
        <f>IFERROR(__xludf.DUMMYFUNCTION("""COMPUTED_VALUE"""),30.46)</f>
        <v>30.46</v>
      </c>
      <c r="D420" s="3">
        <f>IFERROR(__xludf.DUMMYFUNCTION("""COMPUTED_VALUE"""),42612.66666666667)</f>
        <v>42612.66667</v>
      </c>
      <c r="E420" s="2">
        <f>IFERROR(__xludf.DUMMYFUNCTION("""COMPUTED_VALUE"""),15.41)</f>
        <v>15.41</v>
      </c>
      <c r="G420" s="3">
        <f>IFERROR(__xludf.DUMMYFUNCTION("""COMPUTED_VALUE"""),42745.99861111111)</f>
        <v>42745.99861</v>
      </c>
      <c r="H420" s="2">
        <f>IFERROR(__xludf.DUMMYFUNCTION("""COMPUTED_VALUE"""),907.0)</f>
        <v>907</v>
      </c>
    </row>
    <row r="421">
      <c r="A421" s="3">
        <f>IFERROR(__xludf.DUMMYFUNCTION("""COMPUTED_VALUE"""),42613.66666666667)</f>
        <v>42613.66667</v>
      </c>
      <c r="B421" s="2">
        <f>IFERROR(__xludf.DUMMYFUNCTION("""COMPUTED_VALUE"""),30.43)</f>
        <v>30.43</v>
      </c>
      <c r="D421" s="3">
        <f>IFERROR(__xludf.DUMMYFUNCTION("""COMPUTED_VALUE"""),42613.66666666667)</f>
        <v>42613.66667</v>
      </c>
      <c r="E421" s="2">
        <f>IFERROR(__xludf.DUMMYFUNCTION("""COMPUTED_VALUE"""),15.34)</f>
        <v>15.34</v>
      </c>
      <c r="G421" s="3">
        <f>IFERROR(__xludf.DUMMYFUNCTION("""COMPUTED_VALUE"""),42746.99861111111)</f>
        <v>42746.99861</v>
      </c>
      <c r="H421" s="2">
        <f>IFERROR(__xludf.DUMMYFUNCTION("""COMPUTED_VALUE"""),795.77)</f>
        <v>795.77</v>
      </c>
    </row>
    <row r="422">
      <c r="A422" s="3">
        <f>IFERROR(__xludf.DUMMYFUNCTION("""COMPUTED_VALUE"""),42614.66666666667)</f>
        <v>42614.66667</v>
      </c>
      <c r="B422" s="2">
        <f>IFERROR(__xludf.DUMMYFUNCTION("""COMPUTED_VALUE"""),30.59)</f>
        <v>30.59</v>
      </c>
      <c r="D422" s="3">
        <f>IFERROR(__xludf.DUMMYFUNCTION("""COMPUTED_VALUE"""),42614.66666666667)</f>
        <v>42614.66667</v>
      </c>
      <c r="E422" s="2">
        <f>IFERROR(__xludf.DUMMYFUNCTION("""COMPUTED_VALUE"""),15.79)</f>
        <v>15.79</v>
      </c>
      <c r="G422" s="3">
        <f>IFERROR(__xludf.DUMMYFUNCTION("""COMPUTED_VALUE"""),42747.99861111111)</f>
        <v>42747.99861</v>
      </c>
      <c r="H422" s="2">
        <f>IFERROR(__xludf.DUMMYFUNCTION("""COMPUTED_VALUE"""),812.25)</f>
        <v>812.25</v>
      </c>
    </row>
    <row r="423">
      <c r="A423" s="3">
        <f>IFERROR(__xludf.DUMMYFUNCTION("""COMPUTED_VALUE"""),42615.66666666667)</f>
        <v>42615.66667</v>
      </c>
      <c r="B423" s="2">
        <f>IFERROR(__xludf.DUMMYFUNCTION("""COMPUTED_VALUE"""),30.44)</f>
        <v>30.44</v>
      </c>
      <c r="D423" s="3">
        <f>IFERROR(__xludf.DUMMYFUNCTION("""COMPUTED_VALUE"""),42615.66666666667)</f>
        <v>42615.66667</v>
      </c>
      <c r="E423" s="2">
        <f>IFERROR(__xludf.DUMMYFUNCTION("""COMPUTED_VALUE"""),15.63)</f>
        <v>15.63</v>
      </c>
      <c r="G423" s="3">
        <f>IFERROR(__xludf.DUMMYFUNCTION("""COMPUTED_VALUE"""),42748.99861111111)</f>
        <v>42748.99861</v>
      </c>
      <c r="H423" s="2">
        <f>IFERROR(__xludf.DUMMYFUNCTION("""COMPUTED_VALUE"""),831.42)</f>
        <v>831.42</v>
      </c>
    </row>
    <row r="424">
      <c r="A424" s="3">
        <f>IFERROR(__xludf.DUMMYFUNCTION("""COMPUTED_VALUE"""),42619.66666666667)</f>
        <v>42619.66667</v>
      </c>
      <c r="B424" s="2">
        <f>IFERROR(__xludf.DUMMYFUNCTION("""COMPUTED_VALUE"""),30.4)</f>
        <v>30.4</v>
      </c>
      <c r="D424" s="3">
        <f>IFERROR(__xludf.DUMMYFUNCTION("""COMPUTED_VALUE"""),42619.66666666667)</f>
        <v>42619.66667</v>
      </c>
      <c r="E424" s="2">
        <f>IFERROR(__xludf.DUMMYFUNCTION("""COMPUTED_VALUE"""),15.78)</f>
        <v>15.78</v>
      </c>
      <c r="G424" s="3">
        <f>IFERROR(__xludf.DUMMYFUNCTION("""COMPUTED_VALUE"""),42749.99861111111)</f>
        <v>42749.99861</v>
      </c>
      <c r="H424" s="2">
        <f>IFERROR(__xludf.DUMMYFUNCTION("""COMPUTED_VALUE"""),828.0)</f>
        <v>828</v>
      </c>
    </row>
    <row r="425">
      <c r="A425" s="3">
        <f>IFERROR(__xludf.DUMMYFUNCTION("""COMPUTED_VALUE"""),42620.66666666667)</f>
        <v>42620.66667</v>
      </c>
      <c r="B425" s="2">
        <f>IFERROR(__xludf.DUMMYFUNCTION("""COMPUTED_VALUE"""),30.4)</f>
        <v>30.4</v>
      </c>
      <c r="D425" s="3">
        <f>IFERROR(__xludf.DUMMYFUNCTION("""COMPUTED_VALUE"""),42620.66666666667)</f>
        <v>42620.66667</v>
      </c>
      <c r="E425" s="2">
        <f>IFERROR(__xludf.DUMMYFUNCTION("""COMPUTED_VALUE"""),15.55)</f>
        <v>15.55</v>
      </c>
      <c r="G425" s="3">
        <f>IFERROR(__xludf.DUMMYFUNCTION("""COMPUTED_VALUE"""),42750.99861111111)</f>
        <v>42750.99861</v>
      </c>
      <c r="H425" s="2">
        <f>IFERROR(__xludf.DUMMYFUNCTION("""COMPUTED_VALUE"""),833.31)</f>
        <v>833.31</v>
      </c>
    </row>
    <row r="426">
      <c r="A426" s="3">
        <f>IFERROR(__xludf.DUMMYFUNCTION("""COMPUTED_VALUE"""),42621.66666666667)</f>
        <v>42621.66667</v>
      </c>
      <c r="B426" s="2">
        <f>IFERROR(__xludf.DUMMYFUNCTION("""COMPUTED_VALUE"""),30.37)</f>
        <v>30.37</v>
      </c>
      <c r="D426" s="3">
        <f>IFERROR(__xludf.DUMMYFUNCTION("""COMPUTED_VALUE"""),42621.66666666667)</f>
        <v>42621.66667</v>
      </c>
      <c r="E426" s="2">
        <f>IFERROR(__xludf.DUMMYFUNCTION("""COMPUTED_VALUE"""),15.66)</f>
        <v>15.66</v>
      </c>
      <c r="G426" s="3">
        <f>IFERROR(__xludf.DUMMYFUNCTION("""COMPUTED_VALUE"""),42751.99861111111)</f>
        <v>42751.99861</v>
      </c>
      <c r="H426" s="2">
        <f>IFERROR(__xludf.DUMMYFUNCTION("""COMPUTED_VALUE"""),834.41)</f>
        <v>834.41</v>
      </c>
    </row>
    <row r="427">
      <c r="A427" s="3">
        <f>IFERROR(__xludf.DUMMYFUNCTION("""COMPUTED_VALUE"""),42622.66666666667)</f>
        <v>42622.66667</v>
      </c>
      <c r="B427" s="2">
        <f>IFERROR(__xludf.DUMMYFUNCTION("""COMPUTED_VALUE"""),29.53)</f>
        <v>29.53</v>
      </c>
      <c r="D427" s="3">
        <f>IFERROR(__xludf.DUMMYFUNCTION("""COMPUTED_VALUE"""),42622.66666666667)</f>
        <v>42622.66667</v>
      </c>
      <c r="E427" s="2">
        <f>IFERROR(__xludf.DUMMYFUNCTION("""COMPUTED_VALUE"""),14.88)</f>
        <v>14.88</v>
      </c>
      <c r="G427" s="3">
        <f>IFERROR(__xludf.DUMMYFUNCTION("""COMPUTED_VALUE"""),42752.99861111111)</f>
        <v>42752.99861</v>
      </c>
      <c r="H427" s="2">
        <f>IFERROR(__xludf.DUMMYFUNCTION("""COMPUTED_VALUE"""),906.0)</f>
        <v>906</v>
      </c>
    </row>
    <row r="428">
      <c r="A428" s="3">
        <f>IFERROR(__xludf.DUMMYFUNCTION("""COMPUTED_VALUE"""),42625.66666666667)</f>
        <v>42625.66667</v>
      </c>
      <c r="B428" s="2">
        <f>IFERROR(__xludf.DUMMYFUNCTION("""COMPUTED_VALUE"""),30.29)</f>
        <v>30.29</v>
      </c>
      <c r="D428" s="3">
        <f>IFERROR(__xludf.DUMMYFUNCTION("""COMPUTED_VALUE"""),42625.66666666667)</f>
        <v>42625.66667</v>
      </c>
      <c r="E428" s="2">
        <f>IFERROR(__xludf.DUMMYFUNCTION("""COMPUTED_VALUE"""),15.19)</f>
        <v>15.19</v>
      </c>
      <c r="G428" s="3">
        <f>IFERROR(__xludf.DUMMYFUNCTION("""COMPUTED_VALUE"""),42753.99861111111)</f>
        <v>42753.99861</v>
      </c>
      <c r="H428" s="2">
        <f>IFERROR(__xludf.DUMMYFUNCTION("""COMPUTED_VALUE"""),887.99)</f>
        <v>887.99</v>
      </c>
    </row>
    <row r="429">
      <c r="A429" s="3">
        <f>IFERROR(__xludf.DUMMYFUNCTION("""COMPUTED_VALUE"""),42626.66666666667)</f>
        <v>42626.66667</v>
      </c>
      <c r="B429" s="2">
        <f>IFERROR(__xludf.DUMMYFUNCTION("""COMPUTED_VALUE"""),29.78)</f>
        <v>29.78</v>
      </c>
      <c r="D429" s="3">
        <f>IFERROR(__xludf.DUMMYFUNCTION("""COMPUTED_VALUE"""),42626.66666666667)</f>
        <v>42626.66667</v>
      </c>
      <c r="E429" s="2">
        <f>IFERROR(__xludf.DUMMYFUNCTION("""COMPUTED_VALUE"""),14.97)</f>
        <v>14.97</v>
      </c>
      <c r="G429" s="3">
        <f>IFERROR(__xludf.DUMMYFUNCTION("""COMPUTED_VALUE"""),42754.99861111111)</f>
        <v>42754.99861</v>
      </c>
      <c r="H429" s="2">
        <f>IFERROR(__xludf.DUMMYFUNCTION("""COMPUTED_VALUE"""),902.92)</f>
        <v>902.92</v>
      </c>
    </row>
    <row r="430">
      <c r="A430" s="3">
        <f>IFERROR(__xludf.DUMMYFUNCTION("""COMPUTED_VALUE"""),42627.66666666667)</f>
        <v>42627.66667</v>
      </c>
      <c r="B430" s="2">
        <f>IFERROR(__xludf.DUMMYFUNCTION("""COMPUTED_VALUE"""),29.39)</f>
        <v>29.39</v>
      </c>
      <c r="D430" s="3">
        <f>IFERROR(__xludf.DUMMYFUNCTION("""COMPUTED_VALUE"""),42627.66666666667)</f>
        <v>42627.66667</v>
      </c>
      <c r="E430" s="2">
        <f>IFERROR(__xludf.DUMMYFUNCTION("""COMPUTED_VALUE"""),15.1)</f>
        <v>15.1</v>
      </c>
      <c r="G430" s="3">
        <f>IFERROR(__xludf.DUMMYFUNCTION("""COMPUTED_VALUE"""),42755.99861111111)</f>
        <v>42755.99861</v>
      </c>
      <c r="H430" s="2">
        <f>IFERROR(__xludf.DUMMYFUNCTION("""COMPUTED_VALUE"""),894.31)</f>
        <v>894.31</v>
      </c>
    </row>
    <row r="431">
      <c r="A431" s="3">
        <f>IFERROR(__xludf.DUMMYFUNCTION("""COMPUTED_VALUE"""),42628.66666666667)</f>
        <v>42628.66667</v>
      </c>
      <c r="B431" s="2">
        <f>IFERROR(__xludf.DUMMYFUNCTION("""COMPUTED_VALUE"""),29.98)</f>
        <v>29.98</v>
      </c>
      <c r="D431" s="3">
        <f>IFERROR(__xludf.DUMMYFUNCTION("""COMPUTED_VALUE"""),42628.66666666667)</f>
        <v>42628.66667</v>
      </c>
      <c r="E431" s="2">
        <f>IFERROR(__xludf.DUMMYFUNCTION("""COMPUTED_VALUE"""),15.67)</f>
        <v>15.67</v>
      </c>
      <c r="G431" s="3">
        <f>IFERROR(__xludf.DUMMYFUNCTION("""COMPUTED_VALUE"""),42756.99861111111)</f>
        <v>42756.99861</v>
      </c>
      <c r="H431" s="2">
        <f>IFERROR(__xludf.DUMMYFUNCTION("""COMPUTED_VALUE"""),925.06)</f>
        <v>925.06</v>
      </c>
    </row>
    <row r="432">
      <c r="A432" s="3">
        <f>IFERROR(__xludf.DUMMYFUNCTION("""COMPUTED_VALUE"""),42629.66666666667)</f>
        <v>42629.66667</v>
      </c>
      <c r="B432" s="2">
        <f>IFERROR(__xludf.DUMMYFUNCTION("""COMPUTED_VALUE"""),29.25)</f>
        <v>29.25</v>
      </c>
      <c r="D432" s="3">
        <f>IFERROR(__xludf.DUMMYFUNCTION("""COMPUTED_VALUE"""),42629.66666666667)</f>
        <v>42629.66667</v>
      </c>
      <c r="E432" s="2">
        <f>IFERROR(__xludf.DUMMYFUNCTION("""COMPUTED_VALUE"""),15.71)</f>
        <v>15.71</v>
      </c>
      <c r="G432" s="3">
        <f>IFERROR(__xludf.DUMMYFUNCTION("""COMPUTED_VALUE"""),42757.99861111111)</f>
        <v>42757.99861</v>
      </c>
      <c r="H432" s="2">
        <f>IFERROR(__xludf.DUMMYFUNCTION("""COMPUTED_VALUE"""),931.22)</f>
        <v>931.22</v>
      </c>
    </row>
    <row r="433">
      <c r="A433" s="3">
        <f>IFERROR(__xludf.DUMMYFUNCTION("""COMPUTED_VALUE"""),42632.66666666667)</f>
        <v>42632.66667</v>
      </c>
      <c r="B433" s="2">
        <f>IFERROR(__xludf.DUMMYFUNCTION("""COMPUTED_VALUE"""),30.65)</f>
        <v>30.65</v>
      </c>
      <c r="D433" s="3">
        <f>IFERROR(__xludf.DUMMYFUNCTION("""COMPUTED_VALUE"""),42632.66666666667)</f>
        <v>42632.66667</v>
      </c>
      <c r="E433" s="2">
        <f>IFERROR(__xludf.DUMMYFUNCTION("""COMPUTED_VALUE"""),15.92)</f>
        <v>15.92</v>
      </c>
      <c r="G433" s="3">
        <f>IFERROR(__xludf.DUMMYFUNCTION("""COMPUTED_VALUE"""),42758.99861111111)</f>
        <v>42758.99861</v>
      </c>
      <c r="H433" s="2">
        <f>IFERROR(__xludf.DUMMYFUNCTION("""COMPUTED_VALUE"""),910.7)</f>
        <v>910.7</v>
      </c>
    </row>
    <row r="434">
      <c r="A434" s="3">
        <f>IFERROR(__xludf.DUMMYFUNCTION("""COMPUTED_VALUE"""),42633.66666666667)</f>
        <v>42633.66667</v>
      </c>
      <c r="B434" s="2">
        <f>IFERROR(__xludf.DUMMYFUNCTION("""COMPUTED_VALUE"""),30.66)</f>
        <v>30.66</v>
      </c>
      <c r="D434" s="3">
        <f>IFERROR(__xludf.DUMMYFUNCTION("""COMPUTED_VALUE"""),42633.66666666667)</f>
        <v>42633.66667</v>
      </c>
      <c r="E434" s="2">
        <f>IFERROR(__xludf.DUMMYFUNCTION("""COMPUTED_VALUE"""),15.77)</f>
        <v>15.77</v>
      </c>
      <c r="G434" s="3">
        <f>IFERROR(__xludf.DUMMYFUNCTION("""COMPUTED_VALUE"""),42759.99861111111)</f>
        <v>42759.99861</v>
      </c>
      <c r="H434" s="2">
        <f>IFERROR(__xludf.DUMMYFUNCTION("""COMPUTED_VALUE"""),887.0)</f>
        <v>887</v>
      </c>
    </row>
    <row r="435">
      <c r="A435" s="3">
        <f>IFERROR(__xludf.DUMMYFUNCTION("""COMPUTED_VALUE"""),42634.66666666667)</f>
        <v>42634.66667</v>
      </c>
      <c r="B435" s="2">
        <f>IFERROR(__xludf.DUMMYFUNCTION("""COMPUTED_VALUE"""),31.07)</f>
        <v>31.07</v>
      </c>
      <c r="D435" s="3">
        <f>IFERROR(__xludf.DUMMYFUNCTION("""COMPUTED_VALUE"""),42634.66666666667)</f>
        <v>42634.66667</v>
      </c>
      <c r="E435" s="2">
        <f>IFERROR(__xludf.DUMMYFUNCTION("""COMPUTED_VALUE"""),16.22)</f>
        <v>16.22</v>
      </c>
      <c r="G435" s="3">
        <f>IFERROR(__xludf.DUMMYFUNCTION("""COMPUTED_VALUE"""),42760.99861111111)</f>
        <v>42760.99861</v>
      </c>
      <c r="H435" s="2">
        <f>IFERROR(__xludf.DUMMYFUNCTION("""COMPUTED_VALUE"""),896.0)</f>
        <v>896</v>
      </c>
    </row>
    <row r="436">
      <c r="A436" s="3">
        <f>IFERROR(__xludf.DUMMYFUNCTION("""COMPUTED_VALUE"""),42635.66666666667)</f>
        <v>42635.66667</v>
      </c>
      <c r="B436" s="2">
        <f>IFERROR(__xludf.DUMMYFUNCTION("""COMPUTED_VALUE"""),31.64)</f>
        <v>31.64</v>
      </c>
      <c r="D436" s="3">
        <f>IFERROR(__xludf.DUMMYFUNCTION("""COMPUTED_VALUE"""),42635.66666666667)</f>
        <v>42635.66667</v>
      </c>
      <c r="E436" s="2">
        <f>IFERROR(__xludf.DUMMYFUNCTION("""COMPUTED_VALUE"""),16.26)</f>
        <v>16.26</v>
      </c>
      <c r="G436" s="3">
        <f>IFERROR(__xludf.DUMMYFUNCTION("""COMPUTED_VALUE"""),42761.99861111111)</f>
        <v>42761.99861</v>
      </c>
      <c r="H436" s="2">
        <f>IFERROR(__xludf.DUMMYFUNCTION("""COMPUTED_VALUE"""),917.02)</f>
        <v>917.02</v>
      </c>
    </row>
    <row r="437">
      <c r="A437" s="3">
        <f>IFERROR(__xludf.DUMMYFUNCTION("""COMPUTED_VALUE"""),42636.66666666667)</f>
        <v>42636.66667</v>
      </c>
      <c r="B437" s="2">
        <f>IFERROR(__xludf.DUMMYFUNCTION("""COMPUTED_VALUE"""),31.47)</f>
        <v>31.47</v>
      </c>
      <c r="D437" s="3">
        <f>IFERROR(__xludf.DUMMYFUNCTION("""COMPUTED_VALUE"""),42636.66666666667)</f>
        <v>42636.66667</v>
      </c>
      <c r="E437" s="2">
        <f>IFERROR(__xludf.DUMMYFUNCTION("""COMPUTED_VALUE"""),16.24)</f>
        <v>16.24</v>
      </c>
      <c r="G437" s="3">
        <f>IFERROR(__xludf.DUMMYFUNCTION("""COMPUTED_VALUE"""),42762.99861111111)</f>
        <v>42762.99861</v>
      </c>
      <c r="H437" s="2">
        <f>IFERROR(__xludf.DUMMYFUNCTION("""COMPUTED_VALUE"""),922.63)</f>
        <v>922.63</v>
      </c>
    </row>
    <row r="438">
      <c r="A438" s="3">
        <f>IFERROR(__xludf.DUMMYFUNCTION("""COMPUTED_VALUE"""),42639.66666666667)</f>
        <v>42639.66667</v>
      </c>
      <c r="B438" s="2">
        <f>IFERROR(__xludf.DUMMYFUNCTION("""COMPUTED_VALUE"""),30.97)</f>
        <v>30.97</v>
      </c>
      <c r="D438" s="3">
        <f>IFERROR(__xludf.DUMMYFUNCTION("""COMPUTED_VALUE"""),42639.66666666667)</f>
        <v>42639.66667</v>
      </c>
      <c r="E438" s="2">
        <f>IFERROR(__xludf.DUMMYFUNCTION("""COMPUTED_VALUE"""),16.09)</f>
        <v>16.09</v>
      </c>
      <c r="G438" s="3">
        <f>IFERROR(__xludf.DUMMYFUNCTION("""COMPUTED_VALUE"""),42763.99861111111)</f>
        <v>42763.99861</v>
      </c>
      <c r="H438" s="2">
        <f>IFERROR(__xludf.DUMMYFUNCTION("""COMPUTED_VALUE"""),924.98)</f>
        <v>924.98</v>
      </c>
    </row>
    <row r="439">
      <c r="A439" s="3">
        <f>IFERROR(__xludf.DUMMYFUNCTION("""COMPUTED_VALUE"""),42640.66666666667)</f>
        <v>42640.66667</v>
      </c>
      <c r="B439" s="2">
        <f>IFERROR(__xludf.DUMMYFUNCTION("""COMPUTED_VALUE"""),31.15)</f>
        <v>31.15</v>
      </c>
      <c r="D439" s="3">
        <f>IFERROR(__xludf.DUMMYFUNCTION("""COMPUTED_VALUE"""),42640.66666666667)</f>
        <v>42640.66667</v>
      </c>
      <c r="E439" s="2">
        <f>IFERROR(__xludf.DUMMYFUNCTION("""COMPUTED_VALUE"""),16.64)</f>
        <v>16.64</v>
      </c>
      <c r="G439" s="3">
        <f>IFERROR(__xludf.DUMMYFUNCTION("""COMPUTED_VALUE"""),42764.99861111111)</f>
        <v>42764.99861</v>
      </c>
      <c r="H439" s="2">
        <f>IFERROR(__xludf.DUMMYFUNCTION("""COMPUTED_VALUE"""),916.54)</f>
        <v>916.54</v>
      </c>
    </row>
    <row r="440">
      <c r="A440" s="3">
        <f>IFERROR(__xludf.DUMMYFUNCTION("""COMPUTED_VALUE"""),42641.66666666667)</f>
        <v>42641.66667</v>
      </c>
      <c r="B440" s="2">
        <f>IFERROR(__xludf.DUMMYFUNCTION("""COMPUTED_VALUE"""),31.75)</f>
        <v>31.75</v>
      </c>
      <c r="D440" s="3">
        <f>IFERROR(__xludf.DUMMYFUNCTION("""COMPUTED_VALUE"""),42641.66666666667)</f>
        <v>42641.66667</v>
      </c>
      <c r="E440" s="2">
        <f>IFERROR(__xludf.DUMMYFUNCTION("""COMPUTED_VALUE"""),16.7)</f>
        <v>16.7</v>
      </c>
      <c r="G440" s="3">
        <f>IFERROR(__xludf.DUMMYFUNCTION("""COMPUTED_VALUE"""),42765.99861111111)</f>
        <v>42765.99861</v>
      </c>
      <c r="H440" s="2">
        <f>IFERROR(__xludf.DUMMYFUNCTION("""COMPUTED_VALUE"""),923.23)</f>
        <v>923.23</v>
      </c>
    </row>
    <row r="441">
      <c r="A441" s="3">
        <f>IFERROR(__xludf.DUMMYFUNCTION("""COMPUTED_VALUE"""),42642.66666666667)</f>
        <v>42642.66667</v>
      </c>
      <c r="B441" s="2">
        <f>IFERROR(__xludf.DUMMYFUNCTION("""COMPUTED_VALUE"""),31.1)</f>
        <v>31.1</v>
      </c>
      <c r="D441" s="3">
        <f>IFERROR(__xludf.DUMMYFUNCTION("""COMPUTED_VALUE"""),42642.66666666667)</f>
        <v>42642.66667</v>
      </c>
      <c r="E441" s="2">
        <f>IFERROR(__xludf.DUMMYFUNCTION("""COMPUTED_VALUE"""),16.85)</f>
        <v>16.85</v>
      </c>
      <c r="G441" s="3">
        <f>IFERROR(__xludf.DUMMYFUNCTION("""COMPUTED_VALUE"""),42766.99861111111)</f>
        <v>42766.99861</v>
      </c>
      <c r="H441" s="2">
        <f>IFERROR(__xludf.DUMMYFUNCTION("""COMPUTED_VALUE"""),970.01)</f>
        <v>970.01</v>
      </c>
    </row>
    <row r="442">
      <c r="A442" s="3">
        <f>IFERROR(__xludf.DUMMYFUNCTION("""COMPUTED_VALUE"""),42643.66666666667)</f>
        <v>42643.66667</v>
      </c>
      <c r="B442" s="2">
        <f>IFERROR(__xludf.DUMMYFUNCTION("""COMPUTED_VALUE"""),31.69)</f>
        <v>31.69</v>
      </c>
      <c r="D442" s="3">
        <f>IFERROR(__xludf.DUMMYFUNCTION("""COMPUTED_VALUE"""),42643.66666666667)</f>
        <v>42643.66667</v>
      </c>
      <c r="E442" s="2">
        <f>IFERROR(__xludf.DUMMYFUNCTION("""COMPUTED_VALUE"""),17.13)</f>
        <v>17.13</v>
      </c>
      <c r="G442" s="3">
        <f>IFERROR(__xludf.DUMMYFUNCTION("""COMPUTED_VALUE"""),42767.99861111111)</f>
        <v>42767.99861</v>
      </c>
      <c r="H442" s="2">
        <f>IFERROR(__xludf.DUMMYFUNCTION("""COMPUTED_VALUE"""),992.75)</f>
        <v>992.75</v>
      </c>
    </row>
    <row r="443">
      <c r="A443" s="3">
        <f>IFERROR(__xludf.DUMMYFUNCTION("""COMPUTED_VALUE"""),42646.66666666667)</f>
        <v>42646.66667</v>
      </c>
      <c r="B443" s="2">
        <f>IFERROR(__xludf.DUMMYFUNCTION("""COMPUTED_VALUE"""),31.35)</f>
        <v>31.35</v>
      </c>
      <c r="D443" s="3">
        <f>IFERROR(__xludf.DUMMYFUNCTION("""COMPUTED_VALUE"""),42646.66666666667)</f>
        <v>42646.66667</v>
      </c>
      <c r="E443" s="2">
        <f>IFERROR(__xludf.DUMMYFUNCTION("""COMPUTED_VALUE"""),17.11)</f>
        <v>17.11</v>
      </c>
      <c r="G443" s="3">
        <f>IFERROR(__xludf.DUMMYFUNCTION("""COMPUTED_VALUE"""),42768.99861111111)</f>
        <v>42768.99861</v>
      </c>
      <c r="H443" s="2">
        <f>IFERROR(__xludf.DUMMYFUNCTION("""COMPUTED_VALUE"""),1008.38)</f>
        <v>1008.38</v>
      </c>
    </row>
    <row r="444">
      <c r="A444" s="3">
        <f>IFERROR(__xludf.DUMMYFUNCTION("""COMPUTED_VALUE"""),42647.66666666667)</f>
        <v>42647.66667</v>
      </c>
      <c r="B444" s="2">
        <f>IFERROR(__xludf.DUMMYFUNCTION("""COMPUTED_VALUE"""),31.28)</f>
        <v>31.28</v>
      </c>
      <c r="D444" s="3">
        <f>IFERROR(__xludf.DUMMYFUNCTION("""COMPUTED_VALUE"""),42647.66666666667)</f>
        <v>42647.66667</v>
      </c>
      <c r="E444" s="2">
        <f>IFERROR(__xludf.DUMMYFUNCTION("""COMPUTED_VALUE"""),17.08)</f>
        <v>17.08</v>
      </c>
      <c r="G444" s="3">
        <f>IFERROR(__xludf.DUMMYFUNCTION("""COMPUTED_VALUE"""),42769.99861111111)</f>
        <v>42769.99861</v>
      </c>
      <c r="H444" s="2">
        <f>IFERROR(__xludf.DUMMYFUNCTION("""COMPUTED_VALUE"""),1018.0)</f>
        <v>1018</v>
      </c>
    </row>
    <row r="445">
      <c r="A445" s="3">
        <f>IFERROR(__xludf.DUMMYFUNCTION("""COMPUTED_VALUE"""),42648.66666666667)</f>
        <v>42648.66667</v>
      </c>
      <c r="B445" s="2">
        <f>IFERROR(__xludf.DUMMYFUNCTION("""COMPUTED_VALUE"""),31.56)</f>
        <v>31.56</v>
      </c>
      <c r="D445" s="3">
        <f>IFERROR(__xludf.DUMMYFUNCTION("""COMPUTED_VALUE"""),42648.66666666667)</f>
        <v>42648.66667</v>
      </c>
      <c r="E445" s="2">
        <f>IFERROR(__xludf.DUMMYFUNCTION("""COMPUTED_VALUE"""),17.06)</f>
        <v>17.06</v>
      </c>
      <c r="G445" s="3">
        <f>IFERROR(__xludf.DUMMYFUNCTION("""COMPUTED_VALUE"""),42770.99861111111)</f>
        <v>42770.99861</v>
      </c>
      <c r="H445" s="2">
        <f>IFERROR(__xludf.DUMMYFUNCTION("""COMPUTED_VALUE"""),1035.54)</f>
        <v>1035.54</v>
      </c>
    </row>
    <row r="446">
      <c r="A446" s="3">
        <f>IFERROR(__xludf.DUMMYFUNCTION("""COMPUTED_VALUE"""),42649.66666666667)</f>
        <v>42649.66667</v>
      </c>
      <c r="B446" s="2">
        <f>IFERROR(__xludf.DUMMYFUNCTION("""COMPUTED_VALUE"""),31.54)</f>
        <v>31.54</v>
      </c>
      <c r="D446" s="3">
        <f>IFERROR(__xludf.DUMMYFUNCTION("""COMPUTED_VALUE"""),42649.66666666667)</f>
        <v>42649.66667</v>
      </c>
      <c r="E446" s="2">
        <f>IFERROR(__xludf.DUMMYFUNCTION("""COMPUTED_VALUE"""),16.84)</f>
        <v>16.84</v>
      </c>
      <c r="G446" s="3">
        <f>IFERROR(__xludf.DUMMYFUNCTION("""COMPUTED_VALUE"""),42771.99861111111)</f>
        <v>42771.99861</v>
      </c>
      <c r="H446" s="2">
        <f>IFERROR(__xludf.DUMMYFUNCTION("""COMPUTED_VALUE"""),1016.32)</f>
        <v>1016.32</v>
      </c>
    </row>
    <row r="447">
      <c r="A447" s="3">
        <f>IFERROR(__xludf.DUMMYFUNCTION("""COMPUTED_VALUE"""),42650.66666666667)</f>
        <v>42650.66667</v>
      </c>
      <c r="B447" s="2">
        <f>IFERROR(__xludf.DUMMYFUNCTION("""COMPUTED_VALUE"""),31.28)</f>
        <v>31.28</v>
      </c>
      <c r="D447" s="3">
        <f>IFERROR(__xludf.DUMMYFUNCTION("""COMPUTED_VALUE"""),42650.66666666667)</f>
        <v>42650.66667</v>
      </c>
      <c r="E447" s="2">
        <f>IFERROR(__xludf.DUMMYFUNCTION("""COMPUTED_VALUE"""),16.71)</f>
        <v>16.71</v>
      </c>
      <c r="G447" s="3">
        <f>IFERROR(__xludf.DUMMYFUNCTION("""COMPUTED_VALUE"""),42772.99861111111)</f>
        <v>42772.99861</v>
      </c>
      <c r="H447" s="2">
        <f>IFERROR(__xludf.DUMMYFUNCTION("""COMPUTED_VALUE"""),1022.58)</f>
        <v>1022.58</v>
      </c>
    </row>
    <row r="448">
      <c r="A448" s="3">
        <f>IFERROR(__xludf.DUMMYFUNCTION("""COMPUTED_VALUE"""),42653.66666666667)</f>
        <v>42653.66667</v>
      </c>
      <c r="B448" s="2">
        <f>IFERROR(__xludf.DUMMYFUNCTION("""COMPUTED_VALUE"""),31.41)</f>
        <v>31.41</v>
      </c>
      <c r="D448" s="3">
        <f>IFERROR(__xludf.DUMMYFUNCTION("""COMPUTED_VALUE"""),42653.66666666667)</f>
        <v>42653.66667</v>
      </c>
      <c r="E448" s="2">
        <f>IFERROR(__xludf.DUMMYFUNCTION("""COMPUTED_VALUE"""),16.77)</f>
        <v>16.77</v>
      </c>
      <c r="G448" s="3">
        <f>IFERROR(__xludf.DUMMYFUNCTION("""COMPUTED_VALUE"""),42773.99861111111)</f>
        <v>42773.99861</v>
      </c>
      <c r="H448" s="2">
        <f>IFERROR(__xludf.DUMMYFUNCTION("""COMPUTED_VALUE"""),1053.96)</f>
        <v>1053.96</v>
      </c>
    </row>
    <row r="449">
      <c r="A449" s="3">
        <f>IFERROR(__xludf.DUMMYFUNCTION("""COMPUTED_VALUE"""),42654.66666666667)</f>
        <v>42654.66667</v>
      </c>
      <c r="B449" s="2">
        <f>IFERROR(__xludf.DUMMYFUNCTION("""COMPUTED_VALUE"""),31.16)</f>
        <v>31.16</v>
      </c>
      <c r="D449" s="3">
        <f>IFERROR(__xludf.DUMMYFUNCTION("""COMPUTED_VALUE"""),42654.66666666667)</f>
        <v>42654.66667</v>
      </c>
      <c r="E449" s="2">
        <f>IFERROR(__xludf.DUMMYFUNCTION("""COMPUTED_VALUE"""),16.53)</f>
        <v>16.53</v>
      </c>
      <c r="G449" s="3">
        <f>IFERROR(__xludf.DUMMYFUNCTION("""COMPUTED_VALUE"""),42774.99861111111)</f>
        <v>42774.99861</v>
      </c>
      <c r="H449" s="2">
        <f>IFERROR(__xludf.DUMMYFUNCTION("""COMPUTED_VALUE"""),1056.7)</f>
        <v>1056.7</v>
      </c>
    </row>
    <row r="450">
      <c r="A450" s="3">
        <f>IFERROR(__xludf.DUMMYFUNCTION("""COMPUTED_VALUE"""),42655.66666666667)</f>
        <v>42655.66667</v>
      </c>
      <c r="B450" s="2">
        <f>IFERROR(__xludf.DUMMYFUNCTION("""COMPUTED_VALUE"""),31.25)</f>
        <v>31.25</v>
      </c>
      <c r="D450" s="3">
        <f>IFERROR(__xludf.DUMMYFUNCTION("""COMPUTED_VALUE"""),42655.66666666667)</f>
        <v>42655.66667</v>
      </c>
      <c r="E450" s="2">
        <f>IFERROR(__xludf.DUMMYFUNCTION("""COMPUTED_VALUE"""),16.61)</f>
        <v>16.61</v>
      </c>
      <c r="G450" s="3">
        <f>IFERROR(__xludf.DUMMYFUNCTION("""COMPUTED_VALUE"""),42775.99861111111)</f>
        <v>42775.99861</v>
      </c>
      <c r="H450" s="2">
        <f>IFERROR(__xludf.DUMMYFUNCTION("""COMPUTED_VALUE"""),994.24)</f>
        <v>994.24</v>
      </c>
    </row>
    <row r="451">
      <c r="A451" s="3">
        <f>IFERROR(__xludf.DUMMYFUNCTION("""COMPUTED_VALUE"""),42656.66666666667)</f>
        <v>42656.66667</v>
      </c>
      <c r="B451" s="2">
        <f>IFERROR(__xludf.DUMMYFUNCTION("""COMPUTED_VALUE"""),31.32)</f>
        <v>31.32</v>
      </c>
      <c r="D451" s="3">
        <f>IFERROR(__xludf.DUMMYFUNCTION("""COMPUTED_VALUE"""),42656.66666666667)</f>
        <v>42656.66667</v>
      </c>
      <c r="E451" s="2">
        <f>IFERROR(__xludf.DUMMYFUNCTION("""COMPUTED_VALUE"""),16.34)</f>
        <v>16.34</v>
      </c>
      <c r="G451" s="3">
        <f>IFERROR(__xludf.DUMMYFUNCTION("""COMPUTED_VALUE"""),42776.99861111111)</f>
        <v>42776.99861</v>
      </c>
      <c r="H451" s="2">
        <f>IFERROR(__xludf.DUMMYFUNCTION("""COMPUTED_VALUE"""),1001.99)</f>
        <v>1001.99</v>
      </c>
    </row>
    <row r="452">
      <c r="A452" s="3">
        <f>IFERROR(__xludf.DUMMYFUNCTION("""COMPUTED_VALUE"""),42657.66666666667)</f>
        <v>42657.66667</v>
      </c>
      <c r="B452" s="2">
        <f>IFERROR(__xludf.DUMMYFUNCTION("""COMPUTED_VALUE"""),31.6)</f>
        <v>31.6</v>
      </c>
      <c r="D452" s="3">
        <f>IFERROR(__xludf.DUMMYFUNCTION("""COMPUTED_VALUE"""),42657.66666666667)</f>
        <v>42657.66667</v>
      </c>
      <c r="E452" s="2">
        <f>IFERROR(__xludf.DUMMYFUNCTION("""COMPUTED_VALUE"""),16.5)</f>
        <v>16.5</v>
      </c>
      <c r="G452" s="3">
        <f>IFERROR(__xludf.DUMMYFUNCTION("""COMPUTED_VALUE"""),42777.99861111111)</f>
        <v>42777.99861</v>
      </c>
      <c r="H452" s="2">
        <f>IFERROR(__xludf.DUMMYFUNCTION("""COMPUTED_VALUE"""),1018.65)</f>
        <v>1018.65</v>
      </c>
    </row>
    <row r="453">
      <c r="A453" s="3">
        <f>IFERROR(__xludf.DUMMYFUNCTION("""COMPUTED_VALUE"""),42660.66666666667)</f>
        <v>42660.66667</v>
      </c>
      <c r="B453" s="2">
        <f>IFERROR(__xludf.DUMMYFUNCTION("""COMPUTED_VALUE"""),31.65)</f>
        <v>31.65</v>
      </c>
      <c r="D453" s="3">
        <f>IFERROR(__xludf.DUMMYFUNCTION("""COMPUTED_VALUE"""),42660.66666666667)</f>
        <v>42660.66667</v>
      </c>
      <c r="E453" s="2">
        <f>IFERROR(__xludf.DUMMYFUNCTION("""COMPUTED_VALUE"""),16.4)</f>
        <v>16.4</v>
      </c>
      <c r="G453" s="3">
        <f>IFERROR(__xludf.DUMMYFUNCTION("""COMPUTED_VALUE"""),42778.99861111111)</f>
        <v>42778.99861</v>
      </c>
      <c r="H453" s="2">
        <f>IFERROR(__xludf.DUMMYFUNCTION("""COMPUTED_VALUE"""),1010.0)</f>
        <v>1010</v>
      </c>
    </row>
    <row r="454">
      <c r="A454" s="3">
        <f>IFERROR(__xludf.DUMMYFUNCTION("""COMPUTED_VALUE"""),42661.66666666667)</f>
        <v>42661.66667</v>
      </c>
      <c r="B454" s="2">
        <f>IFERROR(__xludf.DUMMYFUNCTION("""COMPUTED_VALUE"""),31.94)</f>
        <v>31.94</v>
      </c>
      <c r="D454" s="3">
        <f>IFERROR(__xludf.DUMMYFUNCTION("""COMPUTED_VALUE"""),42661.66666666667)</f>
        <v>42661.66667</v>
      </c>
      <c r="E454" s="2">
        <f>IFERROR(__xludf.DUMMYFUNCTION("""COMPUTED_VALUE"""),16.65)</f>
        <v>16.65</v>
      </c>
      <c r="G454" s="3">
        <f>IFERROR(__xludf.DUMMYFUNCTION("""COMPUTED_VALUE"""),42779.99861111111)</f>
        <v>42779.99861</v>
      </c>
      <c r="H454" s="2">
        <f>IFERROR(__xludf.DUMMYFUNCTION("""COMPUTED_VALUE"""),1002.82)</f>
        <v>1002.82</v>
      </c>
    </row>
    <row r="455">
      <c r="A455" s="3">
        <f>IFERROR(__xludf.DUMMYFUNCTION("""COMPUTED_VALUE"""),42662.66666666667)</f>
        <v>42662.66667</v>
      </c>
      <c r="B455" s="2">
        <f>IFERROR(__xludf.DUMMYFUNCTION("""COMPUTED_VALUE"""),32.51)</f>
        <v>32.51</v>
      </c>
      <c r="D455" s="3">
        <f>IFERROR(__xludf.DUMMYFUNCTION("""COMPUTED_VALUE"""),42662.66666666667)</f>
        <v>42662.66667</v>
      </c>
      <c r="E455" s="2">
        <f>IFERROR(__xludf.DUMMYFUNCTION("""COMPUTED_VALUE"""),16.62)</f>
        <v>16.62</v>
      </c>
      <c r="G455" s="3">
        <f>IFERROR(__xludf.DUMMYFUNCTION("""COMPUTED_VALUE"""),42780.99861111111)</f>
        <v>42780.99861</v>
      </c>
      <c r="H455" s="2">
        <f>IFERROR(__xludf.DUMMYFUNCTION("""COMPUTED_VALUE"""),1013.92)</f>
        <v>1013.92</v>
      </c>
    </row>
    <row r="456">
      <c r="A456" s="3">
        <f>IFERROR(__xludf.DUMMYFUNCTION("""COMPUTED_VALUE"""),42663.66666666667)</f>
        <v>42663.66667</v>
      </c>
      <c r="B456" s="2">
        <f>IFERROR(__xludf.DUMMYFUNCTION("""COMPUTED_VALUE"""),32.66)</f>
        <v>32.66</v>
      </c>
      <c r="D456" s="3">
        <f>IFERROR(__xludf.DUMMYFUNCTION("""COMPUTED_VALUE"""),42663.66666666667)</f>
        <v>42663.66667</v>
      </c>
      <c r="E456" s="2">
        <f>IFERROR(__xludf.DUMMYFUNCTION("""COMPUTED_VALUE"""),16.93)</f>
        <v>16.93</v>
      </c>
      <c r="G456" s="3">
        <f>IFERROR(__xludf.DUMMYFUNCTION("""COMPUTED_VALUE"""),42781.99861111111)</f>
        <v>42781.99861</v>
      </c>
      <c r="H456" s="2">
        <f>IFERROR(__xludf.DUMMYFUNCTION("""COMPUTED_VALUE"""),1014.53)</f>
        <v>1014.53</v>
      </c>
    </row>
    <row r="457">
      <c r="A457" s="3">
        <f>IFERROR(__xludf.DUMMYFUNCTION("""COMPUTED_VALUE"""),42664.66666666667)</f>
        <v>42664.66667</v>
      </c>
      <c r="B457" s="2">
        <f>IFERROR(__xludf.DUMMYFUNCTION("""COMPUTED_VALUE"""),32.49)</f>
        <v>32.49</v>
      </c>
      <c r="D457" s="3">
        <f>IFERROR(__xludf.DUMMYFUNCTION("""COMPUTED_VALUE"""),42664.66666666667)</f>
        <v>42664.66667</v>
      </c>
      <c r="E457" s="2">
        <f>IFERROR(__xludf.DUMMYFUNCTION("""COMPUTED_VALUE"""),16.89)</f>
        <v>16.89</v>
      </c>
      <c r="G457" s="3">
        <f>IFERROR(__xludf.DUMMYFUNCTION("""COMPUTED_VALUE"""),42782.99861111111)</f>
        <v>42782.99861</v>
      </c>
      <c r="H457" s="2">
        <f>IFERROR(__xludf.DUMMYFUNCTION("""COMPUTED_VALUE"""),1038.94)</f>
        <v>1038.94</v>
      </c>
    </row>
    <row r="458">
      <c r="A458" s="3">
        <f>IFERROR(__xludf.DUMMYFUNCTION("""COMPUTED_VALUE"""),42667.66666666667)</f>
        <v>42667.66667</v>
      </c>
      <c r="B458" s="2">
        <f>IFERROR(__xludf.DUMMYFUNCTION("""COMPUTED_VALUE"""),33.05)</f>
        <v>33.05</v>
      </c>
      <c r="D458" s="3">
        <f>IFERROR(__xludf.DUMMYFUNCTION("""COMPUTED_VALUE"""),42667.66666666667)</f>
        <v>42667.66667</v>
      </c>
      <c r="E458" s="2">
        <f>IFERROR(__xludf.DUMMYFUNCTION("""COMPUTED_VALUE"""),17.68)</f>
        <v>17.68</v>
      </c>
      <c r="G458" s="3">
        <f>IFERROR(__xludf.DUMMYFUNCTION("""COMPUTED_VALUE"""),42783.99861111111)</f>
        <v>42783.99861</v>
      </c>
      <c r="H458" s="2">
        <f>IFERROR(__xludf.DUMMYFUNCTION("""COMPUTED_VALUE"""),1057.3)</f>
        <v>1057.3</v>
      </c>
    </row>
    <row r="459">
      <c r="A459" s="3">
        <f>IFERROR(__xludf.DUMMYFUNCTION("""COMPUTED_VALUE"""),42668.66666666667)</f>
        <v>42668.66667</v>
      </c>
      <c r="B459" s="2">
        <f>IFERROR(__xludf.DUMMYFUNCTION("""COMPUTED_VALUE"""),32.88)</f>
        <v>32.88</v>
      </c>
      <c r="D459" s="3">
        <f>IFERROR(__xludf.DUMMYFUNCTION("""COMPUTED_VALUE"""),42668.66666666667)</f>
        <v>42668.66667</v>
      </c>
      <c r="E459" s="2">
        <f>IFERROR(__xludf.DUMMYFUNCTION("""COMPUTED_VALUE"""),17.97)</f>
        <v>17.97</v>
      </c>
      <c r="G459" s="3">
        <f>IFERROR(__xludf.DUMMYFUNCTION("""COMPUTED_VALUE"""),42784.99861111111)</f>
        <v>42784.99861</v>
      </c>
      <c r="H459" s="2">
        <f>IFERROR(__xludf.DUMMYFUNCTION("""COMPUTED_VALUE"""),1062.15)</f>
        <v>1062.15</v>
      </c>
    </row>
    <row r="460">
      <c r="A460" s="3">
        <f>IFERROR(__xludf.DUMMYFUNCTION("""COMPUTED_VALUE"""),42669.66666666667)</f>
        <v>42669.66667</v>
      </c>
      <c r="B460" s="2">
        <f>IFERROR(__xludf.DUMMYFUNCTION("""COMPUTED_VALUE"""),32.75)</f>
        <v>32.75</v>
      </c>
      <c r="D460" s="3">
        <f>IFERROR(__xludf.DUMMYFUNCTION("""COMPUTED_VALUE"""),42669.66666666667)</f>
        <v>42669.66667</v>
      </c>
      <c r="E460" s="2">
        <f>IFERROR(__xludf.DUMMYFUNCTION("""COMPUTED_VALUE"""),18.04)</f>
        <v>18.04</v>
      </c>
      <c r="G460" s="3">
        <f>IFERROR(__xludf.DUMMYFUNCTION("""COMPUTED_VALUE"""),42785.99861111111)</f>
        <v>42785.99861</v>
      </c>
      <c r="H460" s="2">
        <f>IFERROR(__xludf.DUMMYFUNCTION("""COMPUTED_VALUE"""),1059.88)</f>
        <v>1059.88</v>
      </c>
    </row>
    <row r="461">
      <c r="A461" s="3">
        <f>IFERROR(__xludf.DUMMYFUNCTION("""COMPUTED_VALUE"""),42670.66666666667)</f>
        <v>42670.66667</v>
      </c>
      <c r="B461" s="2">
        <f>IFERROR(__xludf.DUMMYFUNCTION("""COMPUTED_VALUE"""),32.89)</f>
        <v>32.89</v>
      </c>
      <c r="D461" s="3">
        <f>IFERROR(__xludf.DUMMYFUNCTION("""COMPUTED_VALUE"""),42670.66666666667)</f>
        <v>42670.66667</v>
      </c>
      <c r="E461" s="2">
        <f>IFERROR(__xludf.DUMMYFUNCTION("""COMPUTED_VALUE"""),17.67)</f>
        <v>17.67</v>
      </c>
      <c r="G461" s="3">
        <f>IFERROR(__xludf.DUMMYFUNCTION("""COMPUTED_VALUE"""),42786.99861111111)</f>
        <v>42786.99861</v>
      </c>
      <c r="H461" s="2">
        <f>IFERROR(__xludf.DUMMYFUNCTION("""COMPUTED_VALUE"""),1089.82)</f>
        <v>1089.82</v>
      </c>
    </row>
    <row r="462">
      <c r="A462" s="3">
        <f>IFERROR(__xludf.DUMMYFUNCTION("""COMPUTED_VALUE"""),42671.66666666667)</f>
        <v>42671.66667</v>
      </c>
      <c r="B462" s="2">
        <f>IFERROR(__xludf.DUMMYFUNCTION("""COMPUTED_VALUE"""),32.81)</f>
        <v>32.81</v>
      </c>
      <c r="D462" s="3">
        <f>IFERROR(__xludf.DUMMYFUNCTION("""COMPUTED_VALUE"""),42671.66666666667)</f>
        <v>42671.66667</v>
      </c>
      <c r="E462" s="2">
        <f>IFERROR(__xludf.DUMMYFUNCTION("""COMPUTED_VALUE"""),17.64)</f>
        <v>17.64</v>
      </c>
      <c r="G462" s="3">
        <f>IFERROR(__xludf.DUMMYFUNCTION("""COMPUTED_VALUE"""),42787.99861111111)</f>
        <v>42787.99861</v>
      </c>
      <c r="H462" s="2">
        <f>IFERROR(__xludf.DUMMYFUNCTION("""COMPUTED_VALUE"""),1128.29)</f>
        <v>1128.29</v>
      </c>
    </row>
    <row r="463">
      <c r="A463" s="3">
        <f>IFERROR(__xludf.DUMMYFUNCTION("""COMPUTED_VALUE"""),42674.66666666667)</f>
        <v>42674.66667</v>
      </c>
      <c r="B463" s="2">
        <f>IFERROR(__xludf.DUMMYFUNCTION("""COMPUTED_VALUE"""),32.8)</f>
        <v>32.8</v>
      </c>
      <c r="D463" s="3">
        <f>IFERROR(__xludf.DUMMYFUNCTION("""COMPUTED_VALUE"""),42674.66666666667)</f>
        <v>42674.66667</v>
      </c>
      <c r="E463" s="2">
        <f>IFERROR(__xludf.DUMMYFUNCTION("""COMPUTED_VALUE"""),17.79)</f>
        <v>17.79</v>
      </c>
      <c r="G463" s="3">
        <f>IFERROR(__xludf.DUMMYFUNCTION("""COMPUTED_VALUE"""),42788.99861111111)</f>
        <v>42788.99861</v>
      </c>
      <c r="H463" s="2">
        <f>IFERROR(__xludf.DUMMYFUNCTION("""COMPUTED_VALUE"""),1128.71)</f>
        <v>1128.71</v>
      </c>
    </row>
    <row r="464">
      <c r="A464" s="3">
        <f>IFERROR(__xludf.DUMMYFUNCTION("""COMPUTED_VALUE"""),42675.66666666667)</f>
        <v>42675.66667</v>
      </c>
      <c r="B464" s="2">
        <f>IFERROR(__xludf.DUMMYFUNCTION("""COMPUTED_VALUE"""),32.66)</f>
        <v>32.66</v>
      </c>
      <c r="D464" s="3">
        <f>IFERROR(__xludf.DUMMYFUNCTION("""COMPUTED_VALUE"""),42675.66666666667)</f>
        <v>42675.66667</v>
      </c>
      <c r="E464" s="2">
        <f>IFERROR(__xludf.DUMMYFUNCTION("""COMPUTED_VALUE"""),17.26)</f>
        <v>17.26</v>
      </c>
      <c r="G464" s="3">
        <f>IFERROR(__xludf.DUMMYFUNCTION("""COMPUTED_VALUE"""),42789.99861111111)</f>
        <v>42789.99861</v>
      </c>
      <c r="H464" s="2">
        <f>IFERROR(__xludf.DUMMYFUNCTION("""COMPUTED_VALUE"""),1186.9)</f>
        <v>1186.9</v>
      </c>
    </row>
    <row r="465">
      <c r="A465" s="3">
        <f>IFERROR(__xludf.DUMMYFUNCTION("""COMPUTED_VALUE"""),42676.66666666667)</f>
        <v>42676.66667</v>
      </c>
      <c r="B465" s="2">
        <f>IFERROR(__xludf.DUMMYFUNCTION("""COMPUTED_VALUE"""),31.98)</f>
        <v>31.98</v>
      </c>
      <c r="D465" s="3">
        <f>IFERROR(__xludf.DUMMYFUNCTION("""COMPUTED_VALUE"""),42676.66666666667)</f>
        <v>42676.66667</v>
      </c>
      <c r="E465" s="2">
        <f>IFERROR(__xludf.DUMMYFUNCTION("""COMPUTED_VALUE"""),17.19)</f>
        <v>17.19</v>
      </c>
      <c r="G465" s="3">
        <f>IFERROR(__xludf.DUMMYFUNCTION("""COMPUTED_VALUE"""),42790.99861111111)</f>
        <v>42790.99861</v>
      </c>
      <c r="H465" s="2">
        <f>IFERROR(__xludf.DUMMYFUNCTION("""COMPUTED_VALUE"""),1186.91)</f>
        <v>1186.91</v>
      </c>
    </row>
    <row r="466">
      <c r="A466" s="3">
        <f>IFERROR(__xludf.DUMMYFUNCTION("""COMPUTED_VALUE"""),42677.66666666667)</f>
        <v>42677.66667</v>
      </c>
      <c r="B466" s="2">
        <f>IFERROR(__xludf.DUMMYFUNCTION("""COMPUTED_VALUE"""),31.98)</f>
        <v>31.98</v>
      </c>
      <c r="D466" s="3">
        <f>IFERROR(__xludf.DUMMYFUNCTION("""COMPUTED_VALUE"""),42677.66666666667)</f>
        <v>42677.66667</v>
      </c>
      <c r="E466" s="2">
        <f>IFERROR(__xludf.DUMMYFUNCTION("""COMPUTED_VALUE"""),16.99)</f>
        <v>16.99</v>
      </c>
      <c r="G466" s="3">
        <f>IFERROR(__xludf.DUMMYFUNCTION("""COMPUTED_VALUE"""),42791.99861111111)</f>
        <v>42791.99861</v>
      </c>
      <c r="H466" s="2">
        <f>IFERROR(__xludf.DUMMYFUNCTION("""COMPUTED_VALUE"""),1158.0)</f>
        <v>1158</v>
      </c>
    </row>
    <row r="467">
      <c r="A467" s="3">
        <f>IFERROR(__xludf.DUMMYFUNCTION("""COMPUTED_VALUE"""),42678.66666666667)</f>
        <v>42678.66667</v>
      </c>
      <c r="B467" s="2">
        <f>IFERROR(__xludf.DUMMYFUNCTION("""COMPUTED_VALUE"""),31.82)</f>
        <v>31.82</v>
      </c>
      <c r="D467" s="3">
        <f>IFERROR(__xludf.DUMMYFUNCTION("""COMPUTED_VALUE"""),42678.66666666667)</f>
        <v>42678.66667</v>
      </c>
      <c r="E467" s="2">
        <f>IFERROR(__xludf.DUMMYFUNCTION("""COMPUTED_VALUE"""),16.89)</f>
        <v>16.89</v>
      </c>
      <c r="G467" s="3">
        <f>IFERROR(__xludf.DUMMYFUNCTION("""COMPUTED_VALUE"""),42792.99861111111)</f>
        <v>42792.99861</v>
      </c>
      <c r="H467" s="2">
        <f>IFERROR(__xludf.DUMMYFUNCTION("""COMPUTED_VALUE"""),1184.91)</f>
        <v>1184.91</v>
      </c>
    </row>
    <row r="468">
      <c r="A468" s="3">
        <f>IFERROR(__xludf.DUMMYFUNCTION("""COMPUTED_VALUE"""),42681.66666666667)</f>
        <v>42681.66667</v>
      </c>
      <c r="B468" s="2">
        <f>IFERROR(__xludf.DUMMYFUNCTION("""COMPUTED_VALUE"""),33.26)</f>
        <v>33.26</v>
      </c>
      <c r="D468" s="3">
        <f>IFERROR(__xludf.DUMMYFUNCTION("""COMPUTED_VALUE"""),42681.66666666667)</f>
        <v>42681.66667</v>
      </c>
      <c r="E468" s="2">
        <f>IFERROR(__xludf.DUMMYFUNCTION("""COMPUTED_VALUE"""),17.82)</f>
        <v>17.82</v>
      </c>
      <c r="G468" s="3">
        <f>IFERROR(__xludf.DUMMYFUNCTION("""COMPUTED_VALUE"""),42793.99861111111)</f>
        <v>42793.99861</v>
      </c>
      <c r="H468" s="2">
        <f>IFERROR(__xludf.DUMMYFUNCTION("""COMPUTED_VALUE"""),1195.81)</f>
        <v>1195.81</v>
      </c>
    </row>
    <row r="469">
      <c r="A469" s="3">
        <f>IFERROR(__xludf.DUMMYFUNCTION("""COMPUTED_VALUE"""),42682.66666666667)</f>
        <v>42682.66667</v>
      </c>
      <c r="B469" s="2">
        <f>IFERROR(__xludf.DUMMYFUNCTION("""COMPUTED_VALUE"""),33.21)</f>
        <v>33.21</v>
      </c>
      <c r="D469" s="3">
        <f>IFERROR(__xludf.DUMMYFUNCTION("""COMPUTED_VALUE"""),42682.66666666667)</f>
        <v>42682.66667</v>
      </c>
      <c r="E469" s="2">
        <f>IFERROR(__xludf.DUMMYFUNCTION("""COMPUTED_VALUE"""),17.79)</f>
        <v>17.79</v>
      </c>
      <c r="G469" s="3">
        <f>IFERROR(__xludf.DUMMYFUNCTION("""COMPUTED_VALUE"""),42794.99861111111)</f>
        <v>42794.99861</v>
      </c>
      <c r="H469" s="2">
        <f>IFERROR(__xludf.DUMMYFUNCTION("""COMPUTED_VALUE"""),1195.08)</f>
        <v>1195.08</v>
      </c>
    </row>
    <row r="470">
      <c r="A470" s="3">
        <f>IFERROR(__xludf.DUMMYFUNCTION("""COMPUTED_VALUE"""),42683.66666666667)</f>
        <v>42683.66667</v>
      </c>
      <c r="B470" s="2">
        <f>IFERROR(__xludf.DUMMYFUNCTION("""COMPUTED_VALUE"""),33.78)</f>
        <v>33.78</v>
      </c>
      <c r="D470" s="3">
        <f>IFERROR(__xludf.DUMMYFUNCTION("""COMPUTED_VALUE"""),42683.66666666667)</f>
        <v>42683.66667</v>
      </c>
      <c r="E470" s="2">
        <f>IFERROR(__xludf.DUMMYFUNCTION("""COMPUTED_VALUE"""),17.49)</f>
        <v>17.49</v>
      </c>
      <c r="G470" s="3">
        <f>IFERROR(__xludf.DUMMYFUNCTION("""COMPUTED_VALUE"""),42795.99861111111)</f>
        <v>42795.99861</v>
      </c>
      <c r="H470" s="2">
        <f>IFERROR(__xludf.DUMMYFUNCTION("""COMPUTED_VALUE"""),1230.0)</f>
        <v>1230</v>
      </c>
    </row>
    <row r="471">
      <c r="A471" s="3">
        <f>IFERROR(__xludf.DUMMYFUNCTION("""COMPUTED_VALUE"""),42684.66666666667)</f>
        <v>42684.66667</v>
      </c>
      <c r="B471" s="2">
        <f>IFERROR(__xludf.DUMMYFUNCTION("""COMPUTED_VALUE"""),33.93)</f>
        <v>33.93</v>
      </c>
      <c r="D471" s="3">
        <f>IFERROR(__xludf.DUMMYFUNCTION("""COMPUTED_VALUE"""),42684.66666666667)</f>
        <v>42684.66667</v>
      </c>
      <c r="E471" s="2">
        <f>IFERROR(__xludf.DUMMYFUNCTION("""COMPUTED_VALUE"""),16.94)</f>
        <v>16.94</v>
      </c>
      <c r="G471" s="3">
        <f>IFERROR(__xludf.DUMMYFUNCTION("""COMPUTED_VALUE"""),42796.99861111111)</f>
        <v>42796.99861</v>
      </c>
      <c r="H471" s="2">
        <f>IFERROR(__xludf.DUMMYFUNCTION("""COMPUTED_VALUE"""),1269.17)</f>
        <v>1269.17</v>
      </c>
    </row>
    <row r="472">
      <c r="A472" s="3">
        <f>IFERROR(__xludf.DUMMYFUNCTION("""COMPUTED_VALUE"""),42685.66666666667)</f>
        <v>42685.66667</v>
      </c>
      <c r="B472" s="2">
        <f>IFERROR(__xludf.DUMMYFUNCTION("""COMPUTED_VALUE"""),34.57)</f>
        <v>34.57</v>
      </c>
      <c r="D472" s="3">
        <f>IFERROR(__xludf.DUMMYFUNCTION("""COMPUTED_VALUE"""),42685.66666666667)</f>
        <v>42685.66667</v>
      </c>
      <c r="E472" s="2">
        <f>IFERROR(__xludf.DUMMYFUNCTION("""COMPUTED_VALUE"""),21.99)</f>
        <v>21.99</v>
      </c>
      <c r="G472" s="3">
        <f>IFERROR(__xludf.DUMMYFUNCTION("""COMPUTED_VALUE"""),42797.99861111111)</f>
        <v>42797.99861</v>
      </c>
      <c r="H472" s="2">
        <f>IFERROR(__xludf.DUMMYFUNCTION("""COMPUTED_VALUE"""),1292.86)</f>
        <v>1292.86</v>
      </c>
    </row>
    <row r="473">
      <c r="A473" s="3">
        <f>IFERROR(__xludf.DUMMYFUNCTION("""COMPUTED_VALUE"""),42688.66666666667)</f>
        <v>42688.66667</v>
      </c>
      <c r="B473" s="2">
        <f>IFERROR(__xludf.DUMMYFUNCTION("""COMPUTED_VALUE"""),34.8)</f>
        <v>34.8</v>
      </c>
      <c r="D473" s="3">
        <f>IFERROR(__xludf.DUMMYFUNCTION("""COMPUTED_VALUE"""),42688.66666666667)</f>
        <v>42688.66667</v>
      </c>
      <c r="E473" s="2">
        <f>IFERROR(__xludf.DUMMYFUNCTION("""COMPUTED_VALUE"""),20.91)</f>
        <v>20.91</v>
      </c>
      <c r="G473" s="3">
        <f>IFERROR(__xludf.DUMMYFUNCTION("""COMPUTED_VALUE"""),42798.99861111111)</f>
        <v>42798.99861</v>
      </c>
      <c r="H473" s="2">
        <f>IFERROR(__xludf.DUMMYFUNCTION("""COMPUTED_VALUE"""),1273.97)</f>
        <v>1273.97</v>
      </c>
    </row>
    <row r="474">
      <c r="A474" s="3">
        <f>IFERROR(__xludf.DUMMYFUNCTION("""COMPUTED_VALUE"""),42689.66666666667)</f>
        <v>42689.66667</v>
      </c>
      <c r="B474" s="2">
        <f>IFERROR(__xludf.DUMMYFUNCTION("""COMPUTED_VALUE"""),35.13)</f>
        <v>35.13</v>
      </c>
      <c r="D474" s="3">
        <f>IFERROR(__xludf.DUMMYFUNCTION("""COMPUTED_VALUE"""),42689.66666666667)</f>
        <v>42689.66667</v>
      </c>
      <c r="E474" s="2">
        <f>IFERROR(__xludf.DUMMYFUNCTION("""COMPUTED_VALUE"""),21.55)</f>
        <v>21.55</v>
      </c>
      <c r="G474" s="3">
        <f>IFERROR(__xludf.DUMMYFUNCTION("""COMPUTED_VALUE"""),42799.99861111111)</f>
        <v>42799.99861</v>
      </c>
      <c r="H474" s="2">
        <f>IFERROR(__xludf.DUMMYFUNCTION("""COMPUTED_VALUE"""),1278.98)</f>
        <v>1278.98</v>
      </c>
    </row>
    <row r="475">
      <c r="A475" s="3">
        <f>IFERROR(__xludf.DUMMYFUNCTION("""COMPUTED_VALUE"""),42690.66666666667)</f>
        <v>42690.66667</v>
      </c>
      <c r="B475" s="2">
        <f>IFERROR(__xludf.DUMMYFUNCTION("""COMPUTED_VALUE"""),35.11)</f>
        <v>35.11</v>
      </c>
      <c r="D475" s="3">
        <f>IFERROR(__xludf.DUMMYFUNCTION("""COMPUTED_VALUE"""),42690.66666666667)</f>
        <v>42690.66667</v>
      </c>
      <c r="E475" s="2">
        <f>IFERROR(__xludf.DUMMYFUNCTION("""COMPUTED_VALUE"""),22.91)</f>
        <v>22.91</v>
      </c>
      <c r="G475" s="3">
        <f>IFERROR(__xludf.DUMMYFUNCTION("""COMPUTED_VALUE"""),42800.99861111111)</f>
        <v>42800.99861</v>
      </c>
      <c r="H475" s="2">
        <f>IFERROR(__xludf.DUMMYFUNCTION("""COMPUTED_VALUE"""),1284.99)</f>
        <v>1284.99</v>
      </c>
    </row>
    <row r="476">
      <c r="A476" s="3">
        <f>IFERROR(__xludf.DUMMYFUNCTION("""COMPUTED_VALUE"""),42691.66666666667)</f>
        <v>42691.66667</v>
      </c>
      <c r="B476" s="2">
        <f>IFERROR(__xludf.DUMMYFUNCTION("""COMPUTED_VALUE"""),35.22)</f>
        <v>35.22</v>
      </c>
      <c r="D476" s="3">
        <f>IFERROR(__xludf.DUMMYFUNCTION("""COMPUTED_VALUE"""),42691.66666666667)</f>
        <v>42691.66667</v>
      </c>
      <c r="E476" s="2">
        <f>IFERROR(__xludf.DUMMYFUNCTION("""COMPUTED_VALUE"""),23.1)</f>
        <v>23.1</v>
      </c>
      <c r="G476" s="3">
        <f>IFERROR(__xludf.DUMMYFUNCTION("""COMPUTED_VALUE"""),42801.99861111111)</f>
        <v>42801.99861</v>
      </c>
      <c r="H476" s="2">
        <f>IFERROR(__xludf.DUMMYFUNCTION("""COMPUTED_VALUE"""),1237.36)</f>
        <v>1237.36</v>
      </c>
    </row>
    <row r="477">
      <c r="A477" s="3">
        <f>IFERROR(__xludf.DUMMYFUNCTION("""COMPUTED_VALUE"""),42692.66666666667)</f>
        <v>42692.66667</v>
      </c>
      <c r="B477" s="2">
        <f>IFERROR(__xludf.DUMMYFUNCTION("""COMPUTED_VALUE"""),35.89)</f>
        <v>35.89</v>
      </c>
      <c r="D477" s="3">
        <f>IFERROR(__xludf.DUMMYFUNCTION("""COMPUTED_VALUE"""),42692.66666666667)</f>
        <v>42692.66667</v>
      </c>
      <c r="E477" s="2">
        <f>IFERROR(__xludf.DUMMYFUNCTION("""COMPUTED_VALUE"""),23.34)</f>
        <v>23.34</v>
      </c>
      <c r="G477" s="3">
        <f>IFERROR(__xludf.DUMMYFUNCTION("""COMPUTED_VALUE"""),42802.99861111111)</f>
        <v>42802.99861</v>
      </c>
      <c r="H477" s="2">
        <f>IFERROR(__xludf.DUMMYFUNCTION("""COMPUTED_VALUE"""),1150.22)</f>
        <v>1150.22</v>
      </c>
    </row>
    <row r="478">
      <c r="A478" s="3">
        <f>IFERROR(__xludf.DUMMYFUNCTION("""COMPUTED_VALUE"""),42695.66666666667)</f>
        <v>42695.66667</v>
      </c>
      <c r="B478" s="2">
        <f>IFERROR(__xludf.DUMMYFUNCTION("""COMPUTED_VALUE"""),35.9)</f>
        <v>35.9</v>
      </c>
      <c r="D478" s="3">
        <f>IFERROR(__xludf.DUMMYFUNCTION("""COMPUTED_VALUE"""),42695.66666666667)</f>
        <v>42695.66667</v>
      </c>
      <c r="E478" s="2">
        <f>IFERROR(__xludf.DUMMYFUNCTION("""COMPUTED_VALUE"""),23.25)</f>
        <v>23.25</v>
      </c>
      <c r="G478" s="3">
        <f>IFERROR(__xludf.DUMMYFUNCTION("""COMPUTED_VALUE"""),42803.99861111111)</f>
        <v>42803.99861</v>
      </c>
      <c r="H478" s="2">
        <f>IFERROR(__xludf.DUMMYFUNCTION("""COMPUTED_VALUE"""),1197.3)</f>
        <v>1197.3</v>
      </c>
    </row>
    <row r="479">
      <c r="A479" s="3">
        <f>IFERROR(__xludf.DUMMYFUNCTION("""COMPUTED_VALUE"""),42696.66666666667)</f>
        <v>42696.66667</v>
      </c>
      <c r="B479" s="2">
        <f>IFERROR(__xludf.DUMMYFUNCTION("""COMPUTED_VALUE"""),36.6)</f>
        <v>36.6</v>
      </c>
      <c r="D479" s="3">
        <f>IFERROR(__xludf.DUMMYFUNCTION("""COMPUTED_VALUE"""),42696.66666666667)</f>
        <v>42696.66667</v>
      </c>
      <c r="E479" s="2">
        <f>IFERROR(__xludf.DUMMYFUNCTION("""COMPUTED_VALUE"""),23.41)</f>
        <v>23.41</v>
      </c>
      <c r="G479" s="3">
        <f>IFERROR(__xludf.DUMMYFUNCTION("""COMPUTED_VALUE"""),42804.99861111111)</f>
        <v>42804.99861</v>
      </c>
      <c r="H479" s="2">
        <f>IFERROR(__xludf.DUMMYFUNCTION("""COMPUTED_VALUE"""),1109.01)</f>
        <v>1109.01</v>
      </c>
    </row>
    <row r="480">
      <c r="A480" s="3">
        <f>IFERROR(__xludf.DUMMYFUNCTION("""COMPUTED_VALUE"""),42697.66666666667)</f>
        <v>42697.66667</v>
      </c>
      <c r="B480" s="2">
        <f>IFERROR(__xludf.DUMMYFUNCTION("""COMPUTED_VALUE"""),37.65)</f>
        <v>37.65</v>
      </c>
      <c r="D480" s="3">
        <f>IFERROR(__xludf.DUMMYFUNCTION("""COMPUTED_VALUE"""),42697.66666666667)</f>
        <v>42697.66667</v>
      </c>
      <c r="E480" s="2">
        <f>IFERROR(__xludf.DUMMYFUNCTION("""COMPUTED_VALUE"""),23.49)</f>
        <v>23.49</v>
      </c>
      <c r="G480" s="3">
        <f>IFERROR(__xludf.DUMMYFUNCTION("""COMPUTED_VALUE"""),42805.99861111111)</f>
        <v>42805.99861</v>
      </c>
      <c r="H480" s="2">
        <f>IFERROR(__xludf.DUMMYFUNCTION("""COMPUTED_VALUE"""),1188.11)</f>
        <v>1188.11</v>
      </c>
    </row>
    <row r="481">
      <c r="A481" s="3">
        <f>IFERROR(__xludf.DUMMYFUNCTION("""COMPUTED_VALUE"""),42699.66666666667)</f>
        <v>42699.66667</v>
      </c>
      <c r="B481" s="2">
        <f>IFERROR(__xludf.DUMMYFUNCTION("""COMPUTED_VALUE"""),38.26)</f>
        <v>38.26</v>
      </c>
      <c r="D481" s="3">
        <f>IFERROR(__xludf.DUMMYFUNCTION("""COMPUTED_VALUE"""),42699.66666666667)</f>
        <v>42699.66667</v>
      </c>
      <c r="E481" s="2">
        <f>IFERROR(__xludf.DUMMYFUNCTION("""COMPUTED_VALUE"""),23.54)</f>
        <v>23.54</v>
      </c>
      <c r="G481" s="3">
        <f>IFERROR(__xludf.DUMMYFUNCTION("""COMPUTED_VALUE"""),42806.99861111111)</f>
        <v>42806.99861</v>
      </c>
      <c r="H481" s="2">
        <f>IFERROR(__xludf.DUMMYFUNCTION("""COMPUTED_VALUE"""),1235.58)</f>
        <v>1235.58</v>
      </c>
    </row>
    <row r="482">
      <c r="A482" s="3">
        <f>IFERROR(__xludf.DUMMYFUNCTION("""COMPUTED_VALUE"""),42702.66666666667)</f>
        <v>42702.66667</v>
      </c>
      <c r="B482" s="2">
        <f>IFERROR(__xludf.DUMMYFUNCTION("""COMPUTED_VALUE"""),37.98)</f>
        <v>37.98</v>
      </c>
      <c r="D482" s="3">
        <f>IFERROR(__xludf.DUMMYFUNCTION("""COMPUTED_VALUE"""),42702.66666666667)</f>
        <v>42702.66667</v>
      </c>
      <c r="E482" s="2">
        <f>IFERROR(__xludf.DUMMYFUNCTION("""COMPUTED_VALUE"""),23.53)</f>
        <v>23.53</v>
      </c>
      <c r="G482" s="3">
        <f>IFERROR(__xludf.DUMMYFUNCTION("""COMPUTED_VALUE"""),42807.99861111111)</f>
        <v>42807.99861</v>
      </c>
      <c r="H482" s="2">
        <f>IFERROR(__xludf.DUMMYFUNCTION("""COMPUTED_VALUE"""),1245.49)</f>
        <v>1245.49</v>
      </c>
    </row>
    <row r="483">
      <c r="A483" s="3">
        <f>IFERROR(__xludf.DUMMYFUNCTION("""COMPUTED_VALUE"""),42703.66666666667)</f>
        <v>42703.66667</v>
      </c>
      <c r="B483" s="2">
        <f>IFERROR(__xludf.DUMMYFUNCTION("""COMPUTED_VALUE"""),37.26)</f>
        <v>37.26</v>
      </c>
      <c r="D483" s="3">
        <f>IFERROR(__xludf.DUMMYFUNCTION("""COMPUTED_VALUE"""),42703.66666666667)</f>
        <v>42703.66667</v>
      </c>
      <c r="E483" s="2">
        <f>IFERROR(__xludf.DUMMYFUNCTION("""COMPUTED_VALUE"""),23.31)</f>
        <v>23.31</v>
      </c>
      <c r="G483" s="3">
        <f>IFERROR(__xludf.DUMMYFUNCTION("""COMPUTED_VALUE"""),42808.99861111111)</f>
        <v>42808.99861</v>
      </c>
      <c r="H483" s="2">
        <f>IFERROR(__xludf.DUMMYFUNCTION("""COMPUTED_VALUE"""),1247.42)</f>
        <v>1247.42</v>
      </c>
    </row>
    <row r="484">
      <c r="A484" s="3">
        <f>IFERROR(__xludf.DUMMYFUNCTION("""COMPUTED_VALUE"""),42704.66666666667)</f>
        <v>42704.66667</v>
      </c>
      <c r="B484" s="2">
        <f>IFERROR(__xludf.DUMMYFUNCTION("""COMPUTED_VALUE"""),36.83)</f>
        <v>36.83</v>
      </c>
      <c r="D484" s="3">
        <f>IFERROR(__xludf.DUMMYFUNCTION("""COMPUTED_VALUE"""),42704.66666666667)</f>
        <v>42704.66667</v>
      </c>
      <c r="E484" s="2">
        <f>IFERROR(__xludf.DUMMYFUNCTION("""COMPUTED_VALUE"""),23.05)</f>
        <v>23.05</v>
      </c>
      <c r="G484" s="3">
        <f>IFERROR(__xludf.DUMMYFUNCTION("""COMPUTED_VALUE"""),42809.99861111111)</f>
        <v>42809.99861</v>
      </c>
      <c r="H484" s="2">
        <f>IFERROR(__xludf.DUMMYFUNCTION("""COMPUTED_VALUE"""),1263.0)</f>
        <v>1263</v>
      </c>
    </row>
    <row r="485">
      <c r="A485" s="3">
        <f>IFERROR(__xludf.DUMMYFUNCTION("""COMPUTED_VALUE"""),42705.66666666667)</f>
        <v>42705.66667</v>
      </c>
      <c r="B485" s="2">
        <f>IFERROR(__xludf.DUMMYFUNCTION("""COMPUTED_VALUE"""),35.49)</f>
        <v>35.49</v>
      </c>
      <c r="D485" s="3">
        <f>IFERROR(__xludf.DUMMYFUNCTION("""COMPUTED_VALUE"""),42705.66666666667)</f>
        <v>42705.66667</v>
      </c>
      <c r="E485" s="2">
        <f>IFERROR(__xludf.DUMMYFUNCTION("""COMPUTED_VALUE"""),21.91)</f>
        <v>21.91</v>
      </c>
      <c r="G485" s="3">
        <f>IFERROR(__xludf.DUMMYFUNCTION("""COMPUTED_VALUE"""),42810.99861111111)</f>
        <v>42810.99861</v>
      </c>
      <c r="H485" s="2">
        <f>IFERROR(__xludf.DUMMYFUNCTION("""COMPUTED_VALUE"""),1175.11)</f>
        <v>1175.11</v>
      </c>
    </row>
    <row r="486">
      <c r="A486" s="3">
        <f>IFERROR(__xludf.DUMMYFUNCTION("""COMPUTED_VALUE"""),42706.66666666667)</f>
        <v>42706.66667</v>
      </c>
      <c r="B486" s="2">
        <f>IFERROR(__xludf.DUMMYFUNCTION("""COMPUTED_VALUE"""),35.35)</f>
        <v>35.35</v>
      </c>
      <c r="D486" s="3">
        <f>IFERROR(__xludf.DUMMYFUNCTION("""COMPUTED_VALUE"""),42706.66666666667)</f>
        <v>42706.66667</v>
      </c>
      <c r="E486" s="2">
        <f>IFERROR(__xludf.DUMMYFUNCTION("""COMPUTED_VALUE"""),22.11)</f>
        <v>22.11</v>
      </c>
      <c r="G486" s="3">
        <f>IFERROR(__xludf.DUMMYFUNCTION("""COMPUTED_VALUE"""),42811.99861111111)</f>
        <v>42811.99861</v>
      </c>
      <c r="H486" s="2">
        <f>IFERROR(__xludf.DUMMYFUNCTION("""COMPUTED_VALUE"""),1069.57)</f>
        <v>1069.57</v>
      </c>
    </row>
    <row r="487">
      <c r="A487" s="3">
        <f>IFERROR(__xludf.DUMMYFUNCTION("""COMPUTED_VALUE"""),42709.66666666667)</f>
        <v>42709.66667</v>
      </c>
      <c r="B487" s="2">
        <f>IFERROR(__xludf.DUMMYFUNCTION("""COMPUTED_VALUE"""),35.84)</f>
        <v>35.84</v>
      </c>
      <c r="D487" s="3">
        <f>IFERROR(__xludf.DUMMYFUNCTION("""COMPUTED_VALUE"""),42709.66666666667)</f>
        <v>42709.66667</v>
      </c>
      <c r="E487" s="2">
        <f>IFERROR(__xludf.DUMMYFUNCTION("""COMPUTED_VALUE"""),22.97)</f>
        <v>22.97</v>
      </c>
      <c r="G487" s="3">
        <f>IFERROR(__xludf.DUMMYFUNCTION("""COMPUTED_VALUE"""),42812.99861111111)</f>
        <v>42812.99861</v>
      </c>
      <c r="H487" s="2">
        <f>IFERROR(__xludf.DUMMYFUNCTION("""COMPUTED_VALUE"""),970.0)</f>
        <v>970</v>
      </c>
    </row>
    <row r="488">
      <c r="A488" s="3">
        <f>IFERROR(__xludf.DUMMYFUNCTION("""COMPUTED_VALUE"""),42710.66666666667)</f>
        <v>42710.66667</v>
      </c>
      <c r="B488" s="2">
        <f>IFERROR(__xludf.DUMMYFUNCTION("""COMPUTED_VALUE"""),36.37)</f>
        <v>36.37</v>
      </c>
      <c r="D488" s="3">
        <f>IFERROR(__xludf.DUMMYFUNCTION("""COMPUTED_VALUE"""),42710.66666666667)</f>
        <v>42710.66667</v>
      </c>
      <c r="E488" s="2">
        <f>IFERROR(__xludf.DUMMYFUNCTION("""COMPUTED_VALUE"""),23.35)</f>
        <v>23.35</v>
      </c>
      <c r="G488" s="3">
        <f>IFERROR(__xludf.DUMMYFUNCTION("""COMPUTED_VALUE"""),42813.99861111111)</f>
        <v>42813.99861</v>
      </c>
      <c r="H488" s="2">
        <f>IFERROR(__xludf.DUMMYFUNCTION("""COMPUTED_VALUE"""),1019.49)</f>
        <v>1019.49</v>
      </c>
    </row>
    <row r="489">
      <c r="A489" s="3">
        <f>IFERROR(__xludf.DUMMYFUNCTION("""COMPUTED_VALUE"""),42711.66666666667)</f>
        <v>42711.66667</v>
      </c>
      <c r="B489" s="2">
        <f>IFERROR(__xludf.DUMMYFUNCTION("""COMPUTED_VALUE"""),36.63)</f>
        <v>36.63</v>
      </c>
      <c r="D489" s="3">
        <f>IFERROR(__xludf.DUMMYFUNCTION("""COMPUTED_VALUE"""),42711.66666666667)</f>
        <v>42711.66667</v>
      </c>
      <c r="E489" s="2">
        <f>IFERROR(__xludf.DUMMYFUNCTION("""COMPUTED_VALUE"""),23.77)</f>
        <v>23.77</v>
      </c>
      <c r="G489" s="3">
        <f>IFERROR(__xludf.DUMMYFUNCTION("""COMPUTED_VALUE"""),42814.99861111111)</f>
        <v>42814.99861</v>
      </c>
      <c r="H489" s="2">
        <f>IFERROR(__xludf.DUMMYFUNCTION("""COMPUTED_VALUE"""),1044.96)</f>
        <v>1044.96</v>
      </c>
    </row>
    <row r="490">
      <c r="A490" s="3">
        <f>IFERROR(__xludf.DUMMYFUNCTION("""COMPUTED_VALUE"""),42712.66666666667)</f>
        <v>42712.66667</v>
      </c>
      <c r="B490" s="2">
        <f>IFERROR(__xludf.DUMMYFUNCTION("""COMPUTED_VALUE"""),36.95)</f>
        <v>36.95</v>
      </c>
      <c r="D490" s="3">
        <f>IFERROR(__xludf.DUMMYFUNCTION("""COMPUTED_VALUE"""),42712.66666666667)</f>
        <v>42712.66667</v>
      </c>
      <c r="E490" s="2">
        <f>IFERROR(__xludf.DUMMYFUNCTION("""COMPUTED_VALUE"""),23.37)</f>
        <v>23.37</v>
      </c>
      <c r="G490" s="3">
        <f>IFERROR(__xludf.DUMMYFUNCTION("""COMPUTED_VALUE"""),42815.99861111111)</f>
        <v>42815.99861</v>
      </c>
      <c r="H490" s="2">
        <f>IFERROR(__xludf.DUMMYFUNCTION("""COMPUTED_VALUE"""),1114.42)</f>
        <v>1114.42</v>
      </c>
    </row>
    <row r="491">
      <c r="A491" s="3">
        <f>IFERROR(__xludf.DUMMYFUNCTION("""COMPUTED_VALUE"""),42713.66666666667)</f>
        <v>42713.66667</v>
      </c>
      <c r="B491" s="2">
        <f>IFERROR(__xludf.DUMMYFUNCTION("""COMPUTED_VALUE"""),37.12)</f>
        <v>37.12</v>
      </c>
      <c r="D491" s="3">
        <f>IFERROR(__xludf.DUMMYFUNCTION("""COMPUTED_VALUE"""),42713.66666666667)</f>
        <v>42713.66667</v>
      </c>
      <c r="E491" s="2">
        <f>IFERROR(__xludf.DUMMYFUNCTION("""COMPUTED_VALUE"""),22.96)</f>
        <v>22.96</v>
      </c>
      <c r="G491" s="3">
        <f>IFERROR(__xludf.DUMMYFUNCTION("""COMPUTED_VALUE"""),42816.99861111111)</f>
        <v>42816.99861</v>
      </c>
      <c r="H491" s="2">
        <f>IFERROR(__xludf.DUMMYFUNCTION("""COMPUTED_VALUE"""),1034.57)</f>
        <v>1034.57</v>
      </c>
    </row>
    <row r="492">
      <c r="A492" s="3">
        <f>IFERROR(__xludf.DUMMYFUNCTION("""COMPUTED_VALUE"""),42716.66666666667)</f>
        <v>42716.66667</v>
      </c>
      <c r="B492" s="2">
        <f>IFERROR(__xludf.DUMMYFUNCTION("""COMPUTED_VALUE"""),37.12)</f>
        <v>37.12</v>
      </c>
      <c r="D492" s="3">
        <f>IFERROR(__xludf.DUMMYFUNCTION("""COMPUTED_VALUE"""),42716.66666666667)</f>
        <v>42716.66667</v>
      </c>
      <c r="E492" s="2">
        <f>IFERROR(__xludf.DUMMYFUNCTION("""COMPUTED_VALUE"""),22.4)</f>
        <v>22.4</v>
      </c>
      <c r="G492" s="3">
        <f>IFERROR(__xludf.DUMMYFUNCTION("""COMPUTED_VALUE"""),42817.99861111111)</f>
        <v>42817.99861</v>
      </c>
      <c r="H492" s="2">
        <f>IFERROR(__xludf.DUMMYFUNCTION("""COMPUTED_VALUE"""),1025.14)</f>
        <v>1025.14</v>
      </c>
    </row>
    <row r="493">
      <c r="A493" s="3">
        <f>IFERROR(__xludf.DUMMYFUNCTION("""COMPUTED_VALUE"""),42717.66666666667)</f>
        <v>42717.66667</v>
      </c>
      <c r="B493" s="2">
        <f>IFERROR(__xludf.DUMMYFUNCTION("""COMPUTED_VALUE"""),37.15)</f>
        <v>37.15</v>
      </c>
      <c r="D493" s="3">
        <f>IFERROR(__xludf.DUMMYFUNCTION("""COMPUTED_VALUE"""),42717.66666666667)</f>
        <v>42717.66667</v>
      </c>
      <c r="E493" s="2">
        <f>IFERROR(__xludf.DUMMYFUNCTION("""COMPUTED_VALUE"""),22.79)</f>
        <v>22.79</v>
      </c>
      <c r="G493" s="3">
        <f>IFERROR(__xludf.DUMMYFUNCTION("""COMPUTED_VALUE"""),42818.99861111111)</f>
        <v>42818.99861</v>
      </c>
      <c r="H493" s="2">
        <f>IFERROR(__xludf.DUMMYFUNCTION("""COMPUTED_VALUE"""),934.87)</f>
        <v>934.87</v>
      </c>
    </row>
    <row r="494">
      <c r="A494" s="3">
        <f>IFERROR(__xludf.DUMMYFUNCTION("""COMPUTED_VALUE"""),42718.66666666667)</f>
        <v>42718.66667</v>
      </c>
      <c r="B494" s="2">
        <f>IFERROR(__xludf.DUMMYFUNCTION("""COMPUTED_VALUE"""),36.35)</f>
        <v>36.35</v>
      </c>
      <c r="D494" s="3">
        <f>IFERROR(__xludf.DUMMYFUNCTION("""COMPUTED_VALUE"""),42718.66666666667)</f>
        <v>42718.66667</v>
      </c>
      <c r="E494" s="2">
        <f>IFERROR(__xludf.DUMMYFUNCTION("""COMPUTED_VALUE"""),24.11)</f>
        <v>24.11</v>
      </c>
      <c r="G494" s="3">
        <f>IFERROR(__xludf.DUMMYFUNCTION("""COMPUTED_VALUE"""),42819.99861111111)</f>
        <v>42819.99861</v>
      </c>
      <c r="H494" s="2">
        <f>IFERROR(__xludf.DUMMYFUNCTION("""COMPUTED_VALUE"""),963.72)</f>
        <v>963.72</v>
      </c>
    </row>
    <row r="495">
      <c r="A495" s="3">
        <f>IFERROR(__xludf.DUMMYFUNCTION("""COMPUTED_VALUE"""),42719.66666666667)</f>
        <v>42719.66667</v>
      </c>
      <c r="B495" s="2">
        <f>IFERROR(__xludf.DUMMYFUNCTION("""COMPUTED_VALUE"""),36.51)</f>
        <v>36.51</v>
      </c>
      <c r="D495" s="3">
        <f>IFERROR(__xludf.DUMMYFUNCTION("""COMPUTED_VALUE"""),42719.66666666667)</f>
        <v>42719.66667</v>
      </c>
      <c r="E495" s="2">
        <f>IFERROR(__xludf.DUMMYFUNCTION("""COMPUTED_VALUE"""),24.68)</f>
        <v>24.68</v>
      </c>
      <c r="G495" s="3">
        <f>IFERROR(__xludf.DUMMYFUNCTION("""COMPUTED_VALUE"""),42820.99861111111)</f>
        <v>42820.99861</v>
      </c>
      <c r="H495" s="2">
        <f>IFERROR(__xludf.DUMMYFUNCTION("""COMPUTED_VALUE"""),973.08)</f>
        <v>973.08</v>
      </c>
    </row>
    <row r="496">
      <c r="A496" s="3">
        <f>IFERROR(__xludf.DUMMYFUNCTION("""COMPUTED_VALUE"""),42720.66666666667)</f>
        <v>42720.66667</v>
      </c>
      <c r="B496" s="2">
        <f>IFERROR(__xludf.DUMMYFUNCTION("""COMPUTED_VALUE"""),36.3)</f>
        <v>36.3</v>
      </c>
      <c r="D496" s="3">
        <f>IFERROR(__xludf.DUMMYFUNCTION("""COMPUTED_VALUE"""),42720.66666666667)</f>
        <v>42720.66667</v>
      </c>
      <c r="E496" s="2">
        <f>IFERROR(__xludf.DUMMYFUNCTION("""COMPUTED_VALUE"""),25.1)</f>
        <v>25.1</v>
      </c>
      <c r="G496" s="3">
        <f>IFERROR(__xludf.DUMMYFUNCTION("""COMPUTED_VALUE"""),42821.99861111111)</f>
        <v>42821.99861</v>
      </c>
      <c r="H496" s="2">
        <f>IFERROR(__xludf.DUMMYFUNCTION("""COMPUTED_VALUE"""),1042.08)</f>
        <v>1042.08</v>
      </c>
    </row>
    <row r="497">
      <c r="A497" s="3">
        <f>IFERROR(__xludf.DUMMYFUNCTION("""COMPUTED_VALUE"""),42723.66666666667)</f>
        <v>42723.66667</v>
      </c>
      <c r="B497" s="2">
        <f>IFERROR(__xludf.DUMMYFUNCTION("""COMPUTED_VALUE"""),35.89)</f>
        <v>35.89</v>
      </c>
      <c r="D497" s="3">
        <f>IFERROR(__xludf.DUMMYFUNCTION("""COMPUTED_VALUE"""),42723.66666666667)</f>
        <v>42723.66667</v>
      </c>
      <c r="E497" s="2">
        <f>IFERROR(__xludf.DUMMYFUNCTION("""COMPUTED_VALUE"""),25.41)</f>
        <v>25.41</v>
      </c>
      <c r="G497" s="3">
        <f>IFERROR(__xludf.DUMMYFUNCTION("""COMPUTED_VALUE"""),42822.99861111111)</f>
        <v>42822.99861</v>
      </c>
      <c r="H497" s="2">
        <f>IFERROR(__xludf.DUMMYFUNCTION("""COMPUTED_VALUE"""),1045.4)</f>
        <v>1045.4</v>
      </c>
    </row>
    <row r="498">
      <c r="A498" s="3">
        <f>IFERROR(__xludf.DUMMYFUNCTION("""COMPUTED_VALUE"""),42724.66666666667)</f>
        <v>42724.66667</v>
      </c>
      <c r="B498" s="2">
        <f>IFERROR(__xludf.DUMMYFUNCTION("""COMPUTED_VALUE"""),35.99)</f>
        <v>35.99</v>
      </c>
      <c r="D498" s="3">
        <f>IFERROR(__xludf.DUMMYFUNCTION("""COMPUTED_VALUE"""),42724.66666666667)</f>
        <v>42724.66667</v>
      </c>
      <c r="E498" s="2">
        <f>IFERROR(__xludf.DUMMYFUNCTION("""COMPUTED_VALUE"""),26.29)</f>
        <v>26.29</v>
      </c>
      <c r="G498" s="3">
        <f>IFERROR(__xludf.DUMMYFUNCTION("""COMPUTED_VALUE"""),42823.99861111111)</f>
        <v>42823.99861</v>
      </c>
      <c r="H498" s="2">
        <f>IFERROR(__xludf.DUMMYFUNCTION("""COMPUTED_VALUE"""),1043.27)</f>
        <v>1043.27</v>
      </c>
    </row>
    <row r="499">
      <c r="A499" s="3">
        <f>IFERROR(__xludf.DUMMYFUNCTION("""COMPUTED_VALUE"""),42725.66666666667)</f>
        <v>42725.66667</v>
      </c>
      <c r="B499" s="2">
        <f>IFERROR(__xludf.DUMMYFUNCTION("""COMPUTED_VALUE"""),36.15)</f>
        <v>36.15</v>
      </c>
      <c r="D499" s="3">
        <f>IFERROR(__xludf.DUMMYFUNCTION("""COMPUTED_VALUE"""),42725.66666666667)</f>
        <v>42725.66667</v>
      </c>
      <c r="E499" s="2">
        <f>IFERROR(__xludf.DUMMYFUNCTION("""COMPUTED_VALUE"""),26.46)</f>
        <v>26.46</v>
      </c>
      <c r="G499" s="3">
        <f>IFERROR(__xludf.DUMMYFUNCTION("""COMPUTED_VALUE"""),42824.99861111111)</f>
        <v>42824.99861</v>
      </c>
      <c r="H499" s="2">
        <f>IFERROR(__xludf.DUMMYFUNCTION("""COMPUTED_VALUE"""),1042.34)</f>
        <v>1042.34</v>
      </c>
    </row>
    <row r="500">
      <c r="A500" s="3">
        <f>IFERROR(__xludf.DUMMYFUNCTION("""COMPUTED_VALUE"""),42726.66666666667)</f>
        <v>42726.66667</v>
      </c>
      <c r="B500" s="2">
        <f>IFERROR(__xludf.DUMMYFUNCTION("""COMPUTED_VALUE"""),36.21)</f>
        <v>36.21</v>
      </c>
      <c r="D500" s="3">
        <f>IFERROR(__xludf.DUMMYFUNCTION("""COMPUTED_VALUE"""),42726.66666666667)</f>
        <v>42726.66667</v>
      </c>
      <c r="E500" s="2">
        <f>IFERROR(__xludf.DUMMYFUNCTION("""COMPUTED_VALUE"""),26.78)</f>
        <v>26.78</v>
      </c>
      <c r="G500" s="3">
        <f>IFERROR(__xludf.DUMMYFUNCTION("""COMPUTED_VALUE"""),42825.99861111111)</f>
        <v>42825.99861</v>
      </c>
      <c r="H500" s="2">
        <f>IFERROR(__xludf.DUMMYFUNCTION("""COMPUTED_VALUE"""),1088.99)</f>
        <v>1088.99</v>
      </c>
    </row>
    <row r="501">
      <c r="A501" s="3">
        <f>IFERROR(__xludf.DUMMYFUNCTION("""COMPUTED_VALUE"""),42727.66666666667)</f>
        <v>42727.66667</v>
      </c>
      <c r="B501" s="2">
        <f>IFERROR(__xludf.DUMMYFUNCTION("""COMPUTED_VALUE"""),36.87)</f>
        <v>36.87</v>
      </c>
      <c r="D501" s="3">
        <f>IFERROR(__xludf.DUMMYFUNCTION("""COMPUTED_VALUE"""),42727.66666666667)</f>
        <v>42727.66667</v>
      </c>
      <c r="E501" s="2">
        <f>IFERROR(__xludf.DUMMYFUNCTION("""COMPUTED_VALUE"""),27.45)</f>
        <v>27.45</v>
      </c>
      <c r="G501" s="3">
        <f>IFERROR(__xludf.DUMMYFUNCTION("""COMPUTED_VALUE"""),42826.99861111111)</f>
        <v>42826.99861</v>
      </c>
      <c r="H501" s="2">
        <f>IFERROR(__xludf.DUMMYFUNCTION("""COMPUTED_VALUE"""),1092.0)</f>
        <v>1092</v>
      </c>
    </row>
    <row r="502">
      <c r="A502" s="3">
        <f>IFERROR(__xludf.DUMMYFUNCTION("""COMPUTED_VALUE"""),42731.66666666667)</f>
        <v>42731.66667</v>
      </c>
      <c r="B502" s="2">
        <f>IFERROR(__xludf.DUMMYFUNCTION("""COMPUTED_VALUE"""),37.0)</f>
        <v>37</v>
      </c>
      <c r="D502" s="3">
        <f>IFERROR(__xludf.DUMMYFUNCTION("""COMPUTED_VALUE"""),42731.66666666667)</f>
        <v>42731.66667</v>
      </c>
      <c r="E502" s="2">
        <f>IFERROR(__xludf.DUMMYFUNCTION("""COMPUTED_VALUE"""),29.33)</f>
        <v>29.33</v>
      </c>
      <c r="G502" s="3">
        <f>IFERROR(__xludf.DUMMYFUNCTION("""COMPUTED_VALUE"""),42827.99861111111)</f>
        <v>42827.99861</v>
      </c>
      <c r="H502" s="2">
        <f>IFERROR(__xludf.DUMMYFUNCTION("""COMPUTED_VALUE"""),1113.99)</f>
        <v>1113.99</v>
      </c>
    </row>
    <row r="503">
      <c r="A503" s="3">
        <f>IFERROR(__xludf.DUMMYFUNCTION("""COMPUTED_VALUE"""),42732.66666666667)</f>
        <v>42732.66667</v>
      </c>
      <c r="B503" s="2">
        <f>IFERROR(__xludf.DUMMYFUNCTION("""COMPUTED_VALUE"""),36.46)</f>
        <v>36.46</v>
      </c>
      <c r="D503" s="3">
        <f>IFERROR(__xludf.DUMMYFUNCTION("""COMPUTED_VALUE"""),42732.66666666667)</f>
        <v>42732.66667</v>
      </c>
      <c r="E503" s="2">
        <f>IFERROR(__xludf.DUMMYFUNCTION("""COMPUTED_VALUE"""),27.31)</f>
        <v>27.31</v>
      </c>
      <c r="G503" s="3">
        <f>IFERROR(__xludf.DUMMYFUNCTION("""COMPUTED_VALUE"""),42828.99861111111)</f>
        <v>42828.99861</v>
      </c>
      <c r="H503" s="2">
        <f>IFERROR(__xludf.DUMMYFUNCTION("""COMPUTED_VALUE"""),1152.6)</f>
        <v>1152.6</v>
      </c>
    </row>
    <row r="504">
      <c r="A504" s="3">
        <f>IFERROR(__xludf.DUMMYFUNCTION("""COMPUTED_VALUE"""),42733.66666666667)</f>
        <v>42733.66667</v>
      </c>
      <c r="B504" s="2">
        <f>IFERROR(__xludf.DUMMYFUNCTION("""COMPUTED_VALUE"""),36.63)</f>
        <v>36.63</v>
      </c>
      <c r="D504" s="3">
        <f>IFERROR(__xludf.DUMMYFUNCTION("""COMPUTED_VALUE"""),42733.66666666667)</f>
        <v>42733.66667</v>
      </c>
      <c r="E504" s="2">
        <f>IFERROR(__xludf.DUMMYFUNCTION("""COMPUTED_VALUE"""),27.86)</f>
        <v>27.86</v>
      </c>
      <c r="G504" s="3">
        <f>IFERROR(__xludf.DUMMYFUNCTION("""COMPUTED_VALUE"""),42829.99861111111)</f>
        <v>42829.99861</v>
      </c>
      <c r="H504" s="2">
        <f>IFERROR(__xludf.DUMMYFUNCTION("""COMPUTED_VALUE"""),1143.99)</f>
        <v>1143.99</v>
      </c>
    </row>
    <row r="505">
      <c r="A505" s="3">
        <f>IFERROR(__xludf.DUMMYFUNCTION("""COMPUTED_VALUE"""),42734.66666666667)</f>
        <v>42734.66667</v>
      </c>
      <c r="B505" s="2">
        <f>IFERROR(__xludf.DUMMYFUNCTION("""COMPUTED_VALUE"""),36.57)</f>
        <v>36.57</v>
      </c>
      <c r="D505" s="3">
        <f>IFERROR(__xludf.DUMMYFUNCTION("""COMPUTED_VALUE"""),42734.66666666667)</f>
        <v>42734.66667</v>
      </c>
      <c r="E505" s="2">
        <f>IFERROR(__xludf.DUMMYFUNCTION("""COMPUTED_VALUE"""),26.69)</f>
        <v>26.69</v>
      </c>
      <c r="G505" s="3">
        <f>IFERROR(__xludf.DUMMYFUNCTION("""COMPUTED_VALUE"""),42830.99861111111)</f>
        <v>42830.99861</v>
      </c>
      <c r="H505" s="2">
        <f>IFERROR(__xludf.DUMMYFUNCTION("""COMPUTED_VALUE"""),1132.99)</f>
        <v>1132.99</v>
      </c>
    </row>
    <row r="506">
      <c r="A506" s="3">
        <f>IFERROR(__xludf.DUMMYFUNCTION("""COMPUTED_VALUE"""),42738.66666666667)</f>
        <v>42738.66667</v>
      </c>
      <c r="B506" s="2">
        <f>IFERROR(__xludf.DUMMYFUNCTION("""COMPUTED_VALUE"""),36.28)</f>
        <v>36.28</v>
      </c>
      <c r="D506" s="3">
        <f>IFERROR(__xludf.DUMMYFUNCTION("""COMPUTED_VALUE"""),42738.66666666667)</f>
        <v>42738.66667</v>
      </c>
      <c r="E506" s="2">
        <f>IFERROR(__xludf.DUMMYFUNCTION("""COMPUTED_VALUE"""),25.5)</f>
        <v>25.5</v>
      </c>
      <c r="G506" s="3">
        <f>IFERROR(__xludf.DUMMYFUNCTION("""COMPUTED_VALUE"""),42831.99861111111)</f>
        <v>42831.99861</v>
      </c>
      <c r="H506" s="2">
        <f>IFERROR(__xludf.DUMMYFUNCTION("""COMPUTED_VALUE"""),1192.3)</f>
        <v>1192.3</v>
      </c>
    </row>
    <row r="507">
      <c r="A507" s="3">
        <f>IFERROR(__xludf.DUMMYFUNCTION("""COMPUTED_VALUE"""),42739.66666666667)</f>
        <v>42739.66667</v>
      </c>
      <c r="B507" s="2">
        <f>IFERROR(__xludf.DUMMYFUNCTION("""COMPUTED_VALUE"""),36.88)</f>
        <v>36.88</v>
      </c>
      <c r="D507" s="3">
        <f>IFERROR(__xludf.DUMMYFUNCTION("""COMPUTED_VALUE"""),42739.66666666667)</f>
        <v>42739.66667</v>
      </c>
      <c r="E507" s="2">
        <f>IFERROR(__xludf.DUMMYFUNCTION("""COMPUTED_VALUE"""),26.1)</f>
        <v>26.1</v>
      </c>
      <c r="G507" s="3">
        <f>IFERROR(__xludf.DUMMYFUNCTION("""COMPUTED_VALUE"""),42832.99861111111)</f>
        <v>42832.99861</v>
      </c>
      <c r="H507" s="2">
        <f>IFERROR(__xludf.DUMMYFUNCTION("""COMPUTED_VALUE"""),1194.0)</f>
        <v>1194</v>
      </c>
    </row>
    <row r="508">
      <c r="A508" s="3">
        <f>IFERROR(__xludf.DUMMYFUNCTION("""COMPUTED_VALUE"""),42740.66666666667)</f>
        <v>42740.66667</v>
      </c>
      <c r="B508" s="2">
        <f>IFERROR(__xludf.DUMMYFUNCTION("""COMPUTED_VALUE"""),36.45)</f>
        <v>36.45</v>
      </c>
      <c r="D508" s="3">
        <f>IFERROR(__xludf.DUMMYFUNCTION("""COMPUTED_VALUE"""),42740.66666666667)</f>
        <v>42740.66667</v>
      </c>
      <c r="E508" s="2">
        <f>IFERROR(__xludf.DUMMYFUNCTION("""COMPUTED_VALUE"""),25.44)</f>
        <v>25.44</v>
      </c>
      <c r="G508" s="3">
        <f>IFERROR(__xludf.DUMMYFUNCTION("""COMPUTED_VALUE"""),42833.99861111111)</f>
        <v>42833.99861</v>
      </c>
      <c r="H508" s="2">
        <f>IFERROR(__xludf.DUMMYFUNCTION("""COMPUTED_VALUE"""),1184.5)</f>
        <v>1184.5</v>
      </c>
    </row>
    <row r="509">
      <c r="A509" s="3">
        <f>IFERROR(__xludf.DUMMYFUNCTION("""COMPUTED_VALUE"""),42741.66666666667)</f>
        <v>42741.66667</v>
      </c>
      <c r="B509" s="2">
        <f>IFERROR(__xludf.DUMMYFUNCTION("""COMPUTED_VALUE"""),36.2)</f>
        <v>36.2</v>
      </c>
      <c r="D509" s="3">
        <f>IFERROR(__xludf.DUMMYFUNCTION("""COMPUTED_VALUE"""),42741.66666666667)</f>
        <v>42741.66667</v>
      </c>
      <c r="E509" s="2">
        <f>IFERROR(__xludf.DUMMYFUNCTION("""COMPUTED_VALUE"""),25.78)</f>
        <v>25.78</v>
      </c>
      <c r="G509" s="3">
        <f>IFERROR(__xludf.DUMMYFUNCTION("""COMPUTED_VALUE"""),42834.99861111111)</f>
        <v>42834.99861</v>
      </c>
      <c r="H509" s="2">
        <f>IFERROR(__xludf.DUMMYFUNCTION("""COMPUTED_VALUE"""),1210.97)</f>
        <v>1210.97</v>
      </c>
    </row>
    <row r="510">
      <c r="A510" s="3">
        <f>IFERROR(__xludf.DUMMYFUNCTION("""COMPUTED_VALUE"""),42744.66666666667)</f>
        <v>42744.66667</v>
      </c>
      <c r="B510" s="2">
        <f>IFERROR(__xludf.DUMMYFUNCTION("""COMPUTED_VALUE"""),36.1)</f>
        <v>36.1</v>
      </c>
      <c r="D510" s="3">
        <f>IFERROR(__xludf.DUMMYFUNCTION("""COMPUTED_VALUE"""),42744.66666666667)</f>
        <v>42744.66667</v>
      </c>
      <c r="E510" s="2">
        <f>IFERROR(__xludf.DUMMYFUNCTION("""COMPUTED_VALUE"""),26.82)</f>
        <v>26.82</v>
      </c>
      <c r="G510" s="3">
        <f>IFERROR(__xludf.DUMMYFUNCTION("""COMPUTED_VALUE"""),42835.99861111111)</f>
        <v>42835.99861</v>
      </c>
      <c r="H510" s="2">
        <f>IFERROR(__xludf.DUMMYFUNCTION("""COMPUTED_VALUE"""),1210.0)</f>
        <v>1210</v>
      </c>
    </row>
    <row r="511">
      <c r="A511" s="3">
        <f>IFERROR(__xludf.DUMMYFUNCTION("""COMPUTED_VALUE"""),42745.66666666667)</f>
        <v>42745.66667</v>
      </c>
      <c r="B511" s="2">
        <f>IFERROR(__xludf.DUMMYFUNCTION("""COMPUTED_VALUE"""),36.31)</f>
        <v>36.31</v>
      </c>
      <c r="D511" s="3">
        <f>IFERROR(__xludf.DUMMYFUNCTION("""COMPUTED_VALUE"""),42745.66666666667)</f>
        <v>42745.66667</v>
      </c>
      <c r="E511" s="2">
        <f>IFERROR(__xludf.DUMMYFUNCTION("""COMPUTED_VALUE"""),26.62)</f>
        <v>26.62</v>
      </c>
      <c r="G511" s="3">
        <f>IFERROR(__xludf.DUMMYFUNCTION("""COMPUTED_VALUE"""),42836.99861111111)</f>
        <v>42836.99861</v>
      </c>
      <c r="H511" s="2">
        <f>IFERROR(__xludf.DUMMYFUNCTION("""COMPUTED_VALUE"""),1223.99)</f>
        <v>1223.99</v>
      </c>
    </row>
    <row r="512">
      <c r="A512" s="3">
        <f>IFERROR(__xludf.DUMMYFUNCTION("""COMPUTED_VALUE"""),42746.66666666667)</f>
        <v>42746.66667</v>
      </c>
      <c r="B512" s="2">
        <f>IFERROR(__xludf.DUMMYFUNCTION("""COMPUTED_VALUE"""),36.5)</f>
        <v>36.5</v>
      </c>
      <c r="D512" s="3">
        <f>IFERROR(__xludf.DUMMYFUNCTION("""COMPUTED_VALUE"""),42746.66666666667)</f>
        <v>42746.66667</v>
      </c>
      <c r="E512" s="2">
        <f>IFERROR(__xludf.DUMMYFUNCTION("""COMPUTED_VALUE"""),26.29)</f>
        <v>26.29</v>
      </c>
      <c r="G512" s="3">
        <f>IFERROR(__xludf.DUMMYFUNCTION("""COMPUTED_VALUE"""),42837.99861111111)</f>
        <v>42837.99861</v>
      </c>
      <c r="H512" s="2">
        <f>IFERROR(__xludf.DUMMYFUNCTION("""COMPUTED_VALUE"""),1214.17)</f>
        <v>1214.17</v>
      </c>
    </row>
    <row r="513">
      <c r="A513" s="3">
        <f>IFERROR(__xludf.DUMMYFUNCTION("""COMPUTED_VALUE"""),42747.66666666667)</f>
        <v>42747.66667</v>
      </c>
      <c r="B513" s="2">
        <f>IFERROR(__xludf.DUMMYFUNCTION("""COMPUTED_VALUE"""),36.35)</f>
        <v>36.35</v>
      </c>
      <c r="D513" s="3">
        <f>IFERROR(__xludf.DUMMYFUNCTION("""COMPUTED_VALUE"""),42747.66666666667)</f>
        <v>42747.66667</v>
      </c>
      <c r="E513" s="2">
        <f>IFERROR(__xludf.DUMMYFUNCTION("""COMPUTED_VALUE"""),25.86)</f>
        <v>25.86</v>
      </c>
      <c r="G513" s="3">
        <f>IFERROR(__xludf.DUMMYFUNCTION("""COMPUTED_VALUE"""),42838.99861111111)</f>
        <v>42838.99861</v>
      </c>
      <c r="H513" s="2">
        <f>IFERROR(__xludf.DUMMYFUNCTION("""COMPUTED_VALUE"""),1177.05)</f>
        <v>1177.05</v>
      </c>
    </row>
    <row r="514">
      <c r="A514" s="3">
        <f>IFERROR(__xludf.DUMMYFUNCTION("""COMPUTED_VALUE"""),42748.66666666667)</f>
        <v>42748.66667</v>
      </c>
      <c r="B514" s="2">
        <f>IFERROR(__xludf.DUMMYFUNCTION("""COMPUTED_VALUE"""),36.93)</f>
        <v>36.93</v>
      </c>
      <c r="D514" s="3">
        <f>IFERROR(__xludf.DUMMYFUNCTION("""COMPUTED_VALUE"""),42748.66666666667)</f>
        <v>42748.66667</v>
      </c>
      <c r="E514" s="2">
        <f>IFERROR(__xludf.DUMMYFUNCTION("""COMPUTED_VALUE"""),25.86)</f>
        <v>25.86</v>
      </c>
      <c r="G514" s="3">
        <f>IFERROR(__xludf.DUMMYFUNCTION("""COMPUTED_VALUE"""),42839.99861111111)</f>
        <v>42839.99861</v>
      </c>
      <c r="H514" s="2">
        <f>IFERROR(__xludf.DUMMYFUNCTION("""COMPUTED_VALUE"""),1173.74)</f>
        <v>1173.74</v>
      </c>
    </row>
    <row r="515">
      <c r="A515" s="3">
        <f>IFERROR(__xludf.DUMMYFUNCTION("""COMPUTED_VALUE"""),42752.66666666667)</f>
        <v>42752.66667</v>
      </c>
      <c r="B515" s="2">
        <f>IFERROR(__xludf.DUMMYFUNCTION("""COMPUTED_VALUE"""),35.88)</f>
        <v>35.88</v>
      </c>
      <c r="D515" s="3">
        <f>IFERROR(__xludf.DUMMYFUNCTION("""COMPUTED_VALUE"""),42752.66666666667)</f>
        <v>42752.66667</v>
      </c>
      <c r="E515" s="2">
        <f>IFERROR(__xludf.DUMMYFUNCTION("""COMPUTED_VALUE"""),25.28)</f>
        <v>25.28</v>
      </c>
      <c r="G515" s="3">
        <f>IFERROR(__xludf.DUMMYFUNCTION("""COMPUTED_VALUE"""),42840.99861111111)</f>
        <v>42840.99861</v>
      </c>
      <c r="H515" s="2">
        <f>IFERROR(__xludf.DUMMYFUNCTION("""COMPUTED_VALUE"""),1178.85)</f>
        <v>1178.85</v>
      </c>
    </row>
    <row r="516">
      <c r="A516" s="3">
        <f>IFERROR(__xludf.DUMMYFUNCTION("""COMPUTED_VALUE"""),42753.66666666667)</f>
        <v>42753.66667</v>
      </c>
      <c r="B516" s="2">
        <f>IFERROR(__xludf.DUMMYFUNCTION("""COMPUTED_VALUE"""),35.9)</f>
        <v>35.9</v>
      </c>
      <c r="D516" s="3">
        <f>IFERROR(__xludf.DUMMYFUNCTION("""COMPUTED_VALUE"""),42753.66666666667)</f>
        <v>42753.66667</v>
      </c>
      <c r="E516" s="2">
        <f>IFERROR(__xludf.DUMMYFUNCTION("""COMPUTED_VALUE"""),25.74)</f>
        <v>25.74</v>
      </c>
      <c r="G516" s="3">
        <f>IFERROR(__xludf.DUMMYFUNCTION("""COMPUTED_VALUE"""),42841.99861111111)</f>
        <v>42841.99861</v>
      </c>
      <c r="H516" s="2">
        <f>IFERROR(__xludf.DUMMYFUNCTION("""COMPUTED_VALUE"""),1177.99)</f>
        <v>1177.99</v>
      </c>
    </row>
    <row r="517">
      <c r="A517" s="3">
        <f>IFERROR(__xludf.DUMMYFUNCTION("""COMPUTED_VALUE"""),42754.66666666667)</f>
        <v>42754.66667</v>
      </c>
      <c r="B517" s="2">
        <f>IFERROR(__xludf.DUMMYFUNCTION("""COMPUTED_VALUE"""),35.73)</f>
        <v>35.73</v>
      </c>
      <c r="D517" s="3">
        <f>IFERROR(__xludf.DUMMYFUNCTION("""COMPUTED_VALUE"""),42754.66666666667)</f>
        <v>42754.66667</v>
      </c>
      <c r="E517" s="2">
        <f>IFERROR(__xludf.DUMMYFUNCTION("""COMPUTED_VALUE"""),26.29)</f>
        <v>26.29</v>
      </c>
      <c r="G517" s="3">
        <f>IFERROR(__xludf.DUMMYFUNCTION("""COMPUTED_VALUE"""),42842.99861111111)</f>
        <v>42842.99861</v>
      </c>
      <c r="H517" s="2">
        <f>IFERROR(__xludf.DUMMYFUNCTION("""COMPUTED_VALUE"""),1189.91)</f>
        <v>1189.91</v>
      </c>
    </row>
    <row r="518">
      <c r="A518" s="3">
        <f>IFERROR(__xludf.DUMMYFUNCTION("""COMPUTED_VALUE"""),42755.66666666667)</f>
        <v>42755.66667</v>
      </c>
      <c r="B518" s="2">
        <f>IFERROR(__xludf.DUMMYFUNCTION("""COMPUTED_VALUE"""),36.16)</f>
        <v>36.16</v>
      </c>
      <c r="D518" s="3">
        <f>IFERROR(__xludf.DUMMYFUNCTION("""COMPUTED_VALUE"""),42755.66666666667)</f>
        <v>42755.66667</v>
      </c>
      <c r="E518" s="2">
        <f>IFERROR(__xludf.DUMMYFUNCTION("""COMPUTED_VALUE"""),26.0)</f>
        <v>26</v>
      </c>
      <c r="G518" s="3">
        <f>IFERROR(__xludf.DUMMYFUNCTION("""COMPUTED_VALUE"""),42843.99861111111)</f>
        <v>42843.99861</v>
      </c>
      <c r="H518" s="2">
        <f>IFERROR(__xludf.DUMMYFUNCTION("""COMPUTED_VALUE"""),1201.94)</f>
        <v>1201.94</v>
      </c>
    </row>
    <row r="519">
      <c r="A519" s="3">
        <f>IFERROR(__xludf.DUMMYFUNCTION("""COMPUTED_VALUE"""),42758.66666666667)</f>
        <v>42758.66667</v>
      </c>
      <c r="B519" s="2">
        <f>IFERROR(__xludf.DUMMYFUNCTION("""COMPUTED_VALUE"""),36.3)</f>
        <v>36.3</v>
      </c>
      <c r="D519" s="3">
        <f>IFERROR(__xludf.DUMMYFUNCTION("""COMPUTED_VALUE"""),42758.66666666667)</f>
        <v>42758.66667</v>
      </c>
      <c r="E519" s="2">
        <f>IFERROR(__xludf.DUMMYFUNCTION("""COMPUTED_VALUE"""),26.27)</f>
        <v>26.27</v>
      </c>
      <c r="G519" s="3">
        <f>IFERROR(__xludf.DUMMYFUNCTION("""COMPUTED_VALUE"""),42844.99861111111)</f>
        <v>42844.99861</v>
      </c>
      <c r="H519" s="2">
        <f>IFERROR(__xludf.DUMMYFUNCTION("""COMPUTED_VALUE"""),1214.21)</f>
        <v>1214.21</v>
      </c>
    </row>
    <row r="520">
      <c r="A520" s="3">
        <f>IFERROR(__xludf.DUMMYFUNCTION("""COMPUTED_VALUE"""),42759.66666666667)</f>
        <v>42759.66667</v>
      </c>
      <c r="B520" s="2">
        <f>IFERROR(__xludf.DUMMYFUNCTION("""COMPUTED_VALUE"""),36.95)</f>
        <v>36.95</v>
      </c>
      <c r="D520" s="3">
        <f>IFERROR(__xludf.DUMMYFUNCTION("""COMPUTED_VALUE"""),42759.66666666667)</f>
        <v>42759.66667</v>
      </c>
      <c r="E520" s="2">
        <f>IFERROR(__xludf.DUMMYFUNCTION("""COMPUTED_VALUE"""),26.83)</f>
        <v>26.83</v>
      </c>
      <c r="G520" s="3">
        <f>IFERROR(__xludf.DUMMYFUNCTION("""COMPUTED_VALUE"""),42845.99861111111)</f>
        <v>42845.99861</v>
      </c>
      <c r="H520" s="2">
        <f>IFERROR(__xludf.DUMMYFUNCTION("""COMPUTED_VALUE"""),1236.15)</f>
        <v>1236.15</v>
      </c>
    </row>
    <row r="521">
      <c r="A521" s="3">
        <f>IFERROR(__xludf.DUMMYFUNCTION("""COMPUTED_VALUE"""),42760.66666666667)</f>
        <v>42760.66667</v>
      </c>
      <c r="B521" s="2">
        <f>IFERROR(__xludf.DUMMYFUNCTION("""COMPUTED_VALUE"""),37.71)</f>
        <v>37.71</v>
      </c>
      <c r="D521" s="3">
        <f>IFERROR(__xludf.DUMMYFUNCTION("""COMPUTED_VALUE"""),42760.66666666667)</f>
        <v>42760.66667</v>
      </c>
      <c r="E521" s="2">
        <f>IFERROR(__xludf.DUMMYFUNCTION("""COMPUTED_VALUE"""),26.95)</f>
        <v>26.95</v>
      </c>
      <c r="G521" s="3">
        <f>IFERROR(__xludf.DUMMYFUNCTION("""COMPUTED_VALUE"""),42846.99861111111)</f>
        <v>42846.99861</v>
      </c>
      <c r="H521" s="2">
        <f>IFERROR(__xludf.DUMMYFUNCTION("""COMPUTED_VALUE"""),1249.99)</f>
        <v>1249.99</v>
      </c>
    </row>
    <row r="522">
      <c r="A522" s="3">
        <f>IFERROR(__xludf.DUMMYFUNCTION("""COMPUTED_VALUE"""),42761.66666666667)</f>
        <v>42761.66667</v>
      </c>
      <c r="B522" s="2">
        <f>IFERROR(__xludf.DUMMYFUNCTION("""COMPUTED_VALUE"""),37.24)</f>
        <v>37.24</v>
      </c>
      <c r="D522" s="3">
        <f>IFERROR(__xludf.DUMMYFUNCTION("""COMPUTED_VALUE"""),42761.66666666667)</f>
        <v>42761.66667</v>
      </c>
      <c r="E522" s="2">
        <f>IFERROR(__xludf.DUMMYFUNCTION("""COMPUTED_VALUE"""),27.41)</f>
        <v>27.41</v>
      </c>
      <c r="G522" s="3">
        <f>IFERROR(__xludf.DUMMYFUNCTION("""COMPUTED_VALUE"""),42847.99861111111)</f>
        <v>42847.99861</v>
      </c>
      <c r="H522" s="2">
        <f>IFERROR(__xludf.DUMMYFUNCTION("""COMPUTED_VALUE"""),1247.0)</f>
        <v>1247</v>
      </c>
    </row>
    <row r="523">
      <c r="A523" s="3">
        <f>IFERROR(__xludf.DUMMYFUNCTION("""COMPUTED_VALUE"""),42762.66666666667)</f>
        <v>42762.66667</v>
      </c>
      <c r="B523" s="2">
        <f>IFERROR(__xludf.DUMMYFUNCTION("""COMPUTED_VALUE"""),37.01)</f>
        <v>37.01</v>
      </c>
      <c r="D523" s="3">
        <f>IFERROR(__xludf.DUMMYFUNCTION("""COMPUTED_VALUE"""),42762.66666666667)</f>
        <v>42762.66667</v>
      </c>
      <c r="E523" s="2">
        <f>IFERROR(__xludf.DUMMYFUNCTION("""COMPUTED_VALUE"""),27.94)</f>
        <v>27.94</v>
      </c>
      <c r="G523" s="3">
        <f>IFERROR(__xludf.DUMMYFUNCTION("""COMPUTED_VALUE"""),42848.99861111111)</f>
        <v>42848.99861</v>
      </c>
      <c r="H523" s="2">
        <f>IFERROR(__xludf.DUMMYFUNCTION("""COMPUTED_VALUE"""),1251.98)</f>
        <v>1251.98</v>
      </c>
    </row>
    <row r="524">
      <c r="A524" s="3">
        <f>IFERROR(__xludf.DUMMYFUNCTION("""COMPUTED_VALUE"""),42765.66666666667)</f>
        <v>42765.66667</v>
      </c>
      <c r="B524" s="2">
        <f>IFERROR(__xludf.DUMMYFUNCTION("""COMPUTED_VALUE"""),36.99)</f>
        <v>36.99</v>
      </c>
      <c r="D524" s="3">
        <f>IFERROR(__xludf.DUMMYFUNCTION("""COMPUTED_VALUE"""),42765.66666666667)</f>
        <v>42765.66667</v>
      </c>
      <c r="E524" s="2">
        <f>IFERROR(__xludf.DUMMYFUNCTION("""COMPUTED_VALUE"""),27.51)</f>
        <v>27.51</v>
      </c>
      <c r="G524" s="3">
        <f>IFERROR(__xludf.DUMMYFUNCTION("""COMPUTED_VALUE"""),42849.99861111111)</f>
        <v>42849.99861</v>
      </c>
      <c r="H524" s="2">
        <f>IFERROR(__xludf.DUMMYFUNCTION("""COMPUTED_VALUE"""),1257.29)</f>
        <v>1257.29</v>
      </c>
    </row>
    <row r="525">
      <c r="A525" s="3">
        <f>IFERROR(__xludf.DUMMYFUNCTION("""COMPUTED_VALUE"""),42766.66666666667)</f>
        <v>42766.66667</v>
      </c>
      <c r="B525" s="2">
        <f>IFERROR(__xludf.DUMMYFUNCTION("""COMPUTED_VALUE"""),37.07)</f>
        <v>37.07</v>
      </c>
      <c r="D525" s="3">
        <f>IFERROR(__xludf.DUMMYFUNCTION("""COMPUTED_VALUE"""),42766.66666666667)</f>
        <v>42766.66667</v>
      </c>
      <c r="E525" s="2">
        <f>IFERROR(__xludf.DUMMYFUNCTION("""COMPUTED_VALUE"""),27.3)</f>
        <v>27.3</v>
      </c>
      <c r="G525" s="3">
        <f>IFERROR(__xludf.DUMMYFUNCTION("""COMPUTED_VALUE"""),42850.99861111111)</f>
        <v>42850.99861</v>
      </c>
      <c r="H525" s="2">
        <f>IFERROR(__xludf.DUMMYFUNCTION("""COMPUTED_VALUE"""),1281.16)</f>
        <v>1281.16</v>
      </c>
    </row>
    <row r="526">
      <c r="A526" s="3">
        <f>IFERROR(__xludf.DUMMYFUNCTION("""COMPUTED_VALUE"""),42767.66666666667)</f>
        <v>42767.66667</v>
      </c>
      <c r="B526" s="2">
        <f>IFERROR(__xludf.DUMMYFUNCTION("""COMPUTED_VALUE"""),36.72)</f>
        <v>36.72</v>
      </c>
      <c r="D526" s="3">
        <f>IFERROR(__xludf.DUMMYFUNCTION("""COMPUTED_VALUE"""),42767.66666666667)</f>
        <v>42767.66667</v>
      </c>
      <c r="E526" s="2">
        <f>IFERROR(__xludf.DUMMYFUNCTION("""COMPUTED_VALUE"""),28.49)</f>
        <v>28.49</v>
      </c>
      <c r="G526" s="3">
        <f>IFERROR(__xludf.DUMMYFUNCTION("""COMPUTED_VALUE"""),42851.99861111111)</f>
        <v>42851.99861</v>
      </c>
      <c r="H526" s="2">
        <f>IFERROR(__xludf.DUMMYFUNCTION("""COMPUTED_VALUE"""),1298.44)</f>
        <v>1298.44</v>
      </c>
    </row>
    <row r="527">
      <c r="A527" s="3">
        <f>IFERROR(__xludf.DUMMYFUNCTION("""COMPUTED_VALUE"""),42768.66666666667)</f>
        <v>42768.66667</v>
      </c>
      <c r="B527" s="2">
        <f>IFERROR(__xludf.DUMMYFUNCTION("""COMPUTED_VALUE"""),36.13)</f>
        <v>36.13</v>
      </c>
      <c r="D527" s="3">
        <f>IFERROR(__xludf.DUMMYFUNCTION("""COMPUTED_VALUE"""),42768.66666666667)</f>
        <v>42768.66667</v>
      </c>
      <c r="E527" s="2">
        <f>IFERROR(__xludf.DUMMYFUNCTION("""COMPUTED_VALUE"""),28.85)</f>
        <v>28.85</v>
      </c>
      <c r="G527" s="3">
        <f>IFERROR(__xludf.DUMMYFUNCTION("""COMPUTED_VALUE"""),42852.99861111111)</f>
        <v>42852.99861</v>
      </c>
      <c r="H527" s="2">
        <f>IFERROR(__xludf.DUMMYFUNCTION("""COMPUTED_VALUE"""),1349.26)</f>
        <v>1349.26</v>
      </c>
    </row>
    <row r="528">
      <c r="A528" s="3">
        <f>IFERROR(__xludf.DUMMYFUNCTION("""COMPUTED_VALUE"""),42769.66666666667)</f>
        <v>42769.66667</v>
      </c>
      <c r="B528" s="2">
        <f>IFERROR(__xludf.DUMMYFUNCTION("""COMPUTED_VALUE"""),37.35)</f>
        <v>37.35</v>
      </c>
      <c r="D528" s="3">
        <f>IFERROR(__xludf.DUMMYFUNCTION("""COMPUTED_VALUE"""),42769.66666666667)</f>
        <v>42769.66667</v>
      </c>
      <c r="E528" s="2">
        <f>IFERROR(__xludf.DUMMYFUNCTION("""COMPUTED_VALUE"""),28.6)</f>
        <v>28.6</v>
      </c>
      <c r="G528" s="3">
        <f>IFERROR(__xludf.DUMMYFUNCTION("""COMPUTED_VALUE"""),42853.99861111111)</f>
        <v>42853.99861</v>
      </c>
      <c r="H528" s="2">
        <f>IFERROR(__xludf.DUMMYFUNCTION("""COMPUTED_VALUE"""),1353.34)</f>
        <v>1353.34</v>
      </c>
    </row>
    <row r="529">
      <c r="A529" s="3">
        <f>IFERROR(__xludf.DUMMYFUNCTION("""COMPUTED_VALUE"""),42772.66666666667)</f>
        <v>42772.66667</v>
      </c>
      <c r="B529" s="2">
        <f>IFERROR(__xludf.DUMMYFUNCTION("""COMPUTED_VALUE"""),36.68)</f>
        <v>36.68</v>
      </c>
      <c r="D529" s="3">
        <f>IFERROR(__xludf.DUMMYFUNCTION("""COMPUTED_VALUE"""),42772.66666666667)</f>
        <v>42772.66667</v>
      </c>
      <c r="E529" s="2">
        <f>IFERROR(__xludf.DUMMYFUNCTION("""COMPUTED_VALUE"""),29.33)</f>
        <v>29.33</v>
      </c>
      <c r="G529" s="3">
        <f>IFERROR(__xludf.DUMMYFUNCTION("""COMPUTED_VALUE"""),42854.99861111111)</f>
        <v>42854.99861</v>
      </c>
      <c r="H529" s="2">
        <f>IFERROR(__xludf.DUMMYFUNCTION("""COMPUTED_VALUE"""),1365.43)</f>
        <v>1365.43</v>
      </c>
    </row>
    <row r="530">
      <c r="A530" s="3">
        <f>IFERROR(__xludf.DUMMYFUNCTION("""COMPUTED_VALUE"""),42773.66666666667)</f>
        <v>42773.66667</v>
      </c>
      <c r="B530" s="2">
        <f>IFERROR(__xludf.DUMMYFUNCTION("""COMPUTED_VALUE"""),36.57)</f>
        <v>36.57</v>
      </c>
      <c r="D530" s="3">
        <f>IFERROR(__xludf.DUMMYFUNCTION("""COMPUTED_VALUE"""),42773.66666666667)</f>
        <v>42773.66667</v>
      </c>
      <c r="E530" s="2">
        <f>IFERROR(__xludf.DUMMYFUNCTION("""COMPUTED_VALUE"""),29.78)</f>
        <v>29.78</v>
      </c>
      <c r="G530" s="3">
        <f>IFERROR(__xludf.DUMMYFUNCTION("""COMPUTED_VALUE"""),42855.99861111111)</f>
        <v>42855.99861</v>
      </c>
      <c r="H530" s="2">
        <f>IFERROR(__xludf.DUMMYFUNCTION("""COMPUTED_VALUE"""),1384.55)</f>
        <v>1384.55</v>
      </c>
    </row>
    <row r="531">
      <c r="A531" s="3">
        <f>IFERROR(__xludf.DUMMYFUNCTION("""COMPUTED_VALUE"""),42774.66666666667)</f>
        <v>42774.66667</v>
      </c>
      <c r="B531" s="2">
        <f>IFERROR(__xludf.DUMMYFUNCTION("""COMPUTED_VALUE"""),37.2)</f>
        <v>37.2</v>
      </c>
      <c r="D531" s="3">
        <f>IFERROR(__xludf.DUMMYFUNCTION("""COMPUTED_VALUE"""),42774.66666666667)</f>
        <v>42774.66667</v>
      </c>
      <c r="E531" s="2">
        <f>IFERROR(__xludf.DUMMYFUNCTION("""COMPUTED_VALUE"""),29.65)</f>
        <v>29.65</v>
      </c>
      <c r="G531" s="3">
        <f>IFERROR(__xludf.DUMMYFUNCTION("""COMPUTED_VALUE"""),42856.99861111111)</f>
        <v>42856.99861</v>
      </c>
      <c r="H531" s="2">
        <f>IFERROR(__xludf.DUMMYFUNCTION("""COMPUTED_VALUE"""),1436.5)</f>
        <v>1436.5</v>
      </c>
    </row>
    <row r="532">
      <c r="A532" s="3">
        <f>IFERROR(__xludf.DUMMYFUNCTION("""COMPUTED_VALUE"""),42775.66666666667)</f>
        <v>42775.66667</v>
      </c>
      <c r="B532" s="2">
        <f>IFERROR(__xludf.DUMMYFUNCTION("""COMPUTED_VALUE"""),36.99)</f>
        <v>36.99</v>
      </c>
      <c r="D532" s="3">
        <f>IFERROR(__xludf.DUMMYFUNCTION("""COMPUTED_VALUE"""),42775.66666666667)</f>
        <v>42775.66667</v>
      </c>
      <c r="E532" s="2">
        <f>IFERROR(__xludf.DUMMYFUNCTION("""COMPUTED_VALUE"""),29.1)</f>
        <v>29.1</v>
      </c>
      <c r="G532" s="3">
        <f>IFERROR(__xludf.DUMMYFUNCTION("""COMPUTED_VALUE"""),42857.99861111111)</f>
        <v>42857.99861</v>
      </c>
      <c r="H532" s="2">
        <f>IFERROR(__xludf.DUMMYFUNCTION("""COMPUTED_VALUE"""),1471.99)</f>
        <v>1471.99</v>
      </c>
    </row>
    <row r="533">
      <c r="A533" s="3">
        <f>IFERROR(__xludf.DUMMYFUNCTION("""COMPUTED_VALUE"""),42776.66666666667)</f>
        <v>42776.66667</v>
      </c>
      <c r="B533" s="2">
        <f>IFERROR(__xludf.DUMMYFUNCTION("""COMPUTED_VALUE"""),37.63)</f>
        <v>37.63</v>
      </c>
      <c r="D533" s="3">
        <f>IFERROR(__xludf.DUMMYFUNCTION("""COMPUTED_VALUE"""),42776.66666666667)</f>
        <v>42776.66667</v>
      </c>
      <c r="E533" s="2">
        <f>IFERROR(__xludf.DUMMYFUNCTION("""COMPUTED_VALUE"""),28.41)</f>
        <v>28.41</v>
      </c>
      <c r="G533" s="3">
        <f>IFERROR(__xludf.DUMMYFUNCTION("""COMPUTED_VALUE"""),42858.99861111111)</f>
        <v>42858.99861</v>
      </c>
      <c r="H533" s="2">
        <f>IFERROR(__xludf.DUMMYFUNCTION("""COMPUTED_VALUE"""),1533.0)</f>
        <v>1533</v>
      </c>
    </row>
    <row r="534">
      <c r="A534" s="3">
        <f>IFERROR(__xludf.DUMMYFUNCTION("""COMPUTED_VALUE"""),42779.66666666667)</f>
        <v>42779.66667</v>
      </c>
      <c r="B534" s="2">
        <f>IFERROR(__xludf.DUMMYFUNCTION("""COMPUTED_VALUE"""),37.42)</f>
        <v>37.42</v>
      </c>
      <c r="D534" s="3">
        <f>IFERROR(__xludf.DUMMYFUNCTION("""COMPUTED_VALUE"""),42779.66666666667)</f>
        <v>42779.66667</v>
      </c>
      <c r="E534" s="2">
        <f>IFERROR(__xludf.DUMMYFUNCTION("""COMPUTED_VALUE"""),27.1)</f>
        <v>27.1</v>
      </c>
      <c r="G534" s="3">
        <f>IFERROR(__xludf.DUMMYFUNCTION("""COMPUTED_VALUE"""),42859.99861111111)</f>
        <v>42859.99861</v>
      </c>
      <c r="H534" s="2">
        <f>IFERROR(__xludf.DUMMYFUNCTION("""COMPUTED_VALUE"""),1563.39)</f>
        <v>1563.39</v>
      </c>
    </row>
    <row r="535">
      <c r="A535" s="3">
        <f>IFERROR(__xludf.DUMMYFUNCTION("""COMPUTED_VALUE"""),42780.66666666667)</f>
        <v>42780.66667</v>
      </c>
      <c r="B535" s="2">
        <f>IFERROR(__xludf.DUMMYFUNCTION("""COMPUTED_VALUE"""),37.45)</f>
        <v>37.45</v>
      </c>
      <c r="D535" s="3">
        <f>IFERROR(__xludf.DUMMYFUNCTION("""COMPUTED_VALUE"""),42780.66666666667)</f>
        <v>42780.66667</v>
      </c>
      <c r="E535" s="2">
        <f>IFERROR(__xludf.DUMMYFUNCTION("""COMPUTED_VALUE"""),27.2)</f>
        <v>27.2</v>
      </c>
      <c r="G535" s="3">
        <f>IFERROR(__xludf.DUMMYFUNCTION("""COMPUTED_VALUE"""),42860.99861111111)</f>
        <v>42860.99861</v>
      </c>
      <c r="H535" s="2">
        <f>IFERROR(__xludf.DUMMYFUNCTION("""COMPUTED_VALUE"""),1551.3)</f>
        <v>1551.3</v>
      </c>
    </row>
    <row r="536">
      <c r="A536" s="3">
        <f>IFERROR(__xludf.DUMMYFUNCTION("""COMPUTED_VALUE"""),42781.66666666667)</f>
        <v>42781.66667</v>
      </c>
      <c r="B536" s="2">
        <f>IFERROR(__xludf.DUMMYFUNCTION("""COMPUTED_VALUE"""),38.1)</f>
        <v>38.1</v>
      </c>
      <c r="D536" s="3">
        <f>IFERROR(__xludf.DUMMYFUNCTION("""COMPUTED_VALUE"""),42781.66666666667)</f>
        <v>42781.66667</v>
      </c>
      <c r="E536" s="2">
        <f>IFERROR(__xludf.DUMMYFUNCTION("""COMPUTED_VALUE"""),27.25)</f>
        <v>27.25</v>
      </c>
      <c r="G536" s="3">
        <f>IFERROR(__xludf.DUMMYFUNCTION("""COMPUTED_VALUE"""),42861.99861111111)</f>
        <v>42861.99861</v>
      </c>
      <c r="H536" s="2">
        <f>IFERROR(__xludf.DUMMYFUNCTION("""COMPUTED_VALUE"""),1585.39)</f>
        <v>1585.39</v>
      </c>
    </row>
    <row r="537">
      <c r="A537" s="3">
        <f>IFERROR(__xludf.DUMMYFUNCTION("""COMPUTED_VALUE"""),42782.66666666667)</f>
        <v>42782.66667</v>
      </c>
      <c r="B537" s="2">
        <f>IFERROR(__xludf.DUMMYFUNCTION("""COMPUTED_VALUE"""),38.22)</f>
        <v>38.22</v>
      </c>
      <c r="D537" s="3">
        <f>IFERROR(__xludf.DUMMYFUNCTION("""COMPUTED_VALUE"""),42782.66666666667)</f>
        <v>42782.66667</v>
      </c>
      <c r="E537" s="2">
        <f>IFERROR(__xludf.DUMMYFUNCTION("""COMPUTED_VALUE"""),26.81)</f>
        <v>26.81</v>
      </c>
      <c r="G537" s="3">
        <f>IFERROR(__xludf.DUMMYFUNCTION("""COMPUTED_VALUE"""),42862.99861111111)</f>
        <v>42862.99861</v>
      </c>
      <c r="H537" s="2">
        <f>IFERROR(__xludf.DUMMYFUNCTION("""COMPUTED_VALUE"""),1609.57)</f>
        <v>1609.57</v>
      </c>
    </row>
    <row r="538">
      <c r="A538" s="3">
        <f>IFERROR(__xludf.DUMMYFUNCTION("""COMPUTED_VALUE"""),42783.66666666667)</f>
        <v>42783.66667</v>
      </c>
      <c r="B538" s="2">
        <f>IFERROR(__xludf.DUMMYFUNCTION("""COMPUTED_VALUE"""),37.92)</f>
        <v>37.92</v>
      </c>
      <c r="D538" s="3">
        <f>IFERROR(__xludf.DUMMYFUNCTION("""COMPUTED_VALUE"""),42783.66666666667)</f>
        <v>42783.66667</v>
      </c>
      <c r="E538" s="2">
        <f>IFERROR(__xludf.DUMMYFUNCTION("""COMPUTED_VALUE"""),26.81)</f>
        <v>26.81</v>
      </c>
      <c r="G538" s="3">
        <f>IFERROR(__xludf.DUMMYFUNCTION("""COMPUTED_VALUE"""),42863.99861111111)</f>
        <v>42863.99861</v>
      </c>
      <c r="H538" s="2">
        <f>IFERROR(__xludf.DUMMYFUNCTION("""COMPUTED_VALUE"""),1713.0)</f>
        <v>1713</v>
      </c>
    </row>
    <row r="539">
      <c r="A539" s="3">
        <f>IFERROR(__xludf.DUMMYFUNCTION("""COMPUTED_VALUE"""),42787.66666666667)</f>
        <v>42787.66667</v>
      </c>
      <c r="B539" s="2">
        <f>IFERROR(__xludf.DUMMYFUNCTION("""COMPUTED_VALUE"""),38.04)</f>
        <v>38.04</v>
      </c>
      <c r="D539" s="3">
        <f>IFERROR(__xludf.DUMMYFUNCTION("""COMPUTED_VALUE"""),42787.66666666667)</f>
        <v>42787.66667</v>
      </c>
      <c r="E539" s="2">
        <f>IFERROR(__xludf.DUMMYFUNCTION("""COMPUTED_VALUE"""),27.77)</f>
        <v>27.77</v>
      </c>
      <c r="G539" s="3">
        <f>IFERROR(__xludf.DUMMYFUNCTION("""COMPUTED_VALUE"""),42864.99861111111)</f>
        <v>42864.99861</v>
      </c>
      <c r="H539" s="2">
        <f>IFERROR(__xludf.DUMMYFUNCTION("""COMPUTED_VALUE"""),1720.43)</f>
        <v>1720.43</v>
      </c>
    </row>
    <row r="540">
      <c r="A540" s="3">
        <f>IFERROR(__xludf.DUMMYFUNCTION("""COMPUTED_VALUE"""),42788.66666666667)</f>
        <v>42788.66667</v>
      </c>
      <c r="B540" s="2">
        <f>IFERROR(__xludf.DUMMYFUNCTION("""COMPUTED_VALUE"""),38.12)</f>
        <v>38.12</v>
      </c>
      <c r="D540" s="3">
        <f>IFERROR(__xludf.DUMMYFUNCTION("""COMPUTED_VALUE"""),42788.66666666667)</f>
        <v>42788.66667</v>
      </c>
      <c r="E540" s="2">
        <f>IFERROR(__xludf.DUMMYFUNCTION("""COMPUTED_VALUE"""),27.69)</f>
        <v>27.69</v>
      </c>
      <c r="G540" s="3">
        <f>IFERROR(__xludf.DUMMYFUNCTION("""COMPUTED_VALUE"""),42865.99861111111)</f>
        <v>42865.99861</v>
      </c>
      <c r="H540" s="2">
        <f>IFERROR(__xludf.DUMMYFUNCTION("""COMPUTED_VALUE"""),1794.99)</f>
        <v>1794.99</v>
      </c>
    </row>
    <row r="541">
      <c r="A541" s="3">
        <f>IFERROR(__xludf.DUMMYFUNCTION("""COMPUTED_VALUE"""),42789.66666666667)</f>
        <v>42789.66667</v>
      </c>
      <c r="B541" s="2">
        <f>IFERROR(__xludf.DUMMYFUNCTION("""COMPUTED_VALUE"""),37.76)</f>
        <v>37.76</v>
      </c>
      <c r="D541" s="3">
        <f>IFERROR(__xludf.DUMMYFUNCTION("""COMPUTED_VALUE"""),42789.66666666667)</f>
        <v>42789.66667</v>
      </c>
      <c r="E541" s="2">
        <f>IFERROR(__xludf.DUMMYFUNCTION("""COMPUTED_VALUE"""),25.12)</f>
        <v>25.12</v>
      </c>
      <c r="G541" s="3">
        <f>IFERROR(__xludf.DUMMYFUNCTION("""COMPUTED_VALUE"""),42866.99861111111)</f>
        <v>42866.99861</v>
      </c>
      <c r="H541" s="2">
        <f>IFERROR(__xludf.DUMMYFUNCTION("""COMPUTED_VALUE"""),1837.93)</f>
        <v>1837.93</v>
      </c>
    </row>
    <row r="542">
      <c r="A542" s="3">
        <f>IFERROR(__xludf.DUMMYFUNCTION("""COMPUTED_VALUE"""),42790.66666666667)</f>
        <v>42790.66667</v>
      </c>
      <c r="B542" s="2">
        <f>IFERROR(__xludf.DUMMYFUNCTION("""COMPUTED_VALUE"""),37.55)</f>
        <v>37.55</v>
      </c>
      <c r="D542" s="3">
        <f>IFERROR(__xludf.DUMMYFUNCTION("""COMPUTED_VALUE"""),42790.66666666667)</f>
        <v>42790.66667</v>
      </c>
      <c r="E542" s="2">
        <f>IFERROR(__xludf.DUMMYFUNCTION("""COMPUTED_VALUE"""),25.37)</f>
        <v>25.37</v>
      </c>
      <c r="G542" s="3">
        <f>IFERROR(__xludf.DUMMYFUNCTION("""COMPUTED_VALUE"""),42867.99861111111)</f>
        <v>42867.99861</v>
      </c>
      <c r="H542" s="2">
        <f>IFERROR(__xludf.DUMMYFUNCTION("""COMPUTED_VALUE"""),1695.61)</f>
        <v>1695.61</v>
      </c>
    </row>
    <row r="543">
      <c r="A543" s="3">
        <f>IFERROR(__xludf.DUMMYFUNCTION("""COMPUTED_VALUE"""),42793.66666666667)</f>
        <v>42793.66667</v>
      </c>
      <c r="B543" s="2">
        <f>IFERROR(__xludf.DUMMYFUNCTION("""COMPUTED_VALUE"""),37.61)</f>
        <v>37.61</v>
      </c>
      <c r="D543" s="3">
        <f>IFERROR(__xludf.DUMMYFUNCTION("""COMPUTED_VALUE"""),42793.66666666667)</f>
        <v>42793.66667</v>
      </c>
      <c r="E543" s="2">
        <f>IFERROR(__xludf.DUMMYFUNCTION("""COMPUTED_VALUE"""),26.1)</f>
        <v>26.1</v>
      </c>
      <c r="G543" s="3">
        <f>IFERROR(__xludf.DUMMYFUNCTION("""COMPUTED_VALUE"""),42868.99861111111)</f>
        <v>42868.99861</v>
      </c>
      <c r="H543" s="2">
        <f>IFERROR(__xludf.DUMMYFUNCTION("""COMPUTED_VALUE"""),1792.73)</f>
        <v>1792.73</v>
      </c>
    </row>
    <row r="544">
      <c r="A544" s="3">
        <f>IFERROR(__xludf.DUMMYFUNCTION("""COMPUTED_VALUE"""),42794.66666666667)</f>
        <v>42794.66667</v>
      </c>
      <c r="B544" s="2">
        <f>IFERROR(__xludf.DUMMYFUNCTION("""COMPUTED_VALUE"""),37.6)</f>
        <v>37.6</v>
      </c>
      <c r="D544" s="3">
        <f>IFERROR(__xludf.DUMMYFUNCTION("""COMPUTED_VALUE"""),42794.66666666667)</f>
        <v>42794.66667</v>
      </c>
      <c r="E544" s="2">
        <f>IFERROR(__xludf.DUMMYFUNCTION("""COMPUTED_VALUE"""),25.37)</f>
        <v>25.37</v>
      </c>
      <c r="G544" s="3">
        <f>IFERROR(__xludf.DUMMYFUNCTION("""COMPUTED_VALUE"""),42869.99861111111)</f>
        <v>42869.99861</v>
      </c>
      <c r="H544" s="2">
        <f>IFERROR(__xludf.DUMMYFUNCTION("""COMPUTED_VALUE"""),1799.99)</f>
        <v>1799.99</v>
      </c>
    </row>
    <row r="545">
      <c r="A545" s="3">
        <f>IFERROR(__xludf.DUMMYFUNCTION("""COMPUTED_VALUE"""),42795.66666666667)</f>
        <v>42795.66667</v>
      </c>
      <c r="B545" s="2">
        <f>IFERROR(__xludf.DUMMYFUNCTION("""COMPUTED_VALUE"""),38.03)</f>
        <v>38.03</v>
      </c>
      <c r="D545" s="3">
        <f>IFERROR(__xludf.DUMMYFUNCTION("""COMPUTED_VALUE"""),42795.66666666667)</f>
        <v>42795.66667</v>
      </c>
      <c r="E545" s="2">
        <f>IFERROR(__xludf.DUMMYFUNCTION("""COMPUTED_VALUE"""),25.7)</f>
        <v>25.7</v>
      </c>
      <c r="G545" s="3">
        <f>IFERROR(__xludf.DUMMYFUNCTION("""COMPUTED_VALUE"""),42870.99861111111)</f>
        <v>42870.99861</v>
      </c>
      <c r="H545" s="2">
        <f>IFERROR(__xludf.DUMMYFUNCTION("""COMPUTED_VALUE"""),1747.81)</f>
        <v>1747.81</v>
      </c>
    </row>
    <row r="546">
      <c r="A546" s="3">
        <f>IFERROR(__xludf.DUMMYFUNCTION("""COMPUTED_VALUE"""),42796.66666666667)</f>
        <v>42796.66667</v>
      </c>
      <c r="B546" s="2">
        <f>IFERROR(__xludf.DUMMYFUNCTION("""COMPUTED_VALUE"""),37.92)</f>
        <v>37.92</v>
      </c>
      <c r="D546" s="3">
        <f>IFERROR(__xludf.DUMMYFUNCTION("""COMPUTED_VALUE"""),42796.66666666667)</f>
        <v>42796.66667</v>
      </c>
      <c r="E546" s="2">
        <f>IFERROR(__xludf.DUMMYFUNCTION("""COMPUTED_VALUE"""),24.75)</f>
        <v>24.75</v>
      </c>
      <c r="G546" s="3">
        <f>IFERROR(__xludf.DUMMYFUNCTION("""COMPUTED_VALUE"""),42871.99861111111)</f>
        <v>42871.99861</v>
      </c>
      <c r="H546" s="2">
        <f>IFERROR(__xludf.DUMMYFUNCTION("""COMPUTED_VALUE"""),1777.48)</f>
        <v>1777.48</v>
      </c>
    </row>
    <row r="547">
      <c r="A547" s="3">
        <f>IFERROR(__xludf.DUMMYFUNCTION("""COMPUTED_VALUE"""),42797.66666666667)</f>
        <v>42797.66667</v>
      </c>
      <c r="B547" s="2">
        <f>IFERROR(__xludf.DUMMYFUNCTION("""COMPUTED_VALUE"""),38.28)</f>
        <v>38.28</v>
      </c>
      <c r="D547" s="3">
        <f>IFERROR(__xludf.DUMMYFUNCTION("""COMPUTED_VALUE"""),42797.66666666667)</f>
        <v>42797.66667</v>
      </c>
      <c r="E547" s="2">
        <f>IFERROR(__xludf.DUMMYFUNCTION("""COMPUTED_VALUE"""),24.61)</f>
        <v>24.61</v>
      </c>
      <c r="G547" s="3">
        <f>IFERROR(__xludf.DUMMYFUNCTION("""COMPUTED_VALUE"""),42872.99861111111)</f>
        <v>42872.99861</v>
      </c>
      <c r="H547" s="2">
        <f>IFERROR(__xludf.DUMMYFUNCTION("""COMPUTED_VALUE"""),1813.23)</f>
        <v>1813.23</v>
      </c>
    </row>
    <row r="548">
      <c r="A548" s="3">
        <f>IFERROR(__xludf.DUMMYFUNCTION("""COMPUTED_VALUE"""),42800.66666666667)</f>
        <v>42800.66667</v>
      </c>
      <c r="B548" s="2">
        <f>IFERROR(__xludf.DUMMYFUNCTION("""COMPUTED_VALUE"""),37.93)</f>
        <v>37.93</v>
      </c>
      <c r="D548" s="3">
        <f>IFERROR(__xludf.DUMMYFUNCTION("""COMPUTED_VALUE"""),42800.66666666667)</f>
        <v>42800.66667</v>
      </c>
      <c r="E548" s="2">
        <f>IFERROR(__xludf.DUMMYFUNCTION("""COMPUTED_VALUE"""),24.42)</f>
        <v>24.42</v>
      </c>
      <c r="G548" s="3">
        <f>IFERROR(__xludf.DUMMYFUNCTION("""COMPUTED_VALUE"""),42873.99861111111)</f>
        <v>42873.99861</v>
      </c>
      <c r="H548" s="2">
        <f>IFERROR(__xludf.DUMMYFUNCTION("""COMPUTED_VALUE"""),1899.16)</f>
        <v>1899.16</v>
      </c>
    </row>
    <row r="549">
      <c r="A549" s="3">
        <f>IFERROR(__xludf.DUMMYFUNCTION("""COMPUTED_VALUE"""),42801.66666666667)</f>
        <v>42801.66667</v>
      </c>
      <c r="B549" s="2">
        <f>IFERROR(__xludf.DUMMYFUNCTION("""COMPUTED_VALUE"""),37.9)</f>
        <v>37.9</v>
      </c>
      <c r="D549" s="3">
        <f>IFERROR(__xludf.DUMMYFUNCTION("""COMPUTED_VALUE"""),42801.66666666667)</f>
        <v>42801.66667</v>
      </c>
      <c r="E549" s="2">
        <f>IFERROR(__xludf.DUMMYFUNCTION("""COMPUTED_VALUE"""),24.69)</f>
        <v>24.69</v>
      </c>
      <c r="G549" s="3">
        <f>IFERROR(__xludf.DUMMYFUNCTION("""COMPUTED_VALUE"""),42874.99861111111)</f>
        <v>42874.99861</v>
      </c>
      <c r="H549" s="2">
        <f>IFERROR(__xludf.DUMMYFUNCTION("""COMPUTED_VALUE"""),1976.23)</f>
        <v>1976.23</v>
      </c>
    </row>
    <row r="550">
      <c r="A550" s="3">
        <f>IFERROR(__xludf.DUMMYFUNCTION("""COMPUTED_VALUE"""),42802.66666666667)</f>
        <v>42802.66667</v>
      </c>
      <c r="B550" s="2">
        <f>IFERROR(__xludf.DUMMYFUNCTION("""COMPUTED_VALUE"""),37.9)</f>
        <v>37.9</v>
      </c>
      <c r="D550" s="3">
        <f>IFERROR(__xludf.DUMMYFUNCTION("""COMPUTED_VALUE"""),42802.66666666667)</f>
        <v>42802.66667</v>
      </c>
      <c r="E550" s="2">
        <f>IFERROR(__xludf.DUMMYFUNCTION("""COMPUTED_VALUE"""),24.64)</f>
        <v>24.64</v>
      </c>
      <c r="G550" s="3">
        <f>IFERROR(__xludf.DUMMYFUNCTION("""COMPUTED_VALUE"""),42875.99861111111)</f>
        <v>42875.99861</v>
      </c>
      <c r="H550" s="2">
        <f>IFERROR(__xludf.DUMMYFUNCTION("""COMPUTED_VALUE"""),2058.91)</f>
        <v>2058.91</v>
      </c>
    </row>
    <row r="551">
      <c r="A551" s="3">
        <f>IFERROR(__xludf.DUMMYFUNCTION("""COMPUTED_VALUE"""),42803.66666666667)</f>
        <v>42803.66667</v>
      </c>
      <c r="B551" s="2">
        <f>IFERROR(__xludf.DUMMYFUNCTION("""COMPUTED_VALUE"""),38.02)</f>
        <v>38.02</v>
      </c>
      <c r="D551" s="3">
        <f>IFERROR(__xludf.DUMMYFUNCTION("""COMPUTED_VALUE"""),42803.66666666667)</f>
        <v>42803.66667</v>
      </c>
      <c r="E551" s="2">
        <f>IFERROR(__xludf.DUMMYFUNCTION("""COMPUTED_VALUE"""),24.64)</f>
        <v>24.64</v>
      </c>
      <c r="G551" s="3">
        <f>IFERROR(__xludf.DUMMYFUNCTION("""COMPUTED_VALUE"""),42876.99861111111)</f>
        <v>42876.99861</v>
      </c>
      <c r="H551" s="2">
        <f>IFERROR(__xludf.DUMMYFUNCTION("""COMPUTED_VALUE"""),2057.0)</f>
        <v>2057</v>
      </c>
    </row>
    <row r="552">
      <c r="A552" s="3">
        <f>IFERROR(__xludf.DUMMYFUNCTION("""COMPUTED_VALUE"""),42804.66666666667)</f>
        <v>42804.66667</v>
      </c>
      <c r="B552" s="2">
        <f>IFERROR(__xludf.DUMMYFUNCTION("""COMPUTED_VALUE"""),38.86)</f>
        <v>38.86</v>
      </c>
      <c r="D552" s="3">
        <f>IFERROR(__xludf.DUMMYFUNCTION("""COMPUTED_VALUE"""),42804.66666666667)</f>
        <v>42804.66667</v>
      </c>
      <c r="E552" s="2">
        <f>IFERROR(__xludf.DUMMYFUNCTION("""COMPUTED_VALUE"""),24.78)</f>
        <v>24.78</v>
      </c>
      <c r="G552" s="3">
        <f>IFERROR(__xludf.DUMMYFUNCTION("""COMPUTED_VALUE"""),42877.99861111111)</f>
        <v>42877.99861</v>
      </c>
      <c r="H552" s="2">
        <f>IFERROR(__xludf.DUMMYFUNCTION("""COMPUTED_VALUE"""),2123.29)</f>
        <v>2123.29</v>
      </c>
    </row>
    <row r="553">
      <c r="A553" s="3">
        <f>IFERROR(__xludf.DUMMYFUNCTION("""COMPUTED_VALUE"""),42807.66666666667)</f>
        <v>42807.66667</v>
      </c>
      <c r="B553" s="2">
        <f>IFERROR(__xludf.DUMMYFUNCTION("""COMPUTED_VALUE"""),38.44)</f>
        <v>38.44</v>
      </c>
      <c r="D553" s="3">
        <f>IFERROR(__xludf.DUMMYFUNCTION("""COMPUTED_VALUE"""),42807.66666666667)</f>
        <v>42807.66667</v>
      </c>
      <c r="E553" s="2">
        <f>IFERROR(__xludf.DUMMYFUNCTION("""COMPUTED_VALUE"""),25.46)</f>
        <v>25.46</v>
      </c>
      <c r="G553" s="3">
        <f>IFERROR(__xludf.DUMMYFUNCTION("""COMPUTED_VALUE"""),42878.99861111111)</f>
        <v>42878.99861</v>
      </c>
      <c r="H553" s="2">
        <f>IFERROR(__xludf.DUMMYFUNCTION("""COMPUTED_VALUE"""),2272.75)</f>
        <v>2272.75</v>
      </c>
    </row>
    <row r="554">
      <c r="A554" s="3">
        <f>IFERROR(__xludf.DUMMYFUNCTION("""COMPUTED_VALUE"""),42808.66666666667)</f>
        <v>42808.66667</v>
      </c>
      <c r="B554" s="2">
        <f>IFERROR(__xludf.DUMMYFUNCTION("""COMPUTED_VALUE"""),38.3)</f>
        <v>38.3</v>
      </c>
      <c r="D554" s="3">
        <f>IFERROR(__xludf.DUMMYFUNCTION("""COMPUTED_VALUE"""),42808.66666666667)</f>
        <v>42808.66667</v>
      </c>
      <c r="E554" s="2">
        <f>IFERROR(__xludf.DUMMYFUNCTION("""COMPUTED_VALUE"""),25.45)</f>
        <v>25.45</v>
      </c>
      <c r="G554" s="3">
        <f>IFERROR(__xludf.DUMMYFUNCTION("""COMPUTED_VALUE"""),42879.99861111111)</f>
        <v>42879.99861</v>
      </c>
      <c r="H554" s="2">
        <f>IFERROR(__xludf.DUMMYFUNCTION("""COMPUTED_VALUE"""),2432.97)</f>
        <v>2432.97</v>
      </c>
    </row>
    <row r="555">
      <c r="A555" s="3">
        <f>IFERROR(__xludf.DUMMYFUNCTION("""COMPUTED_VALUE"""),42809.66666666667)</f>
        <v>42809.66667</v>
      </c>
      <c r="B555" s="2">
        <f>IFERROR(__xludf.DUMMYFUNCTION("""COMPUTED_VALUE"""),39.06)</f>
        <v>39.06</v>
      </c>
      <c r="D555" s="3">
        <f>IFERROR(__xludf.DUMMYFUNCTION("""COMPUTED_VALUE"""),42809.66666666667)</f>
        <v>42809.66667</v>
      </c>
      <c r="E555" s="2">
        <f>IFERROR(__xludf.DUMMYFUNCTION("""COMPUTED_VALUE"""),25.64)</f>
        <v>25.64</v>
      </c>
      <c r="G555" s="3">
        <f>IFERROR(__xludf.DUMMYFUNCTION("""COMPUTED_VALUE"""),42880.99861111111)</f>
        <v>42880.99861</v>
      </c>
      <c r="H555" s="2">
        <f>IFERROR(__xludf.DUMMYFUNCTION("""COMPUTED_VALUE"""),2355.0)</f>
        <v>2355</v>
      </c>
    </row>
    <row r="556">
      <c r="A556" s="3">
        <f>IFERROR(__xludf.DUMMYFUNCTION("""COMPUTED_VALUE"""),42810.66666666667)</f>
        <v>42810.66667</v>
      </c>
      <c r="B556" s="2">
        <f>IFERROR(__xludf.DUMMYFUNCTION("""COMPUTED_VALUE"""),39.12)</f>
        <v>39.12</v>
      </c>
      <c r="D556" s="3">
        <f>IFERROR(__xludf.DUMMYFUNCTION("""COMPUTED_VALUE"""),42810.66666666667)</f>
        <v>42810.66667</v>
      </c>
      <c r="E556" s="2">
        <f>IFERROR(__xludf.DUMMYFUNCTION("""COMPUTED_VALUE"""),25.95)</f>
        <v>25.95</v>
      </c>
      <c r="G556" s="3">
        <f>IFERROR(__xludf.DUMMYFUNCTION("""COMPUTED_VALUE"""),42881.99861111111)</f>
        <v>42881.99861</v>
      </c>
      <c r="H556" s="2">
        <f>IFERROR(__xludf.DUMMYFUNCTION("""COMPUTED_VALUE"""),2272.7)</f>
        <v>2272.7</v>
      </c>
    </row>
    <row r="557">
      <c r="A557" s="3">
        <f>IFERROR(__xludf.DUMMYFUNCTION("""COMPUTED_VALUE"""),42811.66666666667)</f>
        <v>42811.66667</v>
      </c>
      <c r="B557" s="2">
        <f>IFERROR(__xludf.DUMMYFUNCTION("""COMPUTED_VALUE"""),39.02)</f>
        <v>39.02</v>
      </c>
      <c r="D557" s="3">
        <f>IFERROR(__xludf.DUMMYFUNCTION("""COMPUTED_VALUE"""),42811.66666666667)</f>
        <v>42811.66667</v>
      </c>
      <c r="E557" s="2">
        <f>IFERROR(__xludf.DUMMYFUNCTION("""COMPUTED_VALUE"""),26.52)</f>
        <v>26.52</v>
      </c>
      <c r="G557" s="3">
        <f>IFERROR(__xludf.DUMMYFUNCTION("""COMPUTED_VALUE"""),42882.99861111111)</f>
        <v>42882.99861</v>
      </c>
      <c r="H557" s="2">
        <f>IFERROR(__xludf.DUMMYFUNCTION("""COMPUTED_VALUE"""),2099.99)</f>
        <v>2099.99</v>
      </c>
    </row>
    <row r="558">
      <c r="A558" s="3">
        <f>IFERROR(__xludf.DUMMYFUNCTION("""COMPUTED_VALUE"""),42814.66666666667)</f>
        <v>42814.66667</v>
      </c>
      <c r="B558" s="2">
        <f>IFERROR(__xludf.DUMMYFUNCTION("""COMPUTED_VALUE"""),38.75)</f>
        <v>38.75</v>
      </c>
      <c r="D558" s="3">
        <f>IFERROR(__xludf.DUMMYFUNCTION("""COMPUTED_VALUE"""),42814.66666666667)</f>
        <v>42814.66667</v>
      </c>
      <c r="E558" s="2">
        <f>IFERROR(__xludf.DUMMYFUNCTION("""COMPUTED_VALUE"""),27.36)</f>
        <v>27.36</v>
      </c>
      <c r="G558" s="3">
        <f>IFERROR(__xludf.DUMMYFUNCTION("""COMPUTED_VALUE"""),42883.99861111111)</f>
        <v>42883.99861</v>
      </c>
      <c r="H558" s="2">
        <f>IFERROR(__xludf.DUMMYFUNCTION("""COMPUTED_VALUE"""),2232.78)</f>
        <v>2232.78</v>
      </c>
    </row>
    <row r="559">
      <c r="A559" s="3">
        <f>IFERROR(__xludf.DUMMYFUNCTION("""COMPUTED_VALUE"""),42815.66666666667)</f>
        <v>42815.66667</v>
      </c>
      <c r="B559" s="2">
        <f>IFERROR(__xludf.DUMMYFUNCTION("""COMPUTED_VALUE"""),36.61)</f>
        <v>36.61</v>
      </c>
      <c r="D559" s="3">
        <f>IFERROR(__xludf.DUMMYFUNCTION("""COMPUTED_VALUE"""),42815.66666666667)</f>
        <v>42815.66667</v>
      </c>
      <c r="E559" s="2">
        <f>IFERROR(__xludf.DUMMYFUNCTION("""COMPUTED_VALUE"""),26.48)</f>
        <v>26.48</v>
      </c>
      <c r="G559" s="3">
        <f>IFERROR(__xludf.DUMMYFUNCTION("""COMPUTED_VALUE"""),42884.99861111111)</f>
        <v>42884.99861</v>
      </c>
      <c r="H559" s="2">
        <f>IFERROR(__xludf.DUMMYFUNCTION("""COMPUTED_VALUE"""),2279.48)</f>
        <v>2279.48</v>
      </c>
    </row>
    <row r="560">
      <c r="A560" s="3">
        <f>IFERROR(__xludf.DUMMYFUNCTION("""COMPUTED_VALUE"""),42816.66666666667)</f>
        <v>42816.66667</v>
      </c>
      <c r="B560" s="2">
        <f>IFERROR(__xludf.DUMMYFUNCTION("""COMPUTED_VALUE"""),36.17)</f>
        <v>36.17</v>
      </c>
      <c r="D560" s="3">
        <f>IFERROR(__xludf.DUMMYFUNCTION("""COMPUTED_VALUE"""),42816.66666666667)</f>
        <v>42816.66667</v>
      </c>
      <c r="E560" s="2">
        <f>IFERROR(__xludf.DUMMYFUNCTION("""COMPUTED_VALUE"""),27.02)</f>
        <v>27.02</v>
      </c>
      <c r="G560" s="3">
        <f>IFERROR(__xludf.DUMMYFUNCTION("""COMPUTED_VALUE"""),42885.99861111111)</f>
        <v>42885.99861</v>
      </c>
      <c r="H560" s="2">
        <f>IFERROR(__xludf.DUMMYFUNCTION("""COMPUTED_VALUE"""),2191.58)</f>
        <v>2191.58</v>
      </c>
    </row>
    <row r="561">
      <c r="A561" s="3">
        <f>IFERROR(__xludf.DUMMYFUNCTION("""COMPUTED_VALUE"""),42817.66666666667)</f>
        <v>42817.66667</v>
      </c>
      <c r="B561" s="2">
        <f>IFERROR(__xludf.DUMMYFUNCTION("""COMPUTED_VALUE"""),37.2)</f>
        <v>37.2</v>
      </c>
      <c r="D561" s="3">
        <f>IFERROR(__xludf.DUMMYFUNCTION("""COMPUTED_VALUE"""),42817.66666666667)</f>
        <v>42817.66667</v>
      </c>
      <c r="E561" s="2">
        <f>IFERROR(__xludf.DUMMYFUNCTION("""COMPUTED_VALUE"""),26.77)</f>
        <v>26.77</v>
      </c>
      <c r="G561" s="3">
        <f>IFERROR(__xludf.DUMMYFUNCTION("""COMPUTED_VALUE"""),42886.99861111111)</f>
        <v>42886.99861</v>
      </c>
      <c r="H561" s="2">
        <f>IFERROR(__xludf.DUMMYFUNCTION("""COMPUTED_VALUE"""),2303.29)</f>
        <v>2303.29</v>
      </c>
    </row>
    <row r="562">
      <c r="A562" s="3">
        <f>IFERROR(__xludf.DUMMYFUNCTION("""COMPUTED_VALUE"""),42818.66666666667)</f>
        <v>42818.66667</v>
      </c>
      <c r="B562" s="2">
        <f>IFERROR(__xludf.DUMMYFUNCTION("""COMPUTED_VALUE"""),36.81)</f>
        <v>36.81</v>
      </c>
      <c r="D562" s="3">
        <f>IFERROR(__xludf.DUMMYFUNCTION("""COMPUTED_VALUE"""),42818.66666666667)</f>
        <v>42818.66667</v>
      </c>
      <c r="E562" s="2">
        <f>IFERROR(__xludf.DUMMYFUNCTION("""COMPUTED_VALUE"""),26.87)</f>
        <v>26.87</v>
      </c>
      <c r="G562" s="3">
        <f>IFERROR(__xludf.DUMMYFUNCTION("""COMPUTED_VALUE"""),42887.99861111111)</f>
        <v>42887.99861</v>
      </c>
      <c r="H562" s="2">
        <f>IFERROR(__xludf.DUMMYFUNCTION("""COMPUTED_VALUE"""),2419.99)</f>
        <v>2419.99</v>
      </c>
    </row>
    <row r="563">
      <c r="A563" s="3">
        <f>IFERROR(__xludf.DUMMYFUNCTION("""COMPUTED_VALUE"""),42821.66666666667)</f>
        <v>42821.66667</v>
      </c>
      <c r="B563" s="2">
        <f>IFERROR(__xludf.DUMMYFUNCTION("""COMPUTED_VALUE"""),36.52)</f>
        <v>36.52</v>
      </c>
      <c r="D563" s="3">
        <f>IFERROR(__xludf.DUMMYFUNCTION("""COMPUTED_VALUE"""),42821.66666666667)</f>
        <v>42821.66667</v>
      </c>
      <c r="E563" s="2">
        <f>IFERROR(__xludf.DUMMYFUNCTION("""COMPUTED_VALUE"""),27.06)</f>
        <v>27.06</v>
      </c>
      <c r="G563" s="3">
        <f>IFERROR(__xludf.DUMMYFUNCTION("""COMPUTED_VALUE"""),42888.99861111111)</f>
        <v>42888.99861</v>
      </c>
      <c r="H563" s="2">
        <f>IFERROR(__xludf.DUMMYFUNCTION("""COMPUTED_VALUE"""),2478.99)</f>
        <v>2478.99</v>
      </c>
    </row>
    <row r="564">
      <c r="A564" s="3">
        <f>IFERROR(__xludf.DUMMYFUNCTION("""COMPUTED_VALUE"""),42822.66666666667)</f>
        <v>42822.66667</v>
      </c>
      <c r="B564" s="2">
        <f>IFERROR(__xludf.DUMMYFUNCTION("""COMPUTED_VALUE"""),36.72)</f>
        <v>36.72</v>
      </c>
      <c r="D564" s="3">
        <f>IFERROR(__xludf.DUMMYFUNCTION("""COMPUTED_VALUE"""),42822.66666666667)</f>
        <v>42822.66667</v>
      </c>
      <c r="E564" s="2">
        <f>IFERROR(__xludf.DUMMYFUNCTION("""COMPUTED_VALUE"""),26.92)</f>
        <v>26.92</v>
      </c>
      <c r="G564" s="3">
        <f>IFERROR(__xludf.DUMMYFUNCTION("""COMPUTED_VALUE"""),42889.99861111111)</f>
        <v>42889.99861</v>
      </c>
      <c r="H564" s="2">
        <f>IFERROR(__xludf.DUMMYFUNCTION("""COMPUTED_VALUE"""),2548.05)</f>
        <v>2548.05</v>
      </c>
    </row>
    <row r="565">
      <c r="A565" s="3">
        <f>IFERROR(__xludf.DUMMYFUNCTION("""COMPUTED_VALUE"""),42823.66666666667)</f>
        <v>42823.66667</v>
      </c>
      <c r="B565" s="2">
        <f>IFERROR(__xludf.DUMMYFUNCTION("""COMPUTED_VALUE"""),36.37)</f>
        <v>36.37</v>
      </c>
      <c r="D565" s="3">
        <f>IFERROR(__xludf.DUMMYFUNCTION("""COMPUTED_VALUE"""),42823.66666666667)</f>
        <v>42823.66667</v>
      </c>
      <c r="E565" s="2">
        <f>IFERROR(__xludf.DUMMYFUNCTION("""COMPUTED_VALUE"""),26.84)</f>
        <v>26.84</v>
      </c>
      <c r="G565" s="3">
        <f>IFERROR(__xludf.DUMMYFUNCTION("""COMPUTED_VALUE"""),42890.99861111111)</f>
        <v>42890.99861</v>
      </c>
      <c r="H565" s="2">
        <f>IFERROR(__xludf.DUMMYFUNCTION("""COMPUTED_VALUE"""),2521.36)</f>
        <v>2521.36</v>
      </c>
    </row>
    <row r="566">
      <c r="A566" s="3">
        <f>IFERROR(__xludf.DUMMYFUNCTION("""COMPUTED_VALUE"""),42824.66666666667)</f>
        <v>42824.66667</v>
      </c>
      <c r="B566" s="2">
        <f>IFERROR(__xludf.DUMMYFUNCTION("""COMPUTED_VALUE"""),36.59)</f>
        <v>36.59</v>
      </c>
      <c r="D566" s="3">
        <f>IFERROR(__xludf.DUMMYFUNCTION("""COMPUTED_VALUE"""),42824.66666666667)</f>
        <v>42824.66667</v>
      </c>
      <c r="E566" s="2">
        <f>IFERROR(__xludf.DUMMYFUNCTION("""COMPUTED_VALUE"""),27.35)</f>
        <v>27.35</v>
      </c>
      <c r="G566" s="3">
        <f>IFERROR(__xludf.DUMMYFUNCTION("""COMPUTED_VALUE"""),42891.99861111111)</f>
        <v>42891.99861</v>
      </c>
      <c r="H566" s="2">
        <f>IFERROR(__xludf.DUMMYFUNCTION("""COMPUTED_VALUE"""),2698.0)</f>
        <v>2698</v>
      </c>
    </row>
    <row r="567">
      <c r="A567" s="3">
        <f>IFERROR(__xludf.DUMMYFUNCTION("""COMPUTED_VALUE"""),42825.66666666667)</f>
        <v>42825.66667</v>
      </c>
      <c r="B567" s="2">
        <f>IFERROR(__xludf.DUMMYFUNCTION("""COMPUTED_VALUE"""),36.14)</f>
        <v>36.14</v>
      </c>
      <c r="D567" s="3">
        <f>IFERROR(__xludf.DUMMYFUNCTION("""COMPUTED_VALUE"""),42825.66666666667)</f>
        <v>42825.66667</v>
      </c>
      <c r="E567" s="2">
        <f>IFERROR(__xludf.DUMMYFUNCTION("""COMPUTED_VALUE"""),27.23)</f>
        <v>27.23</v>
      </c>
      <c r="G567" s="3">
        <f>IFERROR(__xludf.DUMMYFUNCTION("""COMPUTED_VALUE"""),42892.99861111111)</f>
        <v>42892.99861</v>
      </c>
      <c r="H567" s="2">
        <f>IFERROR(__xludf.DUMMYFUNCTION("""COMPUTED_VALUE"""),2871.29)</f>
        <v>2871.29</v>
      </c>
    </row>
    <row r="568">
      <c r="A568" s="3">
        <f>IFERROR(__xludf.DUMMYFUNCTION("""COMPUTED_VALUE"""),42828.66666666667)</f>
        <v>42828.66667</v>
      </c>
      <c r="B568" s="2">
        <f>IFERROR(__xludf.DUMMYFUNCTION("""COMPUTED_VALUE"""),36.2)</f>
        <v>36.2</v>
      </c>
      <c r="D568" s="3">
        <f>IFERROR(__xludf.DUMMYFUNCTION("""COMPUTED_VALUE"""),42828.66666666667)</f>
        <v>42828.66667</v>
      </c>
      <c r="E568" s="2">
        <f>IFERROR(__xludf.DUMMYFUNCTION("""COMPUTED_VALUE"""),27.1)</f>
        <v>27.1</v>
      </c>
      <c r="G568" s="3">
        <f>IFERROR(__xludf.DUMMYFUNCTION("""COMPUTED_VALUE"""),42893.99861111111)</f>
        <v>42893.99861</v>
      </c>
      <c r="H568" s="2">
        <f>IFERROR(__xludf.DUMMYFUNCTION("""COMPUTED_VALUE"""),2685.64)</f>
        <v>2685.64</v>
      </c>
    </row>
    <row r="569">
      <c r="A569" s="3">
        <f>IFERROR(__xludf.DUMMYFUNCTION("""COMPUTED_VALUE"""),42829.66666666667)</f>
        <v>42829.66667</v>
      </c>
      <c r="B569" s="2">
        <f>IFERROR(__xludf.DUMMYFUNCTION("""COMPUTED_VALUE"""),36.24)</f>
        <v>36.24</v>
      </c>
      <c r="D569" s="3">
        <f>IFERROR(__xludf.DUMMYFUNCTION("""COMPUTED_VALUE"""),42829.66666666667)</f>
        <v>42829.66667</v>
      </c>
      <c r="E569" s="2">
        <f>IFERROR(__xludf.DUMMYFUNCTION("""COMPUTED_VALUE"""),25.2)</f>
        <v>25.2</v>
      </c>
      <c r="G569" s="3">
        <f>IFERROR(__xludf.DUMMYFUNCTION("""COMPUTED_VALUE"""),42894.99861111111)</f>
        <v>42894.99861</v>
      </c>
      <c r="H569" s="2">
        <f>IFERROR(__xludf.DUMMYFUNCTION("""COMPUTED_VALUE"""),2799.73)</f>
        <v>2799.73</v>
      </c>
    </row>
    <row r="570">
      <c r="A570" s="3">
        <f>IFERROR(__xludf.DUMMYFUNCTION("""COMPUTED_VALUE"""),42830.66666666667)</f>
        <v>42830.66667</v>
      </c>
      <c r="B570" s="2">
        <f>IFERROR(__xludf.DUMMYFUNCTION("""COMPUTED_VALUE"""),36.26)</f>
        <v>36.26</v>
      </c>
      <c r="D570" s="3">
        <f>IFERROR(__xludf.DUMMYFUNCTION("""COMPUTED_VALUE"""),42830.66666666667)</f>
        <v>42830.66667</v>
      </c>
      <c r="E570" s="2">
        <f>IFERROR(__xludf.DUMMYFUNCTION("""COMPUTED_VALUE"""),25.01)</f>
        <v>25.01</v>
      </c>
      <c r="G570" s="3">
        <f>IFERROR(__xludf.DUMMYFUNCTION("""COMPUTED_VALUE"""),42895.99861111111)</f>
        <v>42895.99861</v>
      </c>
      <c r="H570" s="2">
        <f>IFERROR(__xludf.DUMMYFUNCTION("""COMPUTED_VALUE"""),2811.39)</f>
        <v>2811.39</v>
      </c>
    </row>
    <row r="571">
      <c r="A571" s="3">
        <f>IFERROR(__xludf.DUMMYFUNCTION("""COMPUTED_VALUE"""),42831.66666666667)</f>
        <v>42831.66667</v>
      </c>
      <c r="B571" s="2">
        <f>IFERROR(__xludf.DUMMYFUNCTION("""COMPUTED_VALUE"""),36.44)</f>
        <v>36.44</v>
      </c>
      <c r="D571" s="3">
        <f>IFERROR(__xludf.DUMMYFUNCTION("""COMPUTED_VALUE"""),42831.66666666667)</f>
        <v>42831.66667</v>
      </c>
      <c r="E571" s="2">
        <f>IFERROR(__xludf.DUMMYFUNCTION("""COMPUTED_VALUE"""),25.19)</f>
        <v>25.19</v>
      </c>
      <c r="G571" s="3">
        <f>IFERROR(__xludf.DUMMYFUNCTION("""COMPUTED_VALUE"""),42896.99861111111)</f>
        <v>42896.99861</v>
      </c>
      <c r="H571" s="2">
        <f>IFERROR(__xludf.DUMMYFUNCTION("""COMPUTED_VALUE"""),2931.15)</f>
        <v>2931.15</v>
      </c>
    </row>
    <row r="572">
      <c r="A572" s="3">
        <f>IFERROR(__xludf.DUMMYFUNCTION("""COMPUTED_VALUE"""),42832.66666666667)</f>
        <v>42832.66667</v>
      </c>
      <c r="B572" s="2">
        <f>IFERROR(__xludf.DUMMYFUNCTION("""COMPUTED_VALUE"""),35.94)</f>
        <v>35.94</v>
      </c>
      <c r="D572" s="3">
        <f>IFERROR(__xludf.DUMMYFUNCTION("""COMPUTED_VALUE"""),42832.66666666667)</f>
        <v>42832.66667</v>
      </c>
      <c r="E572" s="2">
        <f>IFERROR(__xludf.DUMMYFUNCTION("""COMPUTED_VALUE"""),25.08)</f>
        <v>25.08</v>
      </c>
      <c r="G572" s="3">
        <f>IFERROR(__xludf.DUMMYFUNCTION("""COMPUTED_VALUE"""),42897.99861111111)</f>
        <v>42897.99861</v>
      </c>
      <c r="H572" s="2">
        <f>IFERROR(__xludf.DUMMYFUNCTION("""COMPUTED_VALUE"""),2998.98)</f>
        <v>2998.98</v>
      </c>
    </row>
    <row r="573">
      <c r="A573" s="3">
        <f>IFERROR(__xludf.DUMMYFUNCTION("""COMPUTED_VALUE"""),42835.66666666667)</f>
        <v>42835.66667</v>
      </c>
      <c r="B573" s="2">
        <f>IFERROR(__xludf.DUMMYFUNCTION("""COMPUTED_VALUE"""),35.69)</f>
        <v>35.69</v>
      </c>
      <c r="D573" s="3">
        <f>IFERROR(__xludf.DUMMYFUNCTION("""COMPUTED_VALUE"""),42835.66666666667)</f>
        <v>42835.66667</v>
      </c>
      <c r="E573" s="2">
        <f>IFERROR(__xludf.DUMMYFUNCTION("""COMPUTED_VALUE"""),24.44)</f>
        <v>24.44</v>
      </c>
      <c r="G573" s="3">
        <f>IFERROR(__xludf.DUMMYFUNCTION("""COMPUTED_VALUE"""),42898.99861111111)</f>
        <v>42898.99861</v>
      </c>
      <c r="H573" s="2">
        <f>IFERROR(__xludf.DUMMYFUNCTION("""COMPUTED_VALUE"""),2655.71)</f>
        <v>2655.71</v>
      </c>
    </row>
    <row r="574">
      <c r="A574" s="3">
        <f>IFERROR(__xludf.DUMMYFUNCTION("""COMPUTED_VALUE"""),42836.66666666667)</f>
        <v>42836.66667</v>
      </c>
      <c r="B574" s="2">
        <f>IFERROR(__xludf.DUMMYFUNCTION("""COMPUTED_VALUE"""),35.79)</f>
        <v>35.79</v>
      </c>
      <c r="D574" s="3">
        <f>IFERROR(__xludf.DUMMYFUNCTION("""COMPUTED_VALUE"""),42836.66666666667)</f>
        <v>42836.66667</v>
      </c>
      <c r="E574" s="2">
        <f>IFERROR(__xludf.DUMMYFUNCTION("""COMPUTED_VALUE"""),24.53)</f>
        <v>24.53</v>
      </c>
      <c r="G574" s="3">
        <f>IFERROR(__xludf.DUMMYFUNCTION("""COMPUTED_VALUE"""),42899.99861111111)</f>
        <v>42899.99861</v>
      </c>
      <c r="H574" s="2">
        <f>IFERROR(__xludf.DUMMYFUNCTION("""COMPUTED_VALUE"""),2709.01)</f>
        <v>2709.01</v>
      </c>
    </row>
    <row r="575">
      <c r="A575" s="3">
        <f>IFERROR(__xludf.DUMMYFUNCTION("""COMPUTED_VALUE"""),42837.66666666667)</f>
        <v>42837.66667</v>
      </c>
      <c r="B575" s="2">
        <f>IFERROR(__xludf.DUMMYFUNCTION("""COMPUTED_VALUE"""),35.38)</f>
        <v>35.38</v>
      </c>
      <c r="D575" s="3">
        <f>IFERROR(__xludf.DUMMYFUNCTION("""COMPUTED_VALUE"""),42837.66666666667)</f>
        <v>42837.66667</v>
      </c>
      <c r="E575" s="2">
        <f>IFERROR(__xludf.DUMMYFUNCTION("""COMPUTED_VALUE"""),24.33)</f>
        <v>24.33</v>
      </c>
      <c r="G575" s="3">
        <f>IFERROR(__xludf.DUMMYFUNCTION("""COMPUTED_VALUE"""),42900.99861111111)</f>
        <v>42900.99861</v>
      </c>
      <c r="H575" s="2">
        <f>IFERROR(__xludf.DUMMYFUNCTION("""COMPUTED_VALUE"""),2432.21)</f>
        <v>2432.21</v>
      </c>
    </row>
    <row r="576">
      <c r="A576" s="3">
        <f>IFERROR(__xludf.DUMMYFUNCTION("""COMPUTED_VALUE"""),42838.66666666667)</f>
        <v>42838.66667</v>
      </c>
      <c r="B576" s="2">
        <f>IFERROR(__xludf.DUMMYFUNCTION("""COMPUTED_VALUE"""),35.3)</f>
        <v>35.3</v>
      </c>
      <c r="D576" s="3">
        <f>IFERROR(__xludf.DUMMYFUNCTION("""COMPUTED_VALUE"""),42838.66666666667)</f>
        <v>42838.66667</v>
      </c>
      <c r="E576" s="2">
        <f>IFERROR(__xludf.DUMMYFUNCTION("""COMPUTED_VALUE"""),23.87)</f>
        <v>23.87</v>
      </c>
      <c r="G576" s="3">
        <f>IFERROR(__xludf.DUMMYFUNCTION("""COMPUTED_VALUE"""),42901.99861111111)</f>
        <v>42901.99861</v>
      </c>
      <c r="H576" s="2">
        <f>IFERROR(__xludf.DUMMYFUNCTION("""COMPUTED_VALUE"""),2409.98)</f>
        <v>2409.98</v>
      </c>
    </row>
    <row r="577">
      <c r="A577" s="3">
        <f>IFERROR(__xludf.DUMMYFUNCTION("""COMPUTED_VALUE"""),42842.66666666667)</f>
        <v>42842.66667</v>
      </c>
      <c r="B577" s="2">
        <f>IFERROR(__xludf.DUMMYFUNCTION("""COMPUTED_VALUE"""),35.95)</f>
        <v>35.95</v>
      </c>
      <c r="D577" s="3">
        <f>IFERROR(__xludf.DUMMYFUNCTION("""COMPUTED_VALUE"""),42842.66666666667)</f>
        <v>42842.66667</v>
      </c>
      <c r="E577" s="2">
        <f>IFERROR(__xludf.DUMMYFUNCTION("""COMPUTED_VALUE"""),24.81)</f>
        <v>24.81</v>
      </c>
      <c r="G577" s="3">
        <f>IFERROR(__xludf.DUMMYFUNCTION("""COMPUTED_VALUE"""),42902.99861111111)</f>
        <v>42902.99861</v>
      </c>
      <c r="H577" s="2">
        <f>IFERROR(__xludf.DUMMYFUNCTION("""COMPUTED_VALUE"""),2480.43)</f>
        <v>2480.43</v>
      </c>
    </row>
    <row r="578">
      <c r="A578" s="3">
        <f>IFERROR(__xludf.DUMMYFUNCTION("""COMPUTED_VALUE"""),42843.66666666667)</f>
        <v>42843.66667</v>
      </c>
      <c r="B578" s="2">
        <f>IFERROR(__xludf.DUMMYFUNCTION("""COMPUTED_VALUE"""),35.77)</f>
        <v>35.77</v>
      </c>
      <c r="D578" s="3">
        <f>IFERROR(__xludf.DUMMYFUNCTION("""COMPUTED_VALUE"""),42843.66666666667)</f>
        <v>42843.66667</v>
      </c>
      <c r="E578" s="2">
        <f>IFERROR(__xludf.DUMMYFUNCTION("""COMPUTED_VALUE"""),24.82)</f>
        <v>24.82</v>
      </c>
      <c r="G578" s="3">
        <f>IFERROR(__xludf.DUMMYFUNCTION("""COMPUTED_VALUE"""),42903.99861111111)</f>
        <v>42903.99861</v>
      </c>
      <c r="H578" s="2">
        <f>IFERROR(__xludf.DUMMYFUNCTION("""COMPUTED_VALUE"""),2634.94)</f>
        <v>2634.94</v>
      </c>
    </row>
    <row r="579">
      <c r="A579" s="3">
        <f>IFERROR(__xludf.DUMMYFUNCTION("""COMPUTED_VALUE"""),42844.66666666667)</f>
        <v>42844.66667</v>
      </c>
      <c r="B579" s="2">
        <f>IFERROR(__xludf.DUMMYFUNCTION("""COMPUTED_VALUE"""),36.62)</f>
        <v>36.62</v>
      </c>
      <c r="D579" s="3">
        <f>IFERROR(__xludf.DUMMYFUNCTION("""COMPUTED_VALUE"""),42844.66666666667)</f>
        <v>42844.66667</v>
      </c>
      <c r="E579" s="2">
        <f>IFERROR(__xludf.DUMMYFUNCTION("""COMPUTED_VALUE"""),24.92)</f>
        <v>24.92</v>
      </c>
      <c r="G579" s="3">
        <f>IFERROR(__xludf.DUMMYFUNCTION("""COMPUTED_VALUE"""),42904.99861111111)</f>
        <v>42904.99861</v>
      </c>
      <c r="H579" s="2">
        <f>IFERROR(__xludf.DUMMYFUNCTION("""COMPUTED_VALUE"""),2515.25)</f>
        <v>2515.25</v>
      </c>
    </row>
    <row r="580">
      <c r="A580" s="3">
        <f>IFERROR(__xludf.DUMMYFUNCTION("""COMPUTED_VALUE"""),42845.66666666667)</f>
        <v>42845.66667</v>
      </c>
      <c r="B580" s="2">
        <f>IFERROR(__xludf.DUMMYFUNCTION("""COMPUTED_VALUE"""),36.7)</f>
        <v>36.7</v>
      </c>
      <c r="D580" s="3">
        <f>IFERROR(__xludf.DUMMYFUNCTION("""COMPUTED_VALUE"""),42845.66666666667)</f>
        <v>42845.66667</v>
      </c>
      <c r="E580" s="2">
        <f>IFERROR(__xludf.DUMMYFUNCTION("""COMPUTED_VALUE"""),25.32)</f>
        <v>25.32</v>
      </c>
      <c r="G580" s="3">
        <f>IFERROR(__xludf.DUMMYFUNCTION("""COMPUTED_VALUE"""),42905.99861111111)</f>
        <v>42905.99861</v>
      </c>
      <c r="H580" s="2">
        <f>IFERROR(__xludf.DUMMYFUNCTION("""COMPUTED_VALUE"""),2596.98)</f>
        <v>2596.98</v>
      </c>
    </row>
    <row r="581">
      <c r="A581" s="3">
        <f>IFERROR(__xludf.DUMMYFUNCTION("""COMPUTED_VALUE"""),42846.66666666667)</f>
        <v>42846.66667</v>
      </c>
      <c r="B581" s="2">
        <f>IFERROR(__xludf.DUMMYFUNCTION("""COMPUTED_VALUE"""),35.88)</f>
        <v>35.88</v>
      </c>
      <c r="D581" s="3">
        <f>IFERROR(__xludf.DUMMYFUNCTION("""COMPUTED_VALUE"""),42846.66666666667)</f>
        <v>42846.66667</v>
      </c>
      <c r="E581" s="2">
        <f>IFERROR(__xludf.DUMMYFUNCTION("""COMPUTED_VALUE"""),25.42)</f>
        <v>25.42</v>
      </c>
      <c r="G581" s="3">
        <f>IFERROR(__xludf.DUMMYFUNCTION("""COMPUTED_VALUE"""),42906.99861111111)</f>
        <v>42906.99861</v>
      </c>
      <c r="H581" s="2">
        <f>IFERROR(__xludf.DUMMYFUNCTION("""COMPUTED_VALUE"""),2725.08)</f>
        <v>2725.08</v>
      </c>
    </row>
    <row r="582">
      <c r="A582" s="3">
        <f>IFERROR(__xludf.DUMMYFUNCTION("""COMPUTED_VALUE"""),42849.66666666667)</f>
        <v>42849.66667</v>
      </c>
      <c r="B582" s="2">
        <f>IFERROR(__xludf.DUMMYFUNCTION("""COMPUTED_VALUE"""),37.01)</f>
        <v>37.01</v>
      </c>
      <c r="D582" s="3">
        <f>IFERROR(__xludf.DUMMYFUNCTION("""COMPUTED_VALUE"""),42849.66666666667)</f>
        <v>42849.66667</v>
      </c>
      <c r="E582" s="2">
        <f>IFERROR(__xludf.DUMMYFUNCTION("""COMPUTED_VALUE"""),25.74)</f>
        <v>25.74</v>
      </c>
      <c r="G582" s="3">
        <f>IFERROR(__xludf.DUMMYFUNCTION("""COMPUTED_VALUE"""),42907.99861111111)</f>
        <v>42907.99861</v>
      </c>
      <c r="H582" s="2">
        <f>IFERROR(__xludf.DUMMYFUNCTION("""COMPUTED_VALUE"""),2643.35)</f>
        <v>2643.35</v>
      </c>
    </row>
    <row r="583">
      <c r="A583" s="3">
        <f>IFERROR(__xludf.DUMMYFUNCTION("""COMPUTED_VALUE"""),42850.66666666667)</f>
        <v>42850.66667</v>
      </c>
      <c r="B583" s="2">
        <f>IFERROR(__xludf.DUMMYFUNCTION("""COMPUTED_VALUE"""),37.75)</f>
        <v>37.75</v>
      </c>
      <c r="D583" s="3">
        <f>IFERROR(__xludf.DUMMYFUNCTION("""COMPUTED_VALUE"""),42850.66666666667)</f>
        <v>42850.66667</v>
      </c>
      <c r="E583" s="2">
        <f>IFERROR(__xludf.DUMMYFUNCTION("""COMPUTED_VALUE"""),26.19)</f>
        <v>26.19</v>
      </c>
      <c r="G583" s="3">
        <f>IFERROR(__xludf.DUMMYFUNCTION("""COMPUTED_VALUE"""),42908.99861111111)</f>
        <v>42908.99861</v>
      </c>
      <c r="H583" s="2">
        <f>IFERROR(__xludf.DUMMYFUNCTION("""COMPUTED_VALUE"""),2679.99)</f>
        <v>2679.99</v>
      </c>
    </row>
    <row r="584">
      <c r="A584" s="3">
        <f>IFERROR(__xludf.DUMMYFUNCTION("""COMPUTED_VALUE"""),42851.66666666667)</f>
        <v>42851.66667</v>
      </c>
      <c r="B584" s="2">
        <f>IFERROR(__xludf.DUMMYFUNCTION("""COMPUTED_VALUE"""),37.85)</f>
        <v>37.85</v>
      </c>
      <c r="D584" s="3">
        <f>IFERROR(__xludf.DUMMYFUNCTION("""COMPUTED_VALUE"""),42851.66666666667)</f>
        <v>42851.66667</v>
      </c>
      <c r="E584" s="2">
        <f>IFERROR(__xludf.DUMMYFUNCTION("""COMPUTED_VALUE"""),26.01)</f>
        <v>26.01</v>
      </c>
      <c r="G584" s="3">
        <f>IFERROR(__xludf.DUMMYFUNCTION("""COMPUTED_VALUE"""),42909.99861111111)</f>
        <v>42909.99861</v>
      </c>
      <c r="H584" s="2">
        <f>IFERROR(__xludf.DUMMYFUNCTION("""COMPUTED_VALUE"""),2690.76)</f>
        <v>2690.76</v>
      </c>
    </row>
    <row r="585">
      <c r="A585" s="3">
        <f>IFERROR(__xludf.DUMMYFUNCTION("""COMPUTED_VALUE"""),42852.66666666667)</f>
        <v>42852.66667</v>
      </c>
      <c r="B585" s="2">
        <f>IFERROR(__xludf.DUMMYFUNCTION("""COMPUTED_VALUE"""),37.98)</f>
        <v>37.98</v>
      </c>
      <c r="D585" s="3">
        <f>IFERROR(__xludf.DUMMYFUNCTION("""COMPUTED_VALUE"""),42852.66666666667)</f>
        <v>42852.66667</v>
      </c>
      <c r="E585" s="2">
        <f>IFERROR(__xludf.DUMMYFUNCTION("""COMPUTED_VALUE"""),26.41)</f>
        <v>26.41</v>
      </c>
      <c r="G585" s="3">
        <f>IFERROR(__xludf.DUMMYFUNCTION("""COMPUTED_VALUE"""),42910.99861111111)</f>
        <v>42910.99861</v>
      </c>
      <c r="H585" s="2">
        <f>IFERROR(__xludf.DUMMYFUNCTION("""COMPUTED_VALUE"""),2574.84)</f>
        <v>2574.84</v>
      </c>
    </row>
    <row r="586">
      <c r="A586" s="3">
        <f>IFERROR(__xludf.DUMMYFUNCTION("""COMPUTED_VALUE"""),42853.66666666667)</f>
        <v>42853.66667</v>
      </c>
      <c r="B586" s="2">
        <f>IFERROR(__xludf.DUMMYFUNCTION("""COMPUTED_VALUE"""),37.43)</f>
        <v>37.43</v>
      </c>
      <c r="D586" s="3">
        <f>IFERROR(__xludf.DUMMYFUNCTION("""COMPUTED_VALUE"""),42853.66666666667)</f>
        <v>42853.66667</v>
      </c>
      <c r="E586" s="2">
        <f>IFERROR(__xludf.DUMMYFUNCTION("""COMPUTED_VALUE"""),26.08)</f>
        <v>26.08</v>
      </c>
      <c r="G586" s="3">
        <f>IFERROR(__xludf.DUMMYFUNCTION("""COMPUTED_VALUE"""),42911.99861111111)</f>
        <v>42911.99861</v>
      </c>
      <c r="H586" s="2">
        <f>IFERROR(__xludf.DUMMYFUNCTION("""COMPUTED_VALUE"""),2505.61)</f>
        <v>2505.61</v>
      </c>
    </row>
    <row r="587">
      <c r="A587" s="3">
        <f>IFERROR(__xludf.DUMMYFUNCTION("""COMPUTED_VALUE"""),42856.66666666667)</f>
        <v>42856.66667</v>
      </c>
      <c r="B587" s="2">
        <f>IFERROR(__xludf.DUMMYFUNCTION("""COMPUTED_VALUE"""),37.77)</f>
        <v>37.77</v>
      </c>
      <c r="D587" s="3">
        <f>IFERROR(__xludf.DUMMYFUNCTION("""COMPUTED_VALUE"""),42856.66666666667)</f>
        <v>42856.66667</v>
      </c>
      <c r="E587" s="2">
        <f>IFERROR(__xludf.DUMMYFUNCTION("""COMPUTED_VALUE"""),26.66)</f>
        <v>26.66</v>
      </c>
      <c r="G587" s="3">
        <f>IFERROR(__xludf.DUMMYFUNCTION("""COMPUTED_VALUE"""),42912.99861111111)</f>
        <v>42912.99861</v>
      </c>
      <c r="H587" s="2">
        <f>IFERROR(__xludf.DUMMYFUNCTION("""COMPUTED_VALUE"""),2407.91)</f>
        <v>2407.91</v>
      </c>
    </row>
    <row r="588">
      <c r="A588" s="3">
        <f>IFERROR(__xludf.DUMMYFUNCTION("""COMPUTED_VALUE"""),42857.66666666667)</f>
        <v>42857.66667</v>
      </c>
      <c r="B588" s="2">
        <f>IFERROR(__xludf.DUMMYFUNCTION("""COMPUTED_VALUE"""),37.88)</f>
        <v>37.88</v>
      </c>
      <c r="D588" s="3">
        <f>IFERROR(__xludf.DUMMYFUNCTION("""COMPUTED_VALUE"""),42857.66666666667)</f>
        <v>42857.66667</v>
      </c>
      <c r="E588" s="2">
        <f>IFERROR(__xludf.DUMMYFUNCTION("""COMPUTED_VALUE"""),25.87)</f>
        <v>25.87</v>
      </c>
      <c r="G588" s="3">
        <f>IFERROR(__xludf.DUMMYFUNCTION("""COMPUTED_VALUE"""),42913.99861111111)</f>
        <v>42913.99861</v>
      </c>
      <c r="H588" s="2">
        <f>IFERROR(__xludf.DUMMYFUNCTION("""COMPUTED_VALUE"""),2575.75)</f>
        <v>2575.75</v>
      </c>
    </row>
    <row r="589">
      <c r="A589" s="3">
        <f>IFERROR(__xludf.DUMMYFUNCTION("""COMPUTED_VALUE"""),42858.66666666667)</f>
        <v>42858.66667</v>
      </c>
      <c r="B589" s="2">
        <f>IFERROR(__xludf.DUMMYFUNCTION("""COMPUTED_VALUE"""),38.14)</f>
        <v>38.14</v>
      </c>
      <c r="D589" s="3">
        <f>IFERROR(__xludf.DUMMYFUNCTION("""COMPUTED_VALUE"""),42858.66666666667)</f>
        <v>42858.66667</v>
      </c>
      <c r="E589" s="2">
        <f>IFERROR(__xludf.DUMMYFUNCTION("""COMPUTED_VALUE"""),26.06)</f>
        <v>26.06</v>
      </c>
      <c r="G589" s="3">
        <f>IFERROR(__xludf.DUMMYFUNCTION("""COMPUTED_VALUE"""),42914.99861111111)</f>
        <v>42914.99861</v>
      </c>
      <c r="H589" s="2">
        <f>IFERROR(__xludf.DUMMYFUNCTION("""COMPUTED_VALUE"""),2553.12)</f>
        <v>2553.12</v>
      </c>
    </row>
    <row r="590">
      <c r="A590" s="3">
        <f>IFERROR(__xludf.DUMMYFUNCTION("""COMPUTED_VALUE"""),42859.66666666667)</f>
        <v>42859.66667</v>
      </c>
      <c r="B590" s="2">
        <f>IFERROR(__xludf.DUMMYFUNCTION("""COMPUTED_VALUE"""),38.45)</f>
        <v>38.45</v>
      </c>
      <c r="D590" s="3">
        <f>IFERROR(__xludf.DUMMYFUNCTION("""COMPUTED_VALUE"""),42859.66666666667)</f>
        <v>42859.66667</v>
      </c>
      <c r="E590" s="2">
        <f>IFERROR(__xludf.DUMMYFUNCTION("""COMPUTED_VALUE"""),25.96)</f>
        <v>25.96</v>
      </c>
      <c r="G590" s="3">
        <f>IFERROR(__xludf.DUMMYFUNCTION("""COMPUTED_VALUE"""),42915.99861111111)</f>
        <v>42915.99861</v>
      </c>
      <c r="H590" s="2">
        <f>IFERROR(__xludf.DUMMYFUNCTION("""COMPUTED_VALUE"""),2530.0)</f>
        <v>2530</v>
      </c>
    </row>
    <row r="591">
      <c r="A591" s="3">
        <f>IFERROR(__xludf.DUMMYFUNCTION("""COMPUTED_VALUE"""),42860.66666666667)</f>
        <v>42860.66667</v>
      </c>
      <c r="B591" s="2">
        <f>IFERROR(__xludf.DUMMYFUNCTION("""COMPUTED_VALUE"""),38.92)</f>
        <v>38.92</v>
      </c>
      <c r="D591" s="3">
        <f>IFERROR(__xludf.DUMMYFUNCTION("""COMPUTED_VALUE"""),42860.66666666667)</f>
        <v>42860.66667</v>
      </c>
      <c r="E591" s="2">
        <f>IFERROR(__xludf.DUMMYFUNCTION("""COMPUTED_VALUE"""),25.97)</f>
        <v>25.97</v>
      </c>
      <c r="G591" s="3">
        <f>IFERROR(__xludf.DUMMYFUNCTION("""COMPUTED_VALUE"""),42916.99861111111)</f>
        <v>42916.99861</v>
      </c>
      <c r="H591" s="2">
        <f>IFERROR(__xludf.DUMMYFUNCTION("""COMPUTED_VALUE"""),2455.19)</f>
        <v>2455.19</v>
      </c>
    </row>
    <row r="592">
      <c r="A592" s="3">
        <f>IFERROR(__xludf.DUMMYFUNCTION("""COMPUTED_VALUE"""),42863.66666666667)</f>
        <v>42863.66667</v>
      </c>
      <c r="B592" s="2">
        <f>IFERROR(__xludf.DUMMYFUNCTION("""COMPUTED_VALUE"""),39.04)</f>
        <v>39.04</v>
      </c>
      <c r="D592" s="3">
        <f>IFERROR(__xludf.DUMMYFUNCTION("""COMPUTED_VALUE"""),42863.66666666667)</f>
        <v>42863.66667</v>
      </c>
      <c r="E592" s="2">
        <f>IFERROR(__xludf.DUMMYFUNCTION("""COMPUTED_VALUE"""),25.69)</f>
        <v>25.69</v>
      </c>
      <c r="G592" s="3">
        <f>IFERROR(__xludf.DUMMYFUNCTION("""COMPUTED_VALUE"""),42917.99861111111)</f>
        <v>42917.99861</v>
      </c>
      <c r="H592" s="2">
        <f>IFERROR(__xludf.DUMMYFUNCTION("""COMPUTED_VALUE"""),2423.63)</f>
        <v>2423.63</v>
      </c>
    </row>
    <row r="593">
      <c r="A593" s="3">
        <f>IFERROR(__xludf.DUMMYFUNCTION("""COMPUTED_VALUE"""),42864.66666666667)</f>
        <v>42864.66667</v>
      </c>
      <c r="B593" s="2">
        <f>IFERROR(__xludf.DUMMYFUNCTION("""COMPUTED_VALUE"""),39.13)</f>
        <v>39.13</v>
      </c>
      <c r="D593" s="3">
        <f>IFERROR(__xludf.DUMMYFUNCTION("""COMPUTED_VALUE"""),42864.66666666667)</f>
        <v>42864.66667</v>
      </c>
      <c r="E593" s="2">
        <f>IFERROR(__xludf.DUMMYFUNCTION("""COMPUTED_VALUE"""),25.74)</f>
        <v>25.74</v>
      </c>
      <c r="G593" s="3">
        <f>IFERROR(__xludf.DUMMYFUNCTION("""COMPUTED_VALUE"""),42918.99861111111)</f>
        <v>42918.99861</v>
      </c>
      <c r="H593" s="2">
        <f>IFERROR(__xludf.DUMMYFUNCTION("""COMPUTED_VALUE"""),2516.66)</f>
        <v>2516.66</v>
      </c>
    </row>
    <row r="594">
      <c r="A594" s="3">
        <f>IFERROR(__xludf.DUMMYFUNCTION("""COMPUTED_VALUE"""),42865.66666666667)</f>
        <v>42865.66667</v>
      </c>
      <c r="B594" s="2">
        <f>IFERROR(__xludf.DUMMYFUNCTION("""COMPUTED_VALUE"""),39.21)</f>
        <v>39.21</v>
      </c>
      <c r="D594" s="3">
        <f>IFERROR(__xludf.DUMMYFUNCTION("""COMPUTED_VALUE"""),42865.66666666667)</f>
        <v>42865.66667</v>
      </c>
      <c r="E594" s="2">
        <f>IFERROR(__xludf.DUMMYFUNCTION("""COMPUTED_VALUE"""),30.32)</f>
        <v>30.32</v>
      </c>
      <c r="G594" s="3">
        <f>IFERROR(__xludf.DUMMYFUNCTION("""COMPUTED_VALUE"""),42919.99861111111)</f>
        <v>42919.99861</v>
      </c>
      <c r="H594" s="2">
        <f>IFERROR(__xludf.DUMMYFUNCTION("""COMPUTED_VALUE"""),2542.41)</f>
        <v>2542.41</v>
      </c>
    </row>
    <row r="595">
      <c r="A595" s="3">
        <f>IFERROR(__xludf.DUMMYFUNCTION("""COMPUTED_VALUE"""),42866.66666666667)</f>
        <v>42866.66667</v>
      </c>
      <c r="B595" s="2">
        <f>IFERROR(__xludf.DUMMYFUNCTION("""COMPUTED_VALUE"""),39.08)</f>
        <v>39.08</v>
      </c>
      <c r="D595" s="3">
        <f>IFERROR(__xludf.DUMMYFUNCTION("""COMPUTED_VALUE"""),42866.66666666667)</f>
        <v>42866.66667</v>
      </c>
      <c r="E595" s="2">
        <f>IFERROR(__xludf.DUMMYFUNCTION("""COMPUTED_VALUE"""),31.63)</f>
        <v>31.63</v>
      </c>
      <c r="G595" s="3">
        <f>IFERROR(__xludf.DUMMYFUNCTION("""COMPUTED_VALUE"""),42920.99861111111)</f>
        <v>42920.99861</v>
      </c>
      <c r="H595" s="2">
        <f>IFERROR(__xludf.DUMMYFUNCTION("""COMPUTED_VALUE"""),2602.0)</f>
        <v>2602</v>
      </c>
    </row>
    <row r="596">
      <c r="A596" s="3">
        <f>IFERROR(__xludf.DUMMYFUNCTION("""COMPUTED_VALUE"""),42867.66666666667)</f>
        <v>42867.66667</v>
      </c>
      <c r="B596" s="2">
        <f>IFERROR(__xludf.DUMMYFUNCTION("""COMPUTED_VALUE"""),38.98)</f>
        <v>38.98</v>
      </c>
      <c r="D596" s="3">
        <f>IFERROR(__xludf.DUMMYFUNCTION("""COMPUTED_VALUE"""),42867.66666666667)</f>
        <v>42867.66667</v>
      </c>
      <c r="E596" s="2">
        <f>IFERROR(__xludf.DUMMYFUNCTION("""COMPUTED_VALUE"""),31.97)</f>
        <v>31.97</v>
      </c>
      <c r="G596" s="3">
        <f>IFERROR(__xludf.DUMMYFUNCTION("""COMPUTED_VALUE"""),42921.99861111111)</f>
        <v>42921.99861</v>
      </c>
      <c r="H596" s="2">
        <f>IFERROR(__xludf.DUMMYFUNCTION("""COMPUTED_VALUE"""),2616.96)</f>
        <v>2616.96</v>
      </c>
    </row>
    <row r="597">
      <c r="A597" s="3">
        <f>IFERROR(__xludf.DUMMYFUNCTION("""COMPUTED_VALUE"""),42870.66666666667)</f>
        <v>42870.66667</v>
      </c>
      <c r="B597" s="2">
        <f>IFERROR(__xludf.DUMMYFUNCTION("""COMPUTED_VALUE"""),39.23)</f>
        <v>39.23</v>
      </c>
      <c r="D597" s="3">
        <f>IFERROR(__xludf.DUMMYFUNCTION("""COMPUTED_VALUE"""),42870.66666666667)</f>
        <v>42870.66667</v>
      </c>
      <c r="E597" s="2">
        <f>IFERROR(__xludf.DUMMYFUNCTION("""COMPUTED_VALUE"""),33.58)</f>
        <v>33.58</v>
      </c>
      <c r="G597" s="3">
        <f>IFERROR(__xludf.DUMMYFUNCTION("""COMPUTED_VALUE"""),42922.99861111111)</f>
        <v>42922.99861</v>
      </c>
      <c r="H597" s="2">
        <f>IFERROR(__xludf.DUMMYFUNCTION("""COMPUTED_VALUE"""),2604.84)</f>
        <v>2604.84</v>
      </c>
    </row>
    <row r="598">
      <c r="A598" s="3">
        <f>IFERROR(__xludf.DUMMYFUNCTION("""COMPUTED_VALUE"""),42871.66666666667)</f>
        <v>42871.66667</v>
      </c>
      <c r="B598" s="2">
        <f>IFERROR(__xludf.DUMMYFUNCTION("""COMPUTED_VALUE"""),39.08)</f>
        <v>39.08</v>
      </c>
      <c r="D598" s="3">
        <f>IFERROR(__xludf.DUMMYFUNCTION("""COMPUTED_VALUE"""),42871.66666666667)</f>
        <v>42871.66667</v>
      </c>
      <c r="E598" s="2">
        <f>IFERROR(__xludf.DUMMYFUNCTION("""COMPUTED_VALUE"""),34.2)</f>
        <v>34.2</v>
      </c>
      <c r="G598" s="3">
        <f>IFERROR(__xludf.DUMMYFUNCTION("""COMPUTED_VALUE"""),42923.99861111111)</f>
        <v>42923.99861</v>
      </c>
      <c r="H598" s="2">
        <f>IFERROR(__xludf.DUMMYFUNCTION("""COMPUTED_VALUE"""),2501.15)</f>
        <v>2501.15</v>
      </c>
    </row>
    <row r="599">
      <c r="A599" s="3">
        <f>IFERROR(__xludf.DUMMYFUNCTION("""COMPUTED_VALUE"""),42872.66666666667)</f>
        <v>42872.66667</v>
      </c>
      <c r="B599" s="2">
        <f>IFERROR(__xludf.DUMMYFUNCTION("""COMPUTED_VALUE"""),37.84)</f>
        <v>37.84</v>
      </c>
      <c r="D599" s="3">
        <f>IFERROR(__xludf.DUMMYFUNCTION("""COMPUTED_VALUE"""),42872.66666666667)</f>
        <v>42872.66667</v>
      </c>
      <c r="E599" s="2">
        <f>IFERROR(__xludf.DUMMYFUNCTION("""COMPUTED_VALUE"""),31.93)</f>
        <v>31.93</v>
      </c>
      <c r="G599" s="3">
        <f>IFERROR(__xludf.DUMMYFUNCTION("""COMPUTED_VALUE"""),42924.99861111111)</f>
        <v>42924.99861</v>
      </c>
      <c r="H599" s="2">
        <f>IFERROR(__xludf.DUMMYFUNCTION("""COMPUTED_VALUE"""),2561.11)</f>
        <v>2561.11</v>
      </c>
    </row>
    <row r="600">
      <c r="A600" s="3">
        <f>IFERROR(__xludf.DUMMYFUNCTION("""COMPUTED_VALUE"""),42873.66666666667)</f>
        <v>42873.66667</v>
      </c>
      <c r="B600" s="2">
        <f>IFERROR(__xludf.DUMMYFUNCTION("""COMPUTED_VALUE"""),37.45)</f>
        <v>37.45</v>
      </c>
      <c r="D600" s="3">
        <f>IFERROR(__xludf.DUMMYFUNCTION("""COMPUTED_VALUE"""),42873.66666666667)</f>
        <v>42873.66667</v>
      </c>
      <c r="E600" s="2">
        <f>IFERROR(__xludf.DUMMYFUNCTION("""COMPUTED_VALUE"""),33.27)</f>
        <v>33.27</v>
      </c>
      <c r="G600" s="3">
        <f>IFERROR(__xludf.DUMMYFUNCTION("""COMPUTED_VALUE"""),42925.99861111111)</f>
        <v>42925.99861</v>
      </c>
      <c r="H600" s="2">
        <f>IFERROR(__xludf.DUMMYFUNCTION("""COMPUTED_VALUE"""),2508.99)</f>
        <v>2508.99</v>
      </c>
    </row>
    <row r="601">
      <c r="A601" s="3">
        <f>IFERROR(__xludf.DUMMYFUNCTION("""COMPUTED_VALUE"""),42874.66666666667)</f>
        <v>42874.66667</v>
      </c>
      <c r="B601" s="2">
        <f>IFERROR(__xludf.DUMMYFUNCTION("""COMPUTED_VALUE"""),37.49)</f>
        <v>37.49</v>
      </c>
      <c r="D601" s="3">
        <f>IFERROR(__xludf.DUMMYFUNCTION("""COMPUTED_VALUE"""),42874.66666666667)</f>
        <v>42874.66667</v>
      </c>
      <c r="E601" s="2">
        <f>IFERROR(__xludf.DUMMYFUNCTION("""COMPUTED_VALUE"""),34.0)</f>
        <v>34</v>
      </c>
      <c r="G601" s="3">
        <f>IFERROR(__xludf.DUMMYFUNCTION("""COMPUTED_VALUE"""),42926.99861111111)</f>
        <v>42926.99861</v>
      </c>
      <c r="H601" s="2">
        <f>IFERROR(__xludf.DUMMYFUNCTION("""COMPUTED_VALUE"""),2331.05)</f>
        <v>2331.05</v>
      </c>
    </row>
    <row r="602">
      <c r="A602" s="3">
        <f>IFERROR(__xludf.DUMMYFUNCTION("""COMPUTED_VALUE"""),42877.66666666667)</f>
        <v>42877.66667</v>
      </c>
      <c r="B602" s="2">
        <f>IFERROR(__xludf.DUMMYFUNCTION("""COMPUTED_VALUE"""),37.64)</f>
        <v>37.64</v>
      </c>
      <c r="D602" s="3">
        <f>IFERROR(__xludf.DUMMYFUNCTION("""COMPUTED_VALUE"""),42877.66666666667)</f>
        <v>42877.66667</v>
      </c>
      <c r="E602" s="2">
        <f>IFERROR(__xludf.DUMMYFUNCTION("""COMPUTED_VALUE"""),34.73)</f>
        <v>34.73</v>
      </c>
      <c r="G602" s="3">
        <f>IFERROR(__xludf.DUMMYFUNCTION("""COMPUTED_VALUE"""),42927.99861111111)</f>
        <v>42927.99861</v>
      </c>
      <c r="H602" s="2">
        <f>IFERROR(__xludf.DUMMYFUNCTION("""COMPUTED_VALUE"""),2310.01)</f>
        <v>2310.01</v>
      </c>
    </row>
    <row r="603">
      <c r="A603" s="3">
        <f>IFERROR(__xludf.DUMMYFUNCTION("""COMPUTED_VALUE"""),42878.66666666667)</f>
        <v>42878.66667</v>
      </c>
      <c r="B603" s="2">
        <f>IFERROR(__xludf.DUMMYFUNCTION("""COMPUTED_VALUE"""),37.56)</f>
        <v>37.56</v>
      </c>
      <c r="D603" s="3">
        <f>IFERROR(__xludf.DUMMYFUNCTION("""COMPUTED_VALUE"""),42878.66666666667)</f>
        <v>42878.66667</v>
      </c>
      <c r="E603" s="2">
        <f>IFERROR(__xludf.DUMMYFUNCTION("""COMPUTED_VALUE"""),34.26)</f>
        <v>34.26</v>
      </c>
      <c r="G603" s="3">
        <f>IFERROR(__xludf.DUMMYFUNCTION("""COMPUTED_VALUE"""),42928.99861111111)</f>
        <v>42928.99861</v>
      </c>
      <c r="H603" s="2">
        <f>IFERROR(__xludf.DUMMYFUNCTION("""COMPUTED_VALUE"""),2383.42)</f>
        <v>2383.42</v>
      </c>
    </row>
    <row r="604">
      <c r="A604" s="3">
        <f>IFERROR(__xludf.DUMMYFUNCTION("""COMPUTED_VALUE"""),42879.66666666667)</f>
        <v>42879.66667</v>
      </c>
      <c r="B604" s="2">
        <f>IFERROR(__xludf.DUMMYFUNCTION("""COMPUTED_VALUE"""),38.07)</f>
        <v>38.07</v>
      </c>
      <c r="D604" s="3">
        <f>IFERROR(__xludf.DUMMYFUNCTION("""COMPUTED_VALUE"""),42879.66666666667)</f>
        <v>42879.66667</v>
      </c>
      <c r="E604" s="2">
        <f>IFERROR(__xludf.DUMMYFUNCTION("""COMPUTED_VALUE"""),34.64)</f>
        <v>34.64</v>
      </c>
      <c r="G604" s="3">
        <f>IFERROR(__xludf.DUMMYFUNCTION("""COMPUTED_VALUE"""),42929.99861111111)</f>
        <v>42929.99861</v>
      </c>
      <c r="H604" s="2">
        <f>IFERROR(__xludf.DUMMYFUNCTION("""COMPUTED_VALUE"""),2340.0)</f>
        <v>2340</v>
      </c>
    </row>
    <row r="605">
      <c r="A605" s="3">
        <f>IFERROR(__xludf.DUMMYFUNCTION("""COMPUTED_VALUE"""),42880.66666666667)</f>
        <v>42880.66667</v>
      </c>
      <c r="B605" s="2">
        <f>IFERROR(__xludf.DUMMYFUNCTION("""COMPUTED_VALUE"""),38.24)</f>
        <v>38.24</v>
      </c>
      <c r="D605" s="3">
        <f>IFERROR(__xludf.DUMMYFUNCTION("""COMPUTED_VALUE"""),42880.66666666667)</f>
        <v>42880.66667</v>
      </c>
      <c r="E605" s="2">
        <f>IFERROR(__xludf.DUMMYFUNCTION("""COMPUTED_VALUE"""),34.57)</f>
        <v>34.57</v>
      </c>
      <c r="G605" s="3">
        <f>IFERROR(__xludf.DUMMYFUNCTION("""COMPUTED_VALUE"""),42930.99861111111)</f>
        <v>42930.99861</v>
      </c>
      <c r="H605" s="2">
        <f>IFERROR(__xludf.DUMMYFUNCTION("""COMPUTED_VALUE"""),2217.24)</f>
        <v>2217.24</v>
      </c>
    </row>
    <row r="606">
      <c r="A606" s="3">
        <f>IFERROR(__xludf.DUMMYFUNCTION("""COMPUTED_VALUE"""),42881.66666666667)</f>
        <v>42881.66667</v>
      </c>
      <c r="B606" s="2">
        <f>IFERROR(__xludf.DUMMYFUNCTION("""COMPUTED_VALUE"""),38.36)</f>
        <v>38.36</v>
      </c>
      <c r="D606" s="3">
        <f>IFERROR(__xludf.DUMMYFUNCTION("""COMPUTED_VALUE"""),42881.66666666667)</f>
        <v>42881.66667</v>
      </c>
      <c r="E606" s="2">
        <f>IFERROR(__xludf.DUMMYFUNCTION("""COMPUTED_VALUE"""),35.46)</f>
        <v>35.46</v>
      </c>
      <c r="G606" s="3">
        <f>IFERROR(__xludf.DUMMYFUNCTION("""COMPUTED_VALUE"""),42931.99861111111)</f>
        <v>42931.99861</v>
      </c>
      <c r="H606" s="2">
        <f>IFERROR(__xludf.DUMMYFUNCTION("""COMPUTED_VALUE"""),1964.31)</f>
        <v>1964.31</v>
      </c>
    </row>
    <row r="607">
      <c r="A607" s="3">
        <f>IFERROR(__xludf.DUMMYFUNCTION("""COMPUTED_VALUE"""),42885.66666666667)</f>
        <v>42885.66667</v>
      </c>
      <c r="B607" s="2">
        <f>IFERROR(__xludf.DUMMYFUNCTION("""COMPUTED_VALUE"""),39.1)</f>
        <v>39.1</v>
      </c>
      <c r="D607" s="3">
        <f>IFERROR(__xludf.DUMMYFUNCTION("""COMPUTED_VALUE"""),42885.66666666667)</f>
        <v>42885.66667</v>
      </c>
      <c r="E607" s="2">
        <f>IFERROR(__xludf.DUMMYFUNCTION("""COMPUTED_VALUE"""),36.22)</f>
        <v>36.22</v>
      </c>
      <c r="G607" s="3">
        <f>IFERROR(__xludf.DUMMYFUNCTION("""COMPUTED_VALUE"""),42932.99861111111)</f>
        <v>42932.99861</v>
      </c>
      <c r="H607" s="2">
        <f>IFERROR(__xludf.DUMMYFUNCTION("""COMPUTED_VALUE"""),1911.78)</f>
        <v>1911.78</v>
      </c>
    </row>
    <row r="608">
      <c r="A608" s="3">
        <f>IFERROR(__xludf.DUMMYFUNCTION("""COMPUTED_VALUE"""),42886.66666666667)</f>
        <v>42886.66667</v>
      </c>
      <c r="B608" s="2">
        <f>IFERROR(__xludf.DUMMYFUNCTION("""COMPUTED_VALUE"""),38.64)</f>
        <v>38.64</v>
      </c>
      <c r="D608" s="3">
        <f>IFERROR(__xludf.DUMMYFUNCTION("""COMPUTED_VALUE"""),42886.66666666667)</f>
        <v>42886.66667</v>
      </c>
      <c r="E608" s="2">
        <f>IFERROR(__xludf.DUMMYFUNCTION("""COMPUTED_VALUE"""),36.09)</f>
        <v>36.09</v>
      </c>
      <c r="G608" s="3">
        <f>IFERROR(__xludf.DUMMYFUNCTION("""COMPUTED_VALUE"""),42933.99861111111)</f>
        <v>42933.99861</v>
      </c>
      <c r="H608" s="2">
        <f>IFERROR(__xludf.DUMMYFUNCTION("""COMPUTED_VALUE"""),2235.19)</f>
        <v>2235.19</v>
      </c>
    </row>
    <row r="609">
      <c r="A609" s="3">
        <f>IFERROR(__xludf.DUMMYFUNCTION("""COMPUTED_VALUE"""),42887.66666666667)</f>
        <v>42887.66667</v>
      </c>
      <c r="B609" s="2">
        <f>IFERROR(__xludf.DUMMYFUNCTION("""COMPUTED_VALUE"""),39.08)</f>
        <v>39.08</v>
      </c>
      <c r="D609" s="3">
        <f>IFERROR(__xludf.DUMMYFUNCTION("""COMPUTED_VALUE"""),42887.66666666667)</f>
        <v>42887.66667</v>
      </c>
      <c r="E609" s="2">
        <f>IFERROR(__xludf.DUMMYFUNCTION("""COMPUTED_VALUE"""),36.09)</f>
        <v>36.09</v>
      </c>
      <c r="G609" s="3">
        <f>IFERROR(__xludf.DUMMYFUNCTION("""COMPUTED_VALUE"""),42934.99861111111)</f>
        <v>42934.99861</v>
      </c>
      <c r="H609" s="2">
        <f>IFERROR(__xludf.DUMMYFUNCTION("""COMPUTED_VALUE"""),2308.15)</f>
        <v>2308.15</v>
      </c>
    </row>
    <row r="610">
      <c r="A610" s="3">
        <f>IFERROR(__xludf.DUMMYFUNCTION("""COMPUTED_VALUE"""),42888.66666666667)</f>
        <v>42888.66667</v>
      </c>
      <c r="B610" s="2">
        <f>IFERROR(__xludf.DUMMYFUNCTION("""COMPUTED_VALUE"""),39.76)</f>
        <v>39.76</v>
      </c>
      <c r="D610" s="3">
        <f>IFERROR(__xludf.DUMMYFUNCTION("""COMPUTED_VALUE"""),42888.66666666667)</f>
        <v>42888.66667</v>
      </c>
      <c r="E610" s="2">
        <f>IFERROR(__xludf.DUMMYFUNCTION("""COMPUTED_VALUE"""),35.91)</f>
        <v>35.91</v>
      </c>
      <c r="G610" s="3">
        <f>IFERROR(__xludf.DUMMYFUNCTION("""COMPUTED_VALUE"""),42935.99861111111)</f>
        <v>42935.99861</v>
      </c>
      <c r="H610" s="2">
        <f>IFERROR(__xludf.DUMMYFUNCTION("""COMPUTED_VALUE"""),2258.99)</f>
        <v>2258.99</v>
      </c>
    </row>
    <row r="611">
      <c r="A611" s="3">
        <f>IFERROR(__xludf.DUMMYFUNCTION("""COMPUTED_VALUE"""),42891.66666666667)</f>
        <v>42891.66667</v>
      </c>
      <c r="B611" s="2">
        <f>IFERROR(__xludf.DUMMYFUNCTION("""COMPUTED_VALUE"""),39.92)</f>
        <v>39.92</v>
      </c>
      <c r="D611" s="3">
        <f>IFERROR(__xludf.DUMMYFUNCTION("""COMPUTED_VALUE"""),42891.66666666667)</f>
        <v>42891.66667</v>
      </c>
      <c r="E611" s="2">
        <f>IFERROR(__xludf.DUMMYFUNCTION("""COMPUTED_VALUE"""),37.0)</f>
        <v>37</v>
      </c>
      <c r="G611" s="3">
        <f>IFERROR(__xludf.DUMMYFUNCTION("""COMPUTED_VALUE"""),42936.99861111111)</f>
        <v>42936.99861</v>
      </c>
      <c r="H611" s="2">
        <f>IFERROR(__xludf.DUMMYFUNCTION("""COMPUTED_VALUE"""),2873.48)</f>
        <v>2873.48</v>
      </c>
    </row>
    <row r="612">
      <c r="A612" s="3">
        <f>IFERROR(__xludf.DUMMYFUNCTION("""COMPUTED_VALUE"""),42892.66666666667)</f>
        <v>42892.66667</v>
      </c>
      <c r="B612" s="2">
        <f>IFERROR(__xludf.DUMMYFUNCTION("""COMPUTED_VALUE"""),40.25)</f>
        <v>40.25</v>
      </c>
      <c r="D612" s="3">
        <f>IFERROR(__xludf.DUMMYFUNCTION("""COMPUTED_VALUE"""),42892.66666666667)</f>
        <v>42892.66667</v>
      </c>
      <c r="E612" s="2">
        <f>IFERROR(__xludf.DUMMYFUNCTION("""COMPUTED_VALUE"""),36.84)</f>
        <v>36.84</v>
      </c>
      <c r="G612" s="3">
        <f>IFERROR(__xludf.DUMMYFUNCTION("""COMPUTED_VALUE"""),42937.99861111111)</f>
        <v>42937.99861</v>
      </c>
      <c r="H612" s="2">
        <f>IFERROR(__xludf.DUMMYFUNCTION("""COMPUTED_VALUE"""),2657.45)</f>
        <v>2657.45</v>
      </c>
    </row>
    <row r="613">
      <c r="A613" s="3">
        <f>IFERROR(__xludf.DUMMYFUNCTION("""COMPUTED_VALUE"""),42893.66666666667)</f>
        <v>42893.66667</v>
      </c>
      <c r="B613" s="2">
        <f>IFERROR(__xludf.DUMMYFUNCTION("""COMPUTED_VALUE"""),38.62)</f>
        <v>38.62</v>
      </c>
      <c r="D613" s="3">
        <f>IFERROR(__xludf.DUMMYFUNCTION("""COMPUTED_VALUE"""),42893.66666666667)</f>
        <v>42893.66667</v>
      </c>
      <c r="E613" s="2">
        <f>IFERROR(__xludf.DUMMYFUNCTION("""COMPUTED_VALUE"""),37.28)</f>
        <v>37.28</v>
      </c>
      <c r="G613" s="3">
        <f>IFERROR(__xludf.DUMMYFUNCTION("""COMPUTED_VALUE"""),42938.99861111111)</f>
        <v>42938.99861</v>
      </c>
      <c r="H613" s="2">
        <f>IFERROR(__xludf.DUMMYFUNCTION("""COMPUTED_VALUE"""),2825.27)</f>
        <v>2825.27</v>
      </c>
    </row>
    <row r="614">
      <c r="A614" s="3">
        <f>IFERROR(__xludf.DUMMYFUNCTION("""COMPUTED_VALUE"""),42894.66666666667)</f>
        <v>42894.66667</v>
      </c>
      <c r="B614" s="2">
        <f>IFERROR(__xludf.DUMMYFUNCTION("""COMPUTED_VALUE"""),38.3)</f>
        <v>38.3</v>
      </c>
      <c r="D614" s="3">
        <f>IFERROR(__xludf.DUMMYFUNCTION("""COMPUTED_VALUE"""),42894.66666666667)</f>
        <v>42894.66667</v>
      </c>
      <c r="E614" s="2">
        <f>IFERROR(__xludf.DUMMYFUNCTION("""COMPUTED_VALUE"""),39.99)</f>
        <v>39.99</v>
      </c>
      <c r="G614" s="3">
        <f>IFERROR(__xludf.DUMMYFUNCTION("""COMPUTED_VALUE"""),42939.99861111111)</f>
        <v>42939.99861</v>
      </c>
      <c r="H614" s="2">
        <f>IFERROR(__xludf.DUMMYFUNCTION("""COMPUTED_VALUE"""),2754.28)</f>
        <v>2754.28</v>
      </c>
    </row>
    <row r="615">
      <c r="A615" s="3">
        <f>IFERROR(__xludf.DUMMYFUNCTION("""COMPUTED_VALUE"""),42895.66666666667)</f>
        <v>42895.66667</v>
      </c>
      <c r="B615" s="2">
        <f>IFERROR(__xludf.DUMMYFUNCTION("""COMPUTED_VALUE"""),37.64)</f>
        <v>37.64</v>
      </c>
      <c r="D615" s="3">
        <f>IFERROR(__xludf.DUMMYFUNCTION("""COMPUTED_VALUE"""),42895.66666666667)</f>
        <v>42895.66667</v>
      </c>
      <c r="E615" s="2">
        <f>IFERROR(__xludf.DUMMYFUNCTION("""COMPUTED_VALUE"""),37.4)</f>
        <v>37.4</v>
      </c>
      <c r="G615" s="3">
        <f>IFERROR(__xludf.DUMMYFUNCTION("""COMPUTED_VALUE"""),42940.99861111111)</f>
        <v>42940.99861</v>
      </c>
      <c r="H615" s="2">
        <f>IFERROR(__xludf.DUMMYFUNCTION("""COMPUTED_VALUE"""),2762.26)</f>
        <v>2762.26</v>
      </c>
    </row>
    <row r="616">
      <c r="A616" s="3">
        <f>IFERROR(__xludf.DUMMYFUNCTION("""COMPUTED_VALUE"""),42898.66666666667)</f>
        <v>42898.66667</v>
      </c>
      <c r="B616" s="2">
        <f>IFERROR(__xludf.DUMMYFUNCTION("""COMPUTED_VALUE"""),37.0)</f>
        <v>37</v>
      </c>
      <c r="D616" s="3">
        <f>IFERROR(__xludf.DUMMYFUNCTION("""COMPUTED_VALUE"""),42898.66666666667)</f>
        <v>42898.66667</v>
      </c>
      <c r="E616" s="2">
        <f>IFERROR(__xludf.DUMMYFUNCTION("""COMPUTED_VALUE"""),37.49)</f>
        <v>37.49</v>
      </c>
      <c r="G616" s="3">
        <f>IFERROR(__xludf.DUMMYFUNCTION("""COMPUTED_VALUE"""),42941.99861111111)</f>
        <v>42941.99861</v>
      </c>
      <c r="H616" s="2">
        <f>IFERROR(__xludf.DUMMYFUNCTION("""COMPUTED_VALUE"""),2564.0)</f>
        <v>2564</v>
      </c>
    </row>
    <row r="617">
      <c r="A617" s="3">
        <f>IFERROR(__xludf.DUMMYFUNCTION("""COMPUTED_VALUE"""),42899.66666666667)</f>
        <v>42899.66667</v>
      </c>
      <c r="B617" s="2">
        <f>IFERROR(__xludf.DUMMYFUNCTION("""COMPUTED_VALUE"""),36.6)</f>
        <v>36.6</v>
      </c>
      <c r="D617" s="3">
        <f>IFERROR(__xludf.DUMMYFUNCTION("""COMPUTED_VALUE"""),42899.66666666667)</f>
        <v>42899.66667</v>
      </c>
      <c r="E617" s="2">
        <f>IFERROR(__xludf.DUMMYFUNCTION("""COMPUTED_VALUE"""),37.85)</f>
        <v>37.85</v>
      </c>
      <c r="G617" s="3">
        <f>IFERROR(__xludf.DUMMYFUNCTION("""COMPUTED_VALUE"""),42942.99861111111)</f>
        <v>42942.99861</v>
      </c>
      <c r="H617" s="2">
        <f>IFERROR(__xludf.DUMMYFUNCTION("""COMPUTED_VALUE"""),2525.99)</f>
        <v>2525.99</v>
      </c>
    </row>
    <row r="618">
      <c r="A618" s="3">
        <f>IFERROR(__xludf.DUMMYFUNCTION("""COMPUTED_VALUE"""),42900.66666666667)</f>
        <v>42900.66667</v>
      </c>
      <c r="B618" s="2">
        <f>IFERROR(__xludf.DUMMYFUNCTION("""COMPUTED_VALUE"""),36.34)</f>
        <v>36.34</v>
      </c>
      <c r="D618" s="3">
        <f>IFERROR(__xludf.DUMMYFUNCTION("""COMPUTED_VALUE"""),42900.66666666667)</f>
        <v>42900.66667</v>
      </c>
      <c r="E618" s="2">
        <f>IFERROR(__xludf.DUMMYFUNCTION("""COMPUTED_VALUE"""),37.93)</f>
        <v>37.93</v>
      </c>
      <c r="G618" s="3">
        <f>IFERROR(__xludf.DUMMYFUNCTION("""COMPUTED_VALUE"""),42943.99861111111)</f>
        <v>42943.99861</v>
      </c>
      <c r="H618" s="2">
        <f>IFERROR(__xludf.DUMMYFUNCTION("""COMPUTED_VALUE"""),2664.99)</f>
        <v>2664.99</v>
      </c>
    </row>
    <row r="619">
      <c r="A619" s="3">
        <f>IFERROR(__xludf.DUMMYFUNCTION("""COMPUTED_VALUE"""),42901.66666666667)</f>
        <v>42901.66667</v>
      </c>
      <c r="B619" s="2">
        <f>IFERROR(__xludf.DUMMYFUNCTION("""COMPUTED_VALUE"""),36.53)</f>
        <v>36.53</v>
      </c>
      <c r="D619" s="3">
        <f>IFERROR(__xludf.DUMMYFUNCTION("""COMPUTED_VALUE"""),42901.66666666667)</f>
        <v>42901.66667</v>
      </c>
      <c r="E619" s="2">
        <f>IFERROR(__xludf.DUMMYFUNCTION("""COMPUTED_VALUE"""),38.09)</f>
        <v>38.09</v>
      </c>
      <c r="G619" s="3">
        <f>IFERROR(__xludf.DUMMYFUNCTION("""COMPUTED_VALUE"""),42944.99861111111)</f>
        <v>42944.99861</v>
      </c>
      <c r="H619" s="2">
        <f>IFERROR(__xludf.DUMMYFUNCTION("""COMPUTED_VALUE"""),2786.07)</f>
        <v>2786.07</v>
      </c>
    </row>
    <row r="620">
      <c r="A620" s="3">
        <f>IFERROR(__xludf.DUMMYFUNCTION("""COMPUTED_VALUE"""),42902.66666666667)</f>
        <v>42902.66667</v>
      </c>
      <c r="B620" s="2">
        <f>IFERROR(__xludf.DUMMYFUNCTION("""COMPUTED_VALUE"""),37.98)</f>
        <v>37.98</v>
      </c>
      <c r="D620" s="3">
        <f>IFERROR(__xludf.DUMMYFUNCTION("""COMPUTED_VALUE"""),42902.66666666667)</f>
        <v>42902.66667</v>
      </c>
      <c r="E620" s="2">
        <f>IFERROR(__xludf.DUMMYFUNCTION("""COMPUTED_VALUE"""),37.91)</f>
        <v>37.91</v>
      </c>
      <c r="G620" s="3">
        <f>IFERROR(__xludf.DUMMYFUNCTION("""COMPUTED_VALUE"""),42945.99861111111)</f>
        <v>42945.99861</v>
      </c>
      <c r="H620" s="2">
        <f>IFERROR(__xludf.DUMMYFUNCTION("""COMPUTED_VALUE"""),2700.21)</f>
        <v>2700.21</v>
      </c>
    </row>
    <row r="621">
      <c r="A621" s="3">
        <f>IFERROR(__xludf.DUMMYFUNCTION("""COMPUTED_VALUE"""),42905.66666666667)</f>
        <v>42905.66667</v>
      </c>
      <c r="B621" s="2">
        <f>IFERROR(__xludf.DUMMYFUNCTION("""COMPUTED_VALUE"""),37.99)</f>
        <v>37.99</v>
      </c>
      <c r="D621" s="3">
        <f>IFERROR(__xludf.DUMMYFUNCTION("""COMPUTED_VALUE"""),42905.66666666667)</f>
        <v>42905.66667</v>
      </c>
      <c r="E621" s="2">
        <f>IFERROR(__xludf.DUMMYFUNCTION("""COMPUTED_VALUE"""),39.33)</f>
        <v>39.33</v>
      </c>
      <c r="G621" s="3">
        <f>IFERROR(__xludf.DUMMYFUNCTION("""COMPUTED_VALUE"""),42946.99861111111)</f>
        <v>42946.99861</v>
      </c>
      <c r="H621" s="2">
        <f>IFERROR(__xludf.DUMMYFUNCTION("""COMPUTED_VALUE"""),2723.99)</f>
        <v>2723.99</v>
      </c>
    </row>
    <row r="622">
      <c r="A622" s="3">
        <f>IFERROR(__xludf.DUMMYFUNCTION("""COMPUTED_VALUE"""),42906.66666666667)</f>
        <v>42906.66667</v>
      </c>
      <c r="B622" s="2">
        <f>IFERROR(__xludf.DUMMYFUNCTION("""COMPUTED_VALUE"""),37.95)</f>
        <v>37.95</v>
      </c>
      <c r="D622" s="3">
        <f>IFERROR(__xludf.DUMMYFUNCTION("""COMPUTED_VALUE"""),42906.66666666667)</f>
        <v>42906.66667</v>
      </c>
      <c r="E622" s="2">
        <f>IFERROR(__xludf.DUMMYFUNCTION("""COMPUTED_VALUE"""),39.27)</f>
        <v>39.27</v>
      </c>
      <c r="G622" s="3">
        <f>IFERROR(__xludf.DUMMYFUNCTION("""COMPUTED_VALUE"""),42947.99861111111)</f>
        <v>42947.99861</v>
      </c>
      <c r="H622" s="2">
        <f>IFERROR(__xludf.DUMMYFUNCTION("""COMPUTED_VALUE"""),2856.88)</f>
        <v>2856.88</v>
      </c>
    </row>
    <row r="623">
      <c r="A623" s="3">
        <f>IFERROR(__xludf.DUMMYFUNCTION("""COMPUTED_VALUE"""),42907.66666666667)</f>
        <v>42907.66667</v>
      </c>
      <c r="B623" s="2">
        <f>IFERROR(__xludf.DUMMYFUNCTION("""COMPUTED_VALUE"""),37.85)</f>
        <v>37.85</v>
      </c>
      <c r="D623" s="3">
        <f>IFERROR(__xludf.DUMMYFUNCTION("""COMPUTED_VALUE"""),42907.66666666667)</f>
        <v>42907.66667</v>
      </c>
      <c r="E623" s="2">
        <f>IFERROR(__xludf.DUMMYFUNCTION("""COMPUTED_VALUE"""),39.87)</f>
        <v>39.87</v>
      </c>
      <c r="G623" s="3">
        <f>IFERROR(__xludf.DUMMYFUNCTION("""COMPUTED_VALUE"""),42948.99861111111)</f>
        <v>42948.99861</v>
      </c>
      <c r="H623" s="2">
        <f>IFERROR(__xludf.DUMMYFUNCTION("""COMPUTED_VALUE"""),2732.59)</f>
        <v>2732.59</v>
      </c>
    </row>
    <row r="624">
      <c r="A624" s="3">
        <f>IFERROR(__xludf.DUMMYFUNCTION("""COMPUTED_VALUE"""),42908.66666666667)</f>
        <v>42908.66667</v>
      </c>
      <c r="B624" s="2">
        <f>IFERROR(__xludf.DUMMYFUNCTION("""COMPUTED_VALUE"""),38.1)</f>
        <v>38.1</v>
      </c>
      <c r="D624" s="3">
        <f>IFERROR(__xludf.DUMMYFUNCTION("""COMPUTED_VALUE"""),42908.66666666667)</f>
        <v>42908.66667</v>
      </c>
      <c r="E624" s="2">
        <f>IFERROR(__xludf.DUMMYFUNCTION("""COMPUTED_VALUE"""),39.59)</f>
        <v>39.59</v>
      </c>
      <c r="G624" s="3">
        <f>IFERROR(__xludf.DUMMYFUNCTION("""COMPUTED_VALUE"""),42949.99861111111)</f>
        <v>42949.99861</v>
      </c>
      <c r="H624" s="2">
        <f>IFERROR(__xludf.DUMMYFUNCTION("""COMPUTED_VALUE"""),2699.9)</f>
        <v>2699.9</v>
      </c>
    </row>
    <row r="625">
      <c r="A625" s="3">
        <f>IFERROR(__xludf.DUMMYFUNCTION("""COMPUTED_VALUE"""),42909.66666666667)</f>
        <v>42909.66667</v>
      </c>
      <c r="B625" s="2">
        <f>IFERROR(__xludf.DUMMYFUNCTION("""COMPUTED_VALUE"""),38.28)</f>
        <v>38.28</v>
      </c>
      <c r="D625" s="3">
        <f>IFERROR(__xludf.DUMMYFUNCTION("""COMPUTED_VALUE"""),42909.66666666667)</f>
        <v>42909.66667</v>
      </c>
      <c r="E625" s="2">
        <f>IFERROR(__xludf.DUMMYFUNCTION("""COMPUTED_VALUE"""),38.46)</f>
        <v>38.46</v>
      </c>
      <c r="G625" s="3">
        <f>IFERROR(__xludf.DUMMYFUNCTION("""COMPUTED_VALUE"""),42950.99861111111)</f>
        <v>42950.99861</v>
      </c>
      <c r="H625" s="2">
        <f>IFERROR(__xludf.DUMMYFUNCTION("""COMPUTED_VALUE"""),2787.02)</f>
        <v>2787.02</v>
      </c>
    </row>
    <row r="626">
      <c r="A626" s="3">
        <f>IFERROR(__xludf.DUMMYFUNCTION("""COMPUTED_VALUE"""),42912.66666666667)</f>
        <v>42912.66667</v>
      </c>
      <c r="B626" s="2">
        <f>IFERROR(__xludf.DUMMYFUNCTION("""COMPUTED_VALUE"""),38.17)</f>
        <v>38.17</v>
      </c>
      <c r="D626" s="3">
        <f>IFERROR(__xludf.DUMMYFUNCTION("""COMPUTED_VALUE"""),42912.66666666667)</f>
        <v>42912.66667</v>
      </c>
      <c r="E626" s="2">
        <f>IFERROR(__xludf.DUMMYFUNCTION("""COMPUTED_VALUE"""),38.04)</f>
        <v>38.04</v>
      </c>
      <c r="G626" s="3">
        <f>IFERROR(__xludf.DUMMYFUNCTION("""COMPUTED_VALUE"""),42951.99861111111)</f>
        <v>42951.99861</v>
      </c>
      <c r="H626" s="2">
        <f>IFERROR(__xludf.DUMMYFUNCTION("""COMPUTED_VALUE"""),2857.34)</f>
        <v>2857.34</v>
      </c>
    </row>
    <row r="627">
      <c r="A627" s="3">
        <f>IFERROR(__xludf.DUMMYFUNCTION("""COMPUTED_VALUE"""),42913.66666666667)</f>
        <v>42913.66667</v>
      </c>
      <c r="B627" s="2">
        <f>IFERROR(__xludf.DUMMYFUNCTION("""COMPUTED_VALUE"""),38.33)</f>
        <v>38.33</v>
      </c>
      <c r="D627" s="3">
        <f>IFERROR(__xludf.DUMMYFUNCTION("""COMPUTED_VALUE"""),42913.66666666667)</f>
        <v>42913.66667</v>
      </c>
      <c r="E627" s="2">
        <f>IFERROR(__xludf.DUMMYFUNCTION("""COMPUTED_VALUE"""),36.65)</f>
        <v>36.65</v>
      </c>
      <c r="G627" s="3">
        <f>IFERROR(__xludf.DUMMYFUNCTION("""COMPUTED_VALUE"""),42952.99861111111)</f>
        <v>42952.99861</v>
      </c>
      <c r="H627" s="2">
        <f>IFERROR(__xludf.DUMMYFUNCTION("""COMPUTED_VALUE"""),3243.49)</f>
        <v>3243.49</v>
      </c>
    </row>
    <row r="628">
      <c r="A628" s="3">
        <f>IFERROR(__xludf.DUMMYFUNCTION("""COMPUTED_VALUE"""),42914.66666666667)</f>
        <v>42914.66667</v>
      </c>
      <c r="B628" s="2">
        <f>IFERROR(__xludf.DUMMYFUNCTION("""COMPUTED_VALUE"""),38.96)</f>
        <v>38.96</v>
      </c>
      <c r="D628" s="3">
        <f>IFERROR(__xludf.DUMMYFUNCTION("""COMPUTED_VALUE"""),42914.66666666667)</f>
        <v>42914.66667</v>
      </c>
      <c r="E628" s="2">
        <f>IFERROR(__xludf.DUMMYFUNCTION("""COMPUTED_VALUE"""),37.94)</f>
        <v>37.94</v>
      </c>
      <c r="G628" s="3">
        <f>IFERROR(__xludf.DUMMYFUNCTION("""COMPUTED_VALUE"""),42953.99861111111)</f>
        <v>42953.99861</v>
      </c>
      <c r="H628" s="2">
        <f>IFERROR(__xludf.DUMMYFUNCTION("""COMPUTED_VALUE"""),3222.22)</f>
        <v>3222.22</v>
      </c>
    </row>
    <row r="629">
      <c r="A629" s="3">
        <f>IFERROR(__xludf.DUMMYFUNCTION("""COMPUTED_VALUE"""),42915.66666666667)</f>
        <v>42915.66667</v>
      </c>
      <c r="B629" s="2">
        <f>IFERROR(__xludf.DUMMYFUNCTION("""COMPUTED_VALUE"""),38.6)</f>
        <v>38.6</v>
      </c>
      <c r="D629" s="3">
        <f>IFERROR(__xludf.DUMMYFUNCTION("""COMPUTED_VALUE"""),42915.66666666667)</f>
        <v>42915.66667</v>
      </c>
      <c r="E629" s="2">
        <f>IFERROR(__xludf.DUMMYFUNCTION("""COMPUTED_VALUE"""),36.67)</f>
        <v>36.67</v>
      </c>
      <c r="G629" s="3">
        <f>IFERROR(__xludf.DUMMYFUNCTION("""COMPUTED_VALUE"""),42954.99861111111)</f>
        <v>42954.99861</v>
      </c>
      <c r="H629" s="2">
        <f>IFERROR(__xludf.DUMMYFUNCTION("""COMPUTED_VALUE"""),3398.23)</f>
        <v>3398.23</v>
      </c>
    </row>
    <row r="630">
      <c r="A630" s="3">
        <f>IFERROR(__xludf.DUMMYFUNCTION("""COMPUTED_VALUE"""),42916.66666666667)</f>
        <v>42916.66667</v>
      </c>
      <c r="B630" s="2">
        <f>IFERROR(__xludf.DUMMYFUNCTION("""COMPUTED_VALUE"""),38.93)</f>
        <v>38.93</v>
      </c>
      <c r="D630" s="3">
        <f>IFERROR(__xludf.DUMMYFUNCTION("""COMPUTED_VALUE"""),42916.66666666667)</f>
        <v>42916.66667</v>
      </c>
      <c r="E630" s="2">
        <f>IFERROR(__xludf.DUMMYFUNCTION("""COMPUTED_VALUE"""),36.14)</f>
        <v>36.14</v>
      </c>
      <c r="G630" s="3">
        <f>IFERROR(__xludf.DUMMYFUNCTION("""COMPUTED_VALUE"""),42955.99861111111)</f>
        <v>42955.99861</v>
      </c>
      <c r="H630" s="2">
        <f>IFERROR(__xludf.DUMMYFUNCTION("""COMPUTED_VALUE"""),3422.43)</f>
        <v>3422.43</v>
      </c>
    </row>
    <row r="631">
      <c r="A631" s="3">
        <f>IFERROR(__xludf.DUMMYFUNCTION("""COMPUTED_VALUE"""),42919.66666666667)</f>
        <v>42919.66667</v>
      </c>
      <c r="B631" s="2">
        <f>IFERROR(__xludf.DUMMYFUNCTION("""COMPUTED_VALUE"""),38.71)</f>
        <v>38.71</v>
      </c>
      <c r="D631" s="3">
        <f>IFERROR(__xludf.DUMMYFUNCTION("""COMPUTED_VALUE"""),42919.66666666667)</f>
        <v>42919.66667</v>
      </c>
      <c r="E631" s="2">
        <f>IFERROR(__xludf.DUMMYFUNCTION("""COMPUTED_VALUE"""),34.83)</f>
        <v>34.83</v>
      </c>
      <c r="G631" s="3">
        <f>IFERROR(__xludf.DUMMYFUNCTION("""COMPUTED_VALUE"""),42956.99861111111)</f>
        <v>42956.99861</v>
      </c>
      <c r="H631" s="2">
        <f>IFERROR(__xludf.DUMMYFUNCTION("""COMPUTED_VALUE"""),3342.8)</f>
        <v>3342.8</v>
      </c>
    </row>
    <row r="632">
      <c r="A632" s="3">
        <f>IFERROR(__xludf.DUMMYFUNCTION("""COMPUTED_VALUE"""),42921.66666666667)</f>
        <v>42921.66667</v>
      </c>
      <c r="B632" s="2">
        <f>IFERROR(__xludf.DUMMYFUNCTION("""COMPUTED_VALUE"""),39.15)</f>
        <v>39.15</v>
      </c>
      <c r="D632" s="3">
        <f>IFERROR(__xludf.DUMMYFUNCTION("""COMPUTED_VALUE"""),42921.66666666667)</f>
        <v>42921.66667</v>
      </c>
      <c r="E632" s="2">
        <f>IFERROR(__xludf.DUMMYFUNCTION("""COMPUTED_VALUE"""),35.76)</f>
        <v>35.76</v>
      </c>
      <c r="G632" s="3">
        <f>IFERROR(__xludf.DUMMYFUNCTION("""COMPUTED_VALUE"""),42957.99861111111)</f>
        <v>42957.99861</v>
      </c>
      <c r="H632" s="2">
        <f>IFERROR(__xludf.DUMMYFUNCTION("""COMPUTED_VALUE"""),3444.98)</f>
        <v>3444.98</v>
      </c>
    </row>
    <row r="633">
      <c r="A633" s="3">
        <f>IFERROR(__xludf.DUMMYFUNCTION("""COMPUTED_VALUE"""),42922.66666666667)</f>
        <v>42922.66667</v>
      </c>
      <c r="B633" s="2">
        <f>IFERROR(__xludf.DUMMYFUNCTION("""COMPUTED_VALUE"""),38.69)</f>
        <v>38.69</v>
      </c>
      <c r="D633" s="3">
        <f>IFERROR(__xludf.DUMMYFUNCTION("""COMPUTED_VALUE"""),42922.66666666667)</f>
        <v>42922.66667</v>
      </c>
      <c r="E633" s="2">
        <f>IFERROR(__xludf.DUMMYFUNCTION("""COMPUTED_VALUE"""),35.87)</f>
        <v>35.87</v>
      </c>
      <c r="G633" s="3">
        <f>IFERROR(__xludf.DUMMYFUNCTION("""COMPUTED_VALUE"""),42958.99861111111)</f>
        <v>42958.99861</v>
      </c>
      <c r="H633" s="2">
        <f>IFERROR(__xludf.DUMMYFUNCTION("""COMPUTED_VALUE"""),3656.15)</f>
        <v>3656.15</v>
      </c>
    </row>
    <row r="634">
      <c r="A634" s="3">
        <f>IFERROR(__xludf.DUMMYFUNCTION("""COMPUTED_VALUE"""),42923.66666666667)</f>
        <v>42923.66667</v>
      </c>
      <c r="B634" s="2">
        <f>IFERROR(__xludf.DUMMYFUNCTION("""COMPUTED_VALUE"""),40.07)</f>
        <v>40.07</v>
      </c>
      <c r="D634" s="3">
        <f>IFERROR(__xludf.DUMMYFUNCTION("""COMPUTED_VALUE"""),42923.66666666667)</f>
        <v>42923.66667</v>
      </c>
      <c r="E634" s="2">
        <f>IFERROR(__xludf.DUMMYFUNCTION("""COMPUTED_VALUE"""),36.69)</f>
        <v>36.69</v>
      </c>
      <c r="G634" s="3">
        <f>IFERROR(__xludf.DUMMYFUNCTION("""COMPUTED_VALUE"""),42959.99861111111)</f>
        <v>42959.99861</v>
      </c>
      <c r="H634" s="2">
        <f>IFERROR(__xludf.DUMMYFUNCTION("""COMPUTED_VALUE"""),3874.0)</f>
        <v>3874</v>
      </c>
    </row>
    <row r="635">
      <c r="A635" s="3">
        <f>IFERROR(__xludf.DUMMYFUNCTION("""COMPUTED_VALUE"""),42926.66666666667)</f>
        <v>42926.66667</v>
      </c>
      <c r="B635" s="2">
        <f>IFERROR(__xludf.DUMMYFUNCTION("""COMPUTED_VALUE"""),40.49)</f>
        <v>40.49</v>
      </c>
      <c r="D635" s="3">
        <f>IFERROR(__xludf.DUMMYFUNCTION("""COMPUTED_VALUE"""),42926.66666666667)</f>
        <v>42926.66667</v>
      </c>
      <c r="E635" s="2">
        <f>IFERROR(__xludf.DUMMYFUNCTION("""COMPUTED_VALUE"""),38.42)</f>
        <v>38.42</v>
      </c>
      <c r="G635" s="3">
        <f>IFERROR(__xludf.DUMMYFUNCTION("""COMPUTED_VALUE"""),42960.99861111111)</f>
        <v>42960.99861</v>
      </c>
      <c r="H635" s="2">
        <f>IFERROR(__xludf.DUMMYFUNCTION("""COMPUTED_VALUE"""),4060.47)</f>
        <v>4060.47</v>
      </c>
    </row>
    <row r="636">
      <c r="A636" s="3">
        <f>IFERROR(__xludf.DUMMYFUNCTION("""COMPUTED_VALUE"""),42927.66666666667)</f>
        <v>42927.66667</v>
      </c>
      <c r="B636" s="2">
        <f>IFERROR(__xludf.DUMMYFUNCTION("""COMPUTED_VALUE"""),40.34)</f>
        <v>40.34</v>
      </c>
      <c r="D636" s="3">
        <f>IFERROR(__xludf.DUMMYFUNCTION("""COMPUTED_VALUE"""),42927.66666666667)</f>
        <v>42927.66667</v>
      </c>
      <c r="E636" s="2">
        <f>IFERROR(__xludf.DUMMYFUNCTION("""COMPUTED_VALUE"""),38.97)</f>
        <v>38.97</v>
      </c>
      <c r="G636" s="3">
        <f>IFERROR(__xludf.DUMMYFUNCTION("""COMPUTED_VALUE"""),42961.99861111111)</f>
        <v>42961.99861</v>
      </c>
      <c r="H636" s="2">
        <f>IFERROR(__xludf.DUMMYFUNCTION("""COMPUTED_VALUE"""),4320.6)</f>
        <v>4320.6</v>
      </c>
    </row>
    <row r="637">
      <c r="A637" s="3">
        <f>IFERROR(__xludf.DUMMYFUNCTION("""COMPUTED_VALUE"""),42928.66666666667)</f>
        <v>42928.66667</v>
      </c>
      <c r="B637" s="2">
        <f>IFERROR(__xludf.DUMMYFUNCTION("""COMPUTED_VALUE"""),40.95)</f>
        <v>40.95</v>
      </c>
      <c r="D637" s="3">
        <f>IFERROR(__xludf.DUMMYFUNCTION("""COMPUTED_VALUE"""),42928.66666666667)</f>
        <v>42928.66667</v>
      </c>
      <c r="E637" s="2">
        <f>IFERROR(__xludf.DUMMYFUNCTION("""COMPUTED_VALUE"""),40.63)</f>
        <v>40.63</v>
      </c>
      <c r="G637" s="3">
        <f>IFERROR(__xludf.DUMMYFUNCTION("""COMPUTED_VALUE"""),42962.99861111111)</f>
        <v>42962.99861</v>
      </c>
      <c r="H637" s="2">
        <f>IFERROR(__xludf.DUMMYFUNCTION("""COMPUTED_VALUE"""),4159.93)</f>
        <v>4159.93</v>
      </c>
    </row>
    <row r="638">
      <c r="A638" s="3">
        <f>IFERROR(__xludf.DUMMYFUNCTION("""COMPUTED_VALUE"""),42929.66666666667)</f>
        <v>42929.66667</v>
      </c>
      <c r="B638" s="2">
        <f>IFERROR(__xludf.DUMMYFUNCTION("""COMPUTED_VALUE"""),41.32)</f>
        <v>41.32</v>
      </c>
      <c r="D638" s="3">
        <f>IFERROR(__xludf.DUMMYFUNCTION("""COMPUTED_VALUE"""),42929.66666666667)</f>
        <v>42929.66667</v>
      </c>
      <c r="E638" s="2">
        <f>IFERROR(__xludf.DUMMYFUNCTION("""COMPUTED_VALUE"""),40.16)</f>
        <v>40.16</v>
      </c>
      <c r="G638" s="3">
        <f>IFERROR(__xludf.DUMMYFUNCTION("""COMPUTED_VALUE"""),42963.99861111111)</f>
        <v>42963.99861</v>
      </c>
      <c r="H638" s="2">
        <f>IFERROR(__xludf.DUMMYFUNCTION("""COMPUTED_VALUE"""),4370.01)</f>
        <v>4370.01</v>
      </c>
    </row>
    <row r="639">
      <c r="A639" s="3">
        <f>IFERROR(__xludf.DUMMYFUNCTION("""COMPUTED_VALUE"""),42930.66666666667)</f>
        <v>42930.66667</v>
      </c>
      <c r="B639" s="2">
        <f>IFERROR(__xludf.DUMMYFUNCTION("""COMPUTED_VALUE"""),41.61)</f>
        <v>41.61</v>
      </c>
      <c r="D639" s="3">
        <f>IFERROR(__xludf.DUMMYFUNCTION("""COMPUTED_VALUE"""),42930.66666666667)</f>
        <v>42930.66667</v>
      </c>
      <c r="E639" s="2">
        <f>IFERROR(__xludf.DUMMYFUNCTION("""COMPUTED_VALUE"""),41.24)</f>
        <v>41.24</v>
      </c>
      <c r="G639" s="3">
        <f>IFERROR(__xludf.DUMMYFUNCTION("""COMPUTED_VALUE"""),42964.99861111111)</f>
        <v>42964.99861</v>
      </c>
      <c r="H639" s="2">
        <f>IFERROR(__xludf.DUMMYFUNCTION("""COMPUTED_VALUE"""),4280.01)</f>
        <v>4280.01</v>
      </c>
    </row>
    <row r="640">
      <c r="A640" s="3">
        <f>IFERROR(__xludf.DUMMYFUNCTION("""COMPUTED_VALUE"""),42933.66666666667)</f>
        <v>42933.66667</v>
      </c>
      <c r="B640" s="2">
        <f>IFERROR(__xludf.DUMMYFUNCTION("""COMPUTED_VALUE"""),41.95)</f>
        <v>41.95</v>
      </c>
      <c r="D640" s="3">
        <f>IFERROR(__xludf.DUMMYFUNCTION("""COMPUTED_VALUE"""),42933.66666666667)</f>
        <v>42933.66667</v>
      </c>
      <c r="E640" s="2">
        <f>IFERROR(__xludf.DUMMYFUNCTION("""COMPUTED_VALUE"""),41.06)</f>
        <v>41.06</v>
      </c>
      <c r="G640" s="3">
        <f>IFERROR(__xludf.DUMMYFUNCTION("""COMPUTED_VALUE"""),42965.99861111111)</f>
        <v>42965.99861</v>
      </c>
      <c r="H640" s="2">
        <f>IFERROR(__xludf.DUMMYFUNCTION("""COMPUTED_VALUE"""),4101.72)</f>
        <v>4101.72</v>
      </c>
    </row>
    <row r="641">
      <c r="A641" s="3">
        <f>IFERROR(__xludf.DUMMYFUNCTION("""COMPUTED_VALUE"""),42934.66666666667)</f>
        <v>42934.66667</v>
      </c>
      <c r="B641" s="2">
        <f>IFERROR(__xludf.DUMMYFUNCTION("""COMPUTED_VALUE"""),41.7)</f>
        <v>41.7</v>
      </c>
      <c r="D641" s="3">
        <f>IFERROR(__xludf.DUMMYFUNCTION("""COMPUTED_VALUE"""),42934.66666666667)</f>
        <v>42934.66667</v>
      </c>
      <c r="E641" s="2">
        <f>IFERROR(__xludf.DUMMYFUNCTION("""COMPUTED_VALUE"""),41.49)</f>
        <v>41.49</v>
      </c>
      <c r="G641" s="3">
        <f>IFERROR(__xludf.DUMMYFUNCTION("""COMPUTED_VALUE"""),42966.99861111111)</f>
        <v>42966.99861</v>
      </c>
      <c r="H641" s="2">
        <f>IFERROR(__xludf.DUMMYFUNCTION("""COMPUTED_VALUE"""),4157.41)</f>
        <v>4157.41</v>
      </c>
    </row>
    <row r="642">
      <c r="A642" s="3">
        <f>IFERROR(__xludf.DUMMYFUNCTION("""COMPUTED_VALUE"""),42935.66666666667)</f>
        <v>42935.66667</v>
      </c>
      <c r="B642" s="2">
        <f>IFERROR(__xludf.DUMMYFUNCTION("""COMPUTED_VALUE"""),41.94)</f>
        <v>41.94</v>
      </c>
      <c r="D642" s="3">
        <f>IFERROR(__xludf.DUMMYFUNCTION("""COMPUTED_VALUE"""),42935.66666666667)</f>
        <v>42935.66667</v>
      </c>
      <c r="E642" s="2">
        <f>IFERROR(__xludf.DUMMYFUNCTION("""COMPUTED_VALUE"""),41.28)</f>
        <v>41.28</v>
      </c>
      <c r="G642" s="3">
        <f>IFERROR(__xludf.DUMMYFUNCTION("""COMPUTED_VALUE"""),42967.99861111111)</f>
        <v>42967.99861</v>
      </c>
      <c r="H642" s="2">
        <f>IFERROR(__xludf.DUMMYFUNCTION("""COMPUTED_VALUE"""),4050.99)</f>
        <v>4050.99</v>
      </c>
    </row>
    <row r="643">
      <c r="A643" s="3">
        <f>IFERROR(__xludf.DUMMYFUNCTION("""COMPUTED_VALUE"""),42936.66666666667)</f>
        <v>42936.66667</v>
      </c>
      <c r="B643" s="2">
        <f>IFERROR(__xludf.DUMMYFUNCTION("""COMPUTED_VALUE"""),41.8)</f>
        <v>41.8</v>
      </c>
      <c r="D643" s="3">
        <f>IFERROR(__xludf.DUMMYFUNCTION("""COMPUTED_VALUE"""),42936.66666666667)</f>
        <v>42936.66667</v>
      </c>
      <c r="E643" s="2">
        <f>IFERROR(__xludf.DUMMYFUNCTION("""COMPUTED_VALUE"""),41.88)</f>
        <v>41.88</v>
      </c>
      <c r="G643" s="3">
        <f>IFERROR(__xludf.DUMMYFUNCTION("""COMPUTED_VALUE"""),42968.99861111111)</f>
        <v>42968.99861</v>
      </c>
      <c r="H643" s="2">
        <f>IFERROR(__xludf.DUMMYFUNCTION("""COMPUTED_VALUE"""),4002.0)</f>
        <v>4002</v>
      </c>
    </row>
    <row r="644">
      <c r="A644" s="3">
        <f>IFERROR(__xludf.DUMMYFUNCTION("""COMPUTED_VALUE"""),42937.66666666667)</f>
        <v>42937.66667</v>
      </c>
      <c r="B644" s="2">
        <f>IFERROR(__xludf.DUMMYFUNCTION("""COMPUTED_VALUE"""),41.97)</f>
        <v>41.97</v>
      </c>
      <c r="D644" s="3">
        <f>IFERROR(__xludf.DUMMYFUNCTION("""COMPUTED_VALUE"""),42937.66666666667)</f>
        <v>42937.66667</v>
      </c>
      <c r="E644" s="2">
        <f>IFERROR(__xludf.DUMMYFUNCTION("""COMPUTED_VALUE"""),42.03)</f>
        <v>42.03</v>
      </c>
      <c r="G644" s="3">
        <f>IFERROR(__xludf.DUMMYFUNCTION("""COMPUTED_VALUE"""),42969.99861111111)</f>
        <v>42969.99861</v>
      </c>
      <c r="H644" s="2">
        <f>IFERROR(__xludf.DUMMYFUNCTION("""COMPUTED_VALUE"""),4092.0)</f>
        <v>4092</v>
      </c>
    </row>
    <row r="645">
      <c r="A645" s="3">
        <f>IFERROR(__xludf.DUMMYFUNCTION("""COMPUTED_VALUE"""),42940.66666666667)</f>
        <v>42940.66667</v>
      </c>
      <c r="B645" s="2">
        <f>IFERROR(__xludf.DUMMYFUNCTION("""COMPUTED_VALUE"""),42.5)</f>
        <v>42.5</v>
      </c>
      <c r="D645" s="3">
        <f>IFERROR(__xludf.DUMMYFUNCTION("""COMPUTED_VALUE"""),42940.66666666667)</f>
        <v>42940.66667</v>
      </c>
      <c r="E645" s="2">
        <f>IFERROR(__xludf.DUMMYFUNCTION("""COMPUTED_VALUE"""),41.54)</f>
        <v>41.54</v>
      </c>
      <c r="G645" s="3">
        <f>IFERROR(__xludf.DUMMYFUNCTION("""COMPUTED_VALUE"""),42970.99861111111)</f>
        <v>42970.99861</v>
      </c>
      <c r="H645" s="2">
        <f>IFERROR(__xludf.DUMMYFUNCTION("""COMPUTED_VALUE"""),4143.49)</f>
        <v>4143.49</v>
      </c>
    </row>
    <row r="646">
      <c r="A646" s="3">
        <f>IFERROR(__xludf.DUMMYFUNCTION("""COMPUTED_VALUE"""),42941.66666666667)</f>
        <v>42941.66667</v>
      </c>
      <c r="B646" s="2">
        <f>IFERROR(__xludf.DUMMYFUNCTION("""COMPUTED_VALUE"""),42.83)</f>
        <v>42.83</v>
      </c>
      <c r="D646" s="3">
        <f>IFERROR(__xludf.DUMMYFUNCTION("""COMPUTED_VALUE"""),42941.66666666667)</f>
        <v>42941.66667</v>
      </c>
      <c r="E646" s="2">
        <f>IFERROR(__xludf.DUMMYFUNCTION("""COMPUTED_VALUE"""),41.34)</f>
        <v>41.34</v>
      </c>
      <c r="G646" s="3">
        <f>IFERROR(__xludf.DUMMYFUNCTION("""COMPUTED_VALUE"""),42971.99861111111)</f>
        <v>42971.99861</v>
      </c>
      <c r="H646" s="2">
        <f>IFERROR(__xludf.DUMMYFUNCTION("""COMPUTED_VALUE"""),4312.03)</f>
        <v>4312.03</v>
      </c>
    </row>
    <row r="647">
      <c r="A647" s="3">
        <f>IFERROR(__xludf.DUMMYFUNCTION("""COMPUTED_VALUE"""),42942.66666666667)</f>
        <v>42942.66667</v>
      </c>
      <c r="B647" s="2">
        <f>IFERROR(__xludf.DUMMYFUNCTION("""COMPUTED_VALUE"""),42.53)</f>
        <v>42.53</v>
      </c>
      <c r="D647" s="3">
        <f>IFERROR(__xludf.DUMMYFUNCTION("""COMPUTED_VALUE"""),42942.66666666667)</f>
        <v>42942.66667</v>
      </c>
      <c r="E647" s="2">
        <f>IFERROR(__xludf.DUMMYFUNCTION("""COMPUTED_VALUE"""),41.82)</f>
        <v>41.82</v>
      </c>
      <c r="G647" s="3">
        <f>IFERROR(__xludf.DUMMYFUNCTION("""COMPUTED_VALUE"""),42972.99861111111)</f>
        <v>42972.99861</v>
      </c>
      <c r="H647" s="2">
        <f>IFERROR(__xludf.DUMMYFUNCTION("""COMPUTED_VALUE"""),4360.0)</f>
        <v>4360</v>
      </c>
    </row>
    <row r="648">
      <c r="A648" s="3">
        <f>IFERROR(__xludf.DUMMYFUNCTION("""COMPUTED_VALUE"""),42943.66666666667)</f>
        <v>42943.66667</v>
      </c>
      <c r="B648" s="2">
        <f>IFERROR(__xludf.DUMMYFUNCTION("""COMPUTED_VALUE"""),42.22)</f>
        <v>42.22</v>
      </c>
      <c r="D648" s="3">
        <f>IFERROR(__xludf.DUMMYFUNCTION("""COMPUTED_VALUE"""),42943.66666666667)</f>
        <v>42943.66667</v>
      </c>
      <c r="E648" s="2">
        <f>IFERROR(__xludf.DUMMYFUNCTION("""COMPUTED_VALUE"""),40.44)</f>
        <v>40.44</v>
      </c>
      <c r="G648" s="3">
        <f>IFERROR(__xludf.DUMMYFUNCTION("""COMPUTED_VALUE"""),42973.99861111111)</f>
        <v>42973.99861</v>
      </c>
      <c r="H648" s="2">
        <f>IFERROR(__xludf.DUMMYFUNCTION("""COMPUTED_VALUE"""),4344.32)</f>
        <v>4344.32</v>
      </c>
    </row>
    <row r="649">
      <c r="A649" s="3">
        <f>IFERROR(__xludf.DUMMYFUNCTION("""COMPUTED_VALUE"""),42944.66666666667)</f>
        <v>42944.66667</v>
      </c>
      <c r="B649" s="2">
        <f>IFERROR(__xludf.DUMMYFUNCTION("""COMPUTED_VALUE"""),41.92)</f>
        <v>41.92</v>
      </c>
      <c r="D649" s="3">
        <f>IFERROR(__xludf.DUMMYFUNCTION("""COMPUTED_VALUE"""),42944.66666666667)</f>
        <v>42944.66667</v>
      </c>
      <c r="E649" s="2">
        <f>IFERROR(__xludf.DUMMYFUNCTION("""COMPUTED_VALUE"""),41.1)</f>
        <v>41.1</v>
      </c>
      <c r="G649" s="3">
        <f>IFERROR(__xludf.DUMMYFUNCTION("""COMPUTED_VALUE"""),42974.99861111111)</f>
        <v>42974.99861</v>
      </c>
      <c r="H649" s="2">
        <f>IFERROR(__xludf.DUMMYFUNCTION("""COMPUTED_VALUE"""),4340.11)</f>
        <v>4340.11</v>
      </c>
    </row>
    <row r="650">
      <c r="A650" s="3">
        <f>IFERROR(__xludf.DUMMYFUNCTION("""COMPUTED_VALUE"""),42947.66666666667)</f>
        <v>42947.66667</v>
      </c>
      <c r="B650" s="2">
        <f>IFERROR(__xludf.DUMMYFUNCTION("""COMPUTED_VALUE"""),41.59)</f>
        <v>41.59</v>
      </c>
      <c r="D650" s="3">
        <f>IFERROR(__xludf.DUMMYFUNCTION("""COMPUTED_VALUE"""),42947.66666666667)</f>
        <v>42947.66667</v>
      </c>
      <c r="E650" s="2">
        <f>IFERROR(__xludf.DUMMYFUNCTION("""COMPUTED_VALUE"""),40.63)</f>
        <v>40.63</v>
      </c>
      <c r="G650" s="3">
        <f>IFERROR(__xludf.DUMMYFUNCTION("""COMPUTED_VALUE"""),42975.99861111111)</f>
        <v>42975.99861</v>
      </c>
      <c r="H650" s="2">
        <f>IFERROR(__xludf.DUMMYFUNCTION("""COMPUTED_VALUE"""),4384.99)</f>
        <v>4384.99</v>
      </c>
    </row>
    <row r="651">
      <c r="A651" s="3">
        <f>IFERROR(__xludf.DUMMYFUNCTION("""COMPUTED_VALUE"""),42948.66666666667)</f>
        <v>42948.66667</v>
      </c>
      <c r="B651" s="2">
        <f>IFERROR(__xludf.DUMMYFUNCTION("""COMPUTED_VALUE"""),41.99)</f>
        <v>41.99</v>
      </c>
      <c r="D651" s="3">
        <f>IFERROR(__xludf.DUMMYFUNCTION("""COMPUTED_VALUE"""),42948.66666666667)</f>
        <v>42948.66667</v>
      </c>
      <c r="E651" s="2">
        <f>IFERROR(__xludf.DUMMYFUNCTION("""COMPUTED_VALUE"""),41.12)</f>
        <v>41.12</v>
      </c>
      <c r="G651" s="3">
        <f>IFERROR(__xludf.DUMMYFUNCTION("""COMPUTED_VALUE"""),42976.99861111111)</f>
        <v>42976.99861</v>
      </c>
      <c r="H651" s="2">
        <f>IFERROR(__xludf.DUMMYFUNCTION("""COMPUTED_VALUE"""),4599.0)</f>
        <v>4599</v>
      </c>
    </row>
    <row r="652">
      <c r="A652" s="3">
        <f>IFERROR(__xludf.DUMMYFUNCTION("""COMPUTED_VALUE"""),42949.66666666667)</f>
        <v>42949.66667</v>
      </c>
      <c r="B652" s="2">
        <f>IFERROR(__xludf.DUMMYFUNCTION("""COMPUTED_VALUE"""),41.69)</f>
        <v>41.69</v>
      </c>
      <c r="D652" s="3">
        <f>IFERROR(__xludf.DUMMYFUNCTION("""COMPUTED_VALUE"""),42949.66666666667)</f>
        <v>42949.66667</v>
      </c>
      <c r="E652" s="2">
        <f>IFERROR(__xludf.DUMMYFUNCTION("""COMPUTED_VALUE"""),41.1)</f>
        <v>41.1</v>
      </c>
      <c r="G652" s="3">
        <f>IFERROR(__xludf.DUMMYFUNCTION("""COMPUTED_VALUE"""),42977.99861111111)</f>
        <v>42977.99861</v>
      </c>
      <c r="H652" s="2">
        <f>IFERROR(__xludf.DUMMYFUNCTION("""COMPUTED_VALUE"""),4581.98)</f>
        <v>4581.98</v>
      </c>
    </row>
    <row r="653">
      <c r="A653" s="3">
        <f>IFERROR(__xludf.DUMMYFUNCTION("""COMPUTED_VALUE"""),42950.66666666667)</f>
        <v>42950.66667</v>
      </c>
      <c r="B653" s="2">
        <f>IFERROR(__xludf.DUMMYFUNCTION("""COMPUTED_VALUE"""),41.65)</f>
        <v>41.65</v>
      </c>
      <c r="D653" s="3">
        <f>IFERROR(__xludf.DUMMYFUNCTION("""COMPUTED_VALUE"""),42950.66666666667)</f>
        <v>42950.66667</v>
      </c>
      <c r="E653" s="2">
        <f>IFERROR(__xludf.DUMMYFUNCTION("""COMPUTED_VALUE"""),41.62)</f>
        <v>41.62</v>
      </c>
      <c r="G653" s="3">
        <f>IFERROR(__xludf.DUMMYFUNCTION("""COMPUTED_VALUE"""),42978.99861111111)</f>
        <v>42978.99861</v>
      </c>
      <c r="H653" s="2">
        <f>IFERROR(__xludf.DUMMYFUNCTION("""COMPUTED_VALUE"""),4743.94)</f>
        <v>4743.94</v>
      </c>
    </row>
    <row r="654">
      <c r="A654" s="3">
        <f>IFERROR(__xludf.DUMMYFUNCTION("""COMPUTED_VALUE"""),42951.66666666667)</f>
        <v>42951.66667</v>
      </c>
      <c r="B654" s="2">
        <f>IFERROR(__xludf.DUMMYFUNCTION("""COMPUTED_VALUE"""),41.88)</f>
        <v>41.88</v>
      </c>
      <c r="D654" s="3">
        <f>IFERROR(__xludf.DUMMYFUNCTION("""COMPUTED_VALUE"""),42951.66666666667)</f>
        <v>42951.66667</v>
      </c>
      <c r="E654" s="2">
        <f>IFERROR(__xludf.DUMMYFUNCTION("""COMPUTED_VALUE"""),41.8)</f>
        <v>41.8</v>
      </c>
      <c r="G654" s="3">
        <f>IFERROR(__xludf.DUMMYFUNCTION("""COMPUTED_VALUE"""),42979.99861111111)</f>
        <v>42979.99861</v>
      </c>
      <c r="H654" s="2">
        <f>IFERROR(__xludf.DUMMYFUNCTION("""COMPUTED_VALUE"""),4947.99)</f>
        <v>4947.99</v>
      </c>
    </row>
    <row r="655">
      <c r="A655" s="3">
        <f>IFERROR(__xludf.DUMMYFUNCTION("""COMPUTED_VALUE"""),42954.66666666667)</f>
        <v>42954.66667</v>
      </c>
      <c r="B655" s="2">
        <f>IFERROR(__xludf.DUMMYFUNCTION("""COMPUTED_VALUE"""),42.84)</f>
        <v>42.84</v>
      </c>
      <c r="D655" s="3">
        <f>IFERROR(__xludf.DUMMYFUNCTION("""COMPUTED_VALUE"""),42954.66666666667)</f>
        <v>42954.66667</v>
      </c>
      <c r="E655" s="2">
        <f>IFERROR(__xludf.DUMMYFUNCTION("""COMPUTED_VALUE"""),43.09)</f>
        <v>43.09</v>
      </c>
      <c r="G655" s="3">
        <f>IFERROR(__xludf.DUMMYFUNCTION("""COMPUTED_VALUE"""),42980.99861111111)</f>
        <v>42980.99861</v>
      </c>
      <c r="H655" s="2">
        <f>IFERROR(__xludf.DUMMYFUNCTION("""COMPUTED_VALUE"""),4649.99)</f>
        <v>4649.99</v>
      </c>
    </row>
    <row r="656">
      <c r="A656" s="3">
        <f>IFERROR(__xludf.DUMMYFUNCTION("""COMPUTED_VALUE"""),42955.66666666667)</f>
        <v>42955.66667</v>
      </c>
      <c r="B656" s="2">
        <f>IFERROR(__xludf.DUMMYFUNCTION("""COMPUTED_VALUE"""),42.75)</f>
        <v>42.75</v>
      </c>
      <c r="D656" s="3">
        <f>IFERROR(__xludf.DUMMYFUNCTION("""COMPUTED_VALUE"""),42955.66666666667)</f>
        <v>42955.66667</v>
      </c>
      <c r="E656" s="2">
        <f>IFERROR(__xludf.DUMMYFUNCTION("""COMPUTED_VALUE"""),42.58)</f>
        <v>42.58</v>
      </c>
      <c r="G656" s="3">
        <f>IFERROR(__xludf.DUMMYFUNCTION("""COMPUTED_VALUE"""),42981.99861111111)</f>
        <v>42981.99861</v>
      </c>
      <c r="H656" s="2">
        <f>IFERROR(__xludf.DUMMYFUNCTION("""COMPUTED_VALUE"""),4626.05)</f>
        <v>4626.05</v>
      </c>
    </row>
    <row r="657">
      <c r="A657" s="3">
        <f>IFERROR(__xludf.DUMMYFUNCTION("""COMPUTED_VALUE"""),42956.66666666667)</f>
        <v>42956.66667</v>
      </c>
      <c r="B657" s="2">
        <f>IFERROR(__xludf.DUMMYFUNCTION("""COMPUTED_VALUE"""),42.29)</f>
        <v>42.29</v>
      </c>
      <c r="D657" s="3">
        <f>IFERROR(__xludf.DUMMYFUNCTION("""COMPUTED_VALUE"""),42956.66666666667)</f>
        <v>42956.66667</v>
      </c>
      <c r="E657" s="2">
        <f>IFERROR(__xludf.DUMMYFUNCTION("""COMPUTED_VALUE"""),43.03)</f>
        <v>43.03</v>
      </c>
      <c r="G657" s="3">
        <f>IFERROR(__xludf.DUMMYFUNCTION("""COMPUTED_VALUE"""),42982.99861111111)</f>
        <v>42982.99861</v>
      </c>
      <c r="H657" s="2">
        <f>IFERROR(__xludf.DUMMYFUNCTION("""COMPUTED_VALUE"""),4498.25)</f>
        <v>4498.25</v>
      </c>
    </row>
    <row r="658">
      <c r="A658" s="3">
        <f>IFERROR(__xludf.DUMMYFUNCTION("""COMPUTED_VALUE"""),42957.66666666667)</f>
        <v>42957.66667</v>
      </c>
      <c r="B658" s="2">
        <f>IFERROR(__xludf.DUMMYFUNCTION("""COMPUTED_VALUE"""),41.25)</f>
        <v>41.25</v>
      </c>
      <c r="D658" s="3">
        <f>IFERROR(__xludf.DUMMYFUNCTION("""COMPUTED_VALUE"""),42957.66666666667)</f>
        <v>42957.66667</v>
      </c>
      <c r="E658" s="2">
        <f>IFERROR(__xludf.DUMMYFUNCTION("""COMPUTED_VALUE"""),41.19)</f>
        <v>41.19</v>
      </c>
      <c r="G658" s="3">
        <f>IFERROR(__xludf.DUMMYFUNCTION("""COMPUTED_VALUE"""),42983.99861111111)</f>
        <v>42983.99861</v>
      </c>
      <c r="H658" s="2">
        <f>IFERROR(__xludf.DUMMYFUNCTION("""COMPUTED_VALUE"""),4432.51)</f>
        <v>4432.51</v>
      </c>
    </row>
    <row r="659">
      <c r="A659" s="3">
        <f>IFERROR(__xludf.DUMMYFUNCTION("""COMPUTED_VALUE"""),42958.66666666667)</f>
        <v>42958.66667</v>
      </c>
      <c r="B659" s="2">
        <f>IFERROR(__xludf.DUMMYFUNCTION("""COMPUTED_VALUE"""),41.49)</f>
        <v>41.49</v>
      </c>
      <c r="D659" s="3">
        <f>IFERROR(__xludf.DUMMYFUNCTION("""COMPUTED_VALUE"""),42958.66666666667)</f>
        <v>42958.66667</v>
      </c>
      <c r="E659" s="2">
        <f>IFERROR(__xludf.DUMMYFUNCTION("""COMPUTED_VALUE"""),38.99)</f>
        <v>38.99</v>
      </c>
      <c r="G659" s="3">
        <f>IFERROR(__xludf.DUMMYFUNCTION("""COMPUTED_VALUE"""),42984.99861111111)</f>
        <v>42984.99861</v>
      </c>
      <c r="H659" s="2">
        <f>IFERROR(__xludf.DUMMYFUNCTION("""COMPUTED_VALUE"""),4616.18)</f>
        <v>4616.18</v>
      </c>
    </row>
    <row r="660">
      <c r="A660" s="3">
        <f>IFERROR(__xludf.DUMMYFUNCTION("""COMPUTED_VALUE"""),42961.66666666667)</f>
        <v>42961.66667</v>
      </c>
      <c r="B660" s="2">
        <f>IFERROR(__xludf.DUMMYFUNCTION("""COMPUTED_VALUE"""),41.78)</f>
        <v>41.78</v>
      </c>
      <c r="D660" s="3">
        <f>IFERROR(__xludf.DUMMYFUNCTION("""COMPUTED_VALUE"""),42961.66666666667)</f>
        <v>42961.66667</v>
      </c>
      <c r="E660" s="2">
        <f>IFERROR(__xludf.DUMMYFUNCTION("""COMPUTED_VALUE"""),42.1)</f>
        <v>42.1</v>
      </c>
      <c r="G660" s="3">
        <f>IFERROR(__xludf.DUMMYFUNCTION("""COMPUTED_VALUE"""),42985.99861111111)</f>
        <v>42985.99861</v>
      </c>
      <c r="H660" s="2">
        <f>IFERROR(__xludf.DUMMYFUNCTION("""COMPUTED_VALUE"""),4624.18)</f>
        <v>4624.18</v>
      </c>
    </row>
    <row r="661">
      <c r="A661" s="3">
        <f>IFERROR(__xludf.DUMMYFUNCTION("""COMPUTED_VALUE"""),42962.66666666667)</f>
        <v>42962.66667</v>
      </c>
      <c r="B661" s="2">
        <f>IFERROR(__xludf.DUMMYFUNCTION("""COMPUTED_VALUE"""),41.58)</f>
        <v>41.58</v>
      </c>
      <c r="D661" s="3">
        <f>IFERROR(__xludf.DUMMYFUNCTION("""COMPUTED_VALUE"""),42962.66666666667)</f>
        <v>42962.66667</v>
      </c>
      <c r="E661" s="2">
        <f>IFERROR(__xludf.DUMMYFUNCTION("""COMPUTED_VALUE"""),41.75)</f>
        <v>41.75</v>
      </c>
      <c r="G661" s="3">
        <f>IFERROR(__xludf.DUMMYFUNCTION("""COMPUTED_VALUE"""),42986.99861111111)</f>
        <v>42986.99861</v>
      </c>
      <c r="H661" s="2">
        <f>IFERROR(__xludf.DUMMYFUNCTION("""COMPUTED_VALUE"""),4350.0)</f>
        <v>4350</v>
      </c>
    </row>
    <row r="662">
      <c r="A662" s="3">
        <f>IFERROR(__xludf.DUMMYFUNCTION("""COMPUTED_VALUE"""),42963.66666666667)</f>
        <v>42963.66667</v>
      </c>
      <c r="B662" s="2">
        <f>IFERROR(__xludf.DUMMYFUNCTION("""COMPUTED_VALUE"""),41.79)</f>
        <v>41.79</v>
      </c>
      <c r="D662" s="3">
        <f>IFERROR(__xludf.DUMMYFUNCTION("""COMPUTED_VALUE"""),42963.66666666667)</f>
        <v>42963.66667</v>
      </c>
      <c r="E662" s="2">
        <f>IFERROR(__xludf.DUMMYFUNCTION("""COMPUTED_VALUE"""),41.29)</f>
        <v>41.29</v>
      </c>
      <c r="G662" s="3">
        <f>IFERROR(__xludf.DUMMYFUNCTION("""COMPUTED_VALUE"""),42987.99861111111)</f>
        <v>42987.99861</v>
      </c>
      <c r="H662" s="2">
        <f>IFERROR(__xludf.DUMMYFUNCTION("""COMPUTED_VALUE"""),4334.36)</f>
        <v>4334.36</v>
      </c>
    </row>
    <row r="663">
      <c r="A663" s="3">
        <f>IFERROR(__xludf.DUMMYFUNCTION("""COMPUTED_VALUE"""),42964.66666666667)</f>
        <v>42964.66667</v>
      </c>
      <c r="B663" s="2">
        <f>IFERROR(__xludf.DUMMYFUNCTION("""COMPUTED_VALUE"""),40.83)</f>
        <v>40.83</v>
      </c>
      <c r="D663" s="3">
        <f>IFERROR(__xludf.DUMMYFUNCTION("""COMPUTED_VALUE"""),42964.66666666667)</f>
        <v>42964.66667</v>
      </c>
      <c r="E663" s="2">
        <f>IFERROR(__xludf.DUMMYFUNCTION("""COMPUTED_VALUE"""),40.37)</f>
        <v>40.37</v>
      </c>
      <c r="G663" s="3">
        <f>IFERROR(__xludf.DUMMYFUNCTION("""COMPUTED_VALUE"""),42988.99861111111)</f>
        <v>42988.99861</v>
      </c>
      <c r="H663" s="2">
        <f>IFERROR(__xludf.DUMMYFUNCTION("""COMPUTED_VALUE"""),4251.36)</f>
        <v>4251.36</v>
      </c>
    </row>
    <row r="664">
      <c r="A664" s="3">
        <f>IFERROR(__xludf.DUMMYFUNCTION("""COMPUTED_VALUE"""),42965.66666666667)</f>
        <v>42965.66667</v>
      </c>
      <c r="B664" s="2">
        <f>IFERROR(__xludf.DUMMYFUNCTION("""COMPUTED_VALUE"""),40.39)</f>
        <v>40.39</v>
      </c>
      <c r="D664" s="3">
        <f>IFERROR(__xludf.DUMMYFUNCTION("""COMPUTED_VALUE"""),42965.66666666667)</f>
        <v>42965.66667</v>
      </c>
      <c r="E664" s="2">
        <f>IFERROR(__xludf.DUMMYFUNCTION("""COMPUTED_VALUE"""),40.38)</f>
        <v>40.38</v>
      </c>
      <c r="G664" s="3">
        <f>IFERROR(__xludf.DUMMYFUNCTION("""COMPUTED_VALUE"""),42989.99861111111)</f>
        <v>42989.99861</v>
      </c>
      <c r="H664" s="2">
        <f>IFERROR(__xludf.DUMMYFUNCTION("""COMPUTED_VALUE"""),4210.72)</f>
        <v>4210.72</v>
      </c>
    </row>
    <row r="665">
      <c r="A665" s="3">
        <f>IFERROR(__xludf.DUMMYFUNCTION("""COMPUTED_VALUE"""),42968.66666666667)</f>
        <v>42968.66667</v>
      </c>
      <c r="B665" s="2">
        <f>IFERROR(__xludf.DUMMYFUNCTION("""COMPUTED_VALUE"""),39.92)</f>
        <v>39.92</v>
      </c>
      <c r="D665" s="3">
        <f>IFERROR(__xludf.DUMMYFUNCTION("""COMPUTED_VALUE"""),42968.66666666667)</f>
        <v>42968.66667</v>
      </c>
      <c r="E665" s="2">
        <f>IFERROR(__xludf.DUMMYFUNCTION("""COMPUTED_VALUE"""),39.79)</f>
        <v>39.79</v>
      </c>
      <c r="G665" s="3">
        <f>IFERROR(__xludf.DUMMYFUNCTION("""COMPUTED_VALUE"""),42990.99861111111)</f>
        <v>42990.99861</v>
      </c>
      <c r="H665" s="2">
        <f>IFERROR(__xludf.DUMMYFUNCTION("""COMPUTED_VALUE"""),4164.52)</f>
        <v>4164.52</v>
      </c>
    </row>
    <row r="666">
      <c r="A666" s="3">
        <f>IFERROR(__xludf.DUMMYFUNCTION("""COMPUTED_VALUE"""),42969.66666666667)</f>
        <v>42969.66667</v>
      </c>
      <c r="B666" s="2">
        <f>IFERROR(__xludf.DUMMYFUNCTION("""COMPUTED_VALUE"""),40.29)</f>
        <v>40.29</v>
      </c>
      <c r="D666" s="3">
        <f>IFERROR(__xludf.DUMMYFUNCTION("""COMPUTED_VALUE"""),42969.66666666667)</f>
        <v>42969.66667</v>
      </c>
      <c r="E666" s="2">
        <f>IFERROR(__xludf.DUMMYFUNCTION("""COMPUTED_VALUE"""),40.64)</f>
        <v>40.64</v>
      </c>
      <c r="G666" s="3">
        <f>IFERROR(__xludf.DUMMYFUNCTION("""COMPUTED_VALUE"""),42991.99861111111)</f>
        <v>42991.99861</v>
      </c>
      <c r="H666" s="2">
        <f>IFERROR(__xludf.DUMMYFUNCTION("""COMPUTED_VALUE"""),3855.32)</f>
        <v>3855.32</v>
      </c>
    </row>
    <row r="667">
      <c r="A667" s="3">
        <f>IFERROR(__xludf.DUMMYFUNCTION("""COMPUTED_VALUE"""),42970.66666666667)</f>
        <v>42970.66667</v>
      </c>
      <c r="B667" s="2">
        <f>IFERROR(__xludf.DUMMYFUNCTION("""COMPUTED_VALUE"""),39.43)</f>
        <v>39.43</v>
      </c>
      <c r="D667" s="3">
        <f>IFERROR(__xludf.DUMMYFUNCTION("""COMPUTED_VALUE"""),42970.66666666667)</f>
        <v>42970.66667</v>
      </c>
      <c r="E667" s="2">
        <f>IFERROR(__xludf.DUMMYFUNCTION("""COMPUTED_VALUE"""),41.45)</f>
        <v>41.45</v>
      </c>
      <c r="G667" s="3">
        <f>IFERROR(__xludf.DUMMYFUNCTION("""COMPUTED_VALUE"""),42992.99861111111)</f>
        <v>42992.99861</v>
      </c>
      <c r="H667" s="2">
        <f>IFERROR(__xludf.DUMMYFUNCTION("""COMPUTED_VALUE"""),3250.4)</f>
        <v>3250.4</v>
      </c>
    </row>
    <row r="668">
      <c r="A668" s="3">
        <f>IFERROR(__xludf.DUMMYFUNCTION("""COMPUTED_VALUE"""),42971.66666666667)</f>
        <v>42971.66667</v>
      </c>
      <c r="B668" s="2">
        <f>IFERROR(__xludf.DUMMYFUNCTION("""COMPUTED_VALUE"""),39.76)</f>
        <v>39.76</v>
      </c>
      <c r="D668" s="3">
        <f>IFERROR(__xludf.DUMMYFUNCTION("""COMPUTED_VALUE"""),42971.66666666667)</f>
        <v>42971.66667</v>
      </c>
      <c r="E668" s="2">
        <f>IFERROR(__xludf.DUMMYFUNCTION("""COMPUTED_VALUE"""),41.3)</f>
        <v>41.3</v>
      </c>
      <c r="G668" s="3">
        <f>IFERROR(__xludf.DUMMYFUNCTION("""COMPUTED_VALUE"""),42993.99861111111)</f>
        <v>42993.99861</v>
      </c>
      <c r="H668" s="2">
        <f>IFERROR(__xludf.DUMMYFUNCTION("""COMPUTED_VALUE"""),3740.02)</f>
        <v>3740.02</v>
      </c>
    </row>
    <row r="669">
      <c r="A669" s="3">
        <f>IFERROR(__xludf.DUMMYFUNCTION("""COMPUTED_VALUE"""),42972.66666666667)</f>
        <v>42972.66667</v>
      </c>
      <c r="B669" s="2">
        <f>IFERROR(__xludf.DUMMYFUNCTION("""COMPUTED_VALUE"""),39.82)</f>
        <v>39.82</v>
      </c>
      <c r="D669" s="3">
        <f>IFERROR(__xludf.DUMMYFUNCTION("""COMPUTED_VALUE"""),42972.66666666667)</f>
        <v>42972.66667</v>
      </c>
      <c r="E669" s="2">
        <f>IFERROR(__xludf.DUMMYFUNCTION("""COMPUTED_VALUE"""),40.95)</f>
        <v>40.95</v>
      </c>
      <c r="G669" s="3">
        <f>IFERROR(__xludf.DUMMYFUNCTION("""COMPUTED_VALUE"""),42994.99861111111)</f>
        <v>42994.99861</v>
      </c>
      <c r="H669" s="2">
        <f>IFERROR(__xludf.DUMMYFUNCTION("""COMPUTED_VALUE"""),3726.51)</f>
        <v>3726.51</v>
      </c>
    </row>
    <row r="670">
      <c r="A670" s="3">
        <f>IFERROR(__xludf.DUMMYFUNCTION("""COMPUTED_VALUE"""),42975.66666666667)</f>
        <v>42975.66667</v>
      </c>
      <c r="B670" s="2">
        <f>IFERROR(__xludf.DUMMYFUNCTION("""COMPUTED_VALUE"""),39.86)</f>
        <v>39.86</v>
      </c>
      <c r="D670" s="3">
        <f>IFERROR(__xludf.DUMMYFUNCTION("""COMPUTED_VALUE"""),42975.66666666667)</f>
        <v>42975.66667</v>
      </c>
      <c r="E670" s="2">
        <f>IFERROR(__xludf.DUMMYFUNCTION("""COMPUTED_VALUE"""),41.24)</f>
        <v>41.24</v>
      </c>
      <c r="G670" s="3">
        <f>IFERROR(__xludf.DUMMYFUNCTION("""COMPUTED_VALUE"""),42995.99861111111)</f>
        <v>42995.99861</v>
      </c>
      <c r="H670" s="2">
        <f>IFERROR(__xludf.DUMMYFUNCTION("""COMPUTED_VALUE"""),3719.97)</f>
        <v>3719.97</v>
      </c>
    </row>
    <row r="671">
      <c r="A671" s="3">
        <f>IFERROR(__xludf.DUMMYFUNCTION("""COMPUTED_VALUE"""),42976.66666666667)</f>
        <v>42976.66667</v>
      </c>
      <c r="B671" s="2">
        <f>IFERROR(__xludf.DUMMYFUNCTION("""COMPUTED_VALUE"""),39.45)</f>
        <v>39.45</v>
      </c>
      <c r="D671" s="3">
        <f>IFERROR(__xludf.DUMMYFUNCTION("""COMPUTED_VALUE"""),42976.66666666667)</f>
        <v>42976.66667</v>
      </c>
      <c r="E671" s="2">
        <f>IFERROR(__xludf.DUMMYFUNCTION("""COMPUTED_VALUE"""),41.18)</f>
        <v>41.18</v>
      </c>
      <c r="G671" s="3">
        <f>IFERROR(__xludf.DUMMYFUNCTION("""COMPUTED_VALUE"""),42996.99861111111)</f>
        <v>42996.99861</v>
      </c>
      <c r="H671" s="2">
        <f>IFERROR(__xludf.DUMMYFUNCTION("""COMPUTED_VALUE"""),4100.0)</f>
        <v>4100</v>
      </c>
    </row>
    <row r="672">
      <c r="A672" s="3">
        <f>IFERROR(__xludf.DUMMYFUNCTION("""COMPUTED_VALUE"""),42977.66666666667)</f>
        <v>42977.66667</v>
      </c>
      <c r="B672" s="2">
        <f>IFERROR(__xludf.DUMMYFUNCTION("""COMPUTED_VALUE"""),40.2)</f>
        <v>40.2</v>
      </c>
      <c r="D672" s="3">
        <f>IFERROR(__xludf.DUMMYFUNCTION("""COMPUTED_VALUE"""),42977.66666666667)</f>
        <v>42977.66667</v>
      </c>
      <c r="E672" s="2">
        <f>IFERROR(__xludf.DUMMYFUNCTION("""COMPUTED_VALUE"""),41.42)</f>
        <v>41.42</v>
      </c>
      <c r="G672" s="3">
        <f>IFERROR(__xludf.DUMMYFUNCTION("""COMPUTED_VALUE"""),42997.99861111111)</f>
        <v>42997.99861</v>
      </c>
      <c r="H672" s="2">
        <f>IFERROR(__xludf.DUMMYFUNCTION("""COMPUTED_VALUE"""),3910.11)</f>
        <v>3910.11</v>
      </c>
    </row>
    <row r="673">
      <c r="A673" s="3">
        <f>IFERROR(__xludf.DUMMYFUNCTION("""COMPUTED_VALUE"""),42978.66666666667)</f>
        <v>42978.66667</v>
      </c>
      <c r="B673" s="2">
        <f>IFERROR(__xludf.DUMMYFUNCTION("""COMPUTED_VALUE"""),40.86)</f>
        <v>40.86</v>
      </c>
      <c r="D673" s="3">
        <f>IFERROR(__xludf.DUMMYFUNCTION("""COMPUTED_VALUE"""),42978.66666666667)</f>
        <v>42978.66667</v>
      </c>
      <c r="E673" s="2">
        <f>IFERROR(__xludf.DUMMYFUNCTION("""COMPUTED_VALUE"""),42.36)</f>
        <v>42.36</v>
      </c>
      <c r="G673" s="3">
        <f>IFERROR(__xludf.DUMMYFUNCTION("""COMPUTED_VALUE"""),42998.99861111111)</f>
        <v>42998.99861</v>
      </c>
      <c r="H673" s="2">
        <f>IFERROR(__xludf.DUMMYFUNCTION("""COMPUTED_VALUE"""),3872.06)</f>
        <v>3872.06</v>
      </c>
    </row>
    <row r="674">
      <c r="A674" s="3">
        <f>IFERROR(__xludf.DUMMYFUNCTION("""COMPUTED_VALUE"""),42979.66666666667)</f>
        <v>42979.66667</v>
      </c>
      <c r="B674" s="2">
        <f>IFERROR(__xludf.DUMMYFUNCTION("""COMPUTED_VALUE"""),40.55)</f>
        <v>40.55</v>
      </c>
      <c r="D674" s="3">
        <f>IFERROR(__xludf.DUMMYFUNCTION("""COMPUTED_VALUE"""),42979.66666666667)</f>
        <v>42979.66667</v>
      </c>
      <c r="E674" s="2">
        <f>IFERROR(__xludf.DUMMYFUNCTION("""COMPUTED_VALUE"""),42.62)</f>
        <v>42.62</v>
      </c>
      <c r="G674" s="3">
        <f>IFERROR(__xludf.DUMMYFUNCTION("""COMPUTED_VALUE"""),42999.99861111111)</f>
        <v>42999.99861</v>
      </c>
      <c r="H674" s="2">
        <f>IFERROR(__xludf.DUMMYFUNCTION("""COMPUTED_VALUE"""),3617.47)</f>
        <v>3617.47</v>
      </c>
    </row>
    <row r="675">
      <c r="A675" s="3">
        <f>IFERROR(__xludf.DUMMYFUNCTION("""COMPUTED_VALUE"""),42983.66666666667)</f>
        <v>42983.66667</v>
      </c>
      <c r="B675" s="2">
        <f>IFERROR(__xludf.DUMMYFUNCTION("""COMPUTED_VALUE"""),39.97)</f>
        <v>39.97</v>
      </c>
      <c r="D675" s="3">
        <f>IFERROR(__xludf.DUMMYFUNCTION("""COMPUTED_VALUE"""),42983.66666666667)</f>
        <v>42983.66667</v>
      </c>
      <c r="E675" s="2">
        <f>IFERROR(__xludf.DUMMYFUNCTION("""COMPUTED_VALUE"""),41.48)</f>
        <v>41.48</v>
      </c>
      <c r="G675" s="3">
        <f>IFERROR(__xludf.DUMMYFUNCTION("""COMPUTED_VALUE"""),43000.99861111111)</f>
        <v>43000.99861</v>
      </c>
      <c r="H675" s="2">
        <f>IFERROR(__xludf.DUMMYFUNCTION("""COMPUTED_VALUE"""),3619.01)</f>
        <v>3619.01</v>
      </c>
    </row>
    <row r="676">
      <c r="A676" s="3">
        <f>IFERROR(__xludf.DUMMYFUNCTION("""COMPUTED_VALUE"""),42984.66666666667)</f>
        <v>42984.66667</v>
      </c>
      <c r="B676" s="2">
        <f>IFERROR(__xludf.DUMMYFUNCTION("""COMPUTED_VALUE"""),40.11)</f>
        <v>40.11</v>
      </c>
      <c r="D676" s="3">
        <f>IFERROR(__xludf.DUMMYFUNCTION("""COMPUTED_VALUE"""),42984.66666666667)</f>
        <v>42984.66667</v>
      </c>
      <c r="E676" s="2">
        <f>IFERROR(__xludf.DUMMYFUNCTION("""COMPUTED_VALUE"""),41.45)</f>
        <v>41.45</v>
      </c>
      <c r="G676" s="3">
        <f>IFERROR(__xludf.DUMMYFUNCTION("""COMPUTED_VALUE"""),43001.99861111111)</f>
        <v>43001.99861</v>
      </c>
      <c r="H676" s="2">
        <f>IFERROR(__xludf.DUMMYFUNCTION("""COMPUTED_VALUE"""),3787.33)</f>
        <v>3787.33</v>
      </c>
    </row>
    <row r="677">
      <c r="A677" s="3">
        <f>IFERROR(__xludf.DUMMYFUNCTION("""COMPUTED_VALUE"""),42985.66666666667)</f>
        <v>42985.66667</v>
      </c>
      <c r="B677" s="2">
        <f>IFERROR(__xludf.DUMMYFUNCTION("""COMPUTED_VALUE"""),40.08)</f>
        <v>40.08</v>
      </c>
      <c r="D677" s="3">
        <f>IFERROR(__xludf.DUMMYFUNCTION("""COMPUTED_VALUE"""),42985.66666666667)</f>
        <v>42985.66667</v>
      </c>
      <c r="E677" s="2">
        <f>IFERROR(__xludf.DUMMYFUNCTION("""COMPUTED_VALUE"""),41.65)</f>
        <v>41.65</v>
      </c>
      <c r="G677" s="3">
        <f>IFERROR(__xludf.DUMMYFUNCTION("""COMPUTED_VALUE"""),43002.99861111111)</f>
        <v>43002.99861</v>
      </c>
      <c r="H677" s="2">
        <f>IFERROR(__xludf.DUMMYFUNCTION("""COMPUTED_VALUE"""),3669.01)</f>
        <v>3669.01</v>
      </c>
    </row>
    <row r="678">
      <c r="A678" s="3">
        <f>IFERROR(__xludf.DUMMYFUNCTION("""COMPUTED_VALUE"""),42986.66666666667)</f>
        <v>42986.66667</v>
      </c>
      <c r="B678" s="2">
        <f>IFERROR(__xludf.DUMMYFUNCTION("""COMPUTED_VALUE"""),39.62)</f>
        <v>39.62</v>
      </c>
      <c r="D678" s="3">
        <f>IFERROR(__xludf.DUMMYFUNCTION("""COMPUTED_VALUE"""),42986.66666666667)</f>
        <v>42986.66667</v>
      </c>
      <c r="E678" s="2">
        <f>IFERROR(__xludf.DUMMYFUNCTION("""COMPUTED_VALUE"""),40.92)</f>
        <v>40.92</v>
      </c>
      <c r="G678" s="3">
        <f>IFERROR(__xludf.DUMMYFUNCTION("""COMPUTED_VALUE"""),43003.99861111111)</f>
        <v>43003.99861</v>
      </c>
      <c r="H678" s="2">
        <f>IFERROR(__xludf.DUMMYFUNCTION("""COMPUTED_VALUE"""),3919.78)</f>
        <v>3919.78</v>
      </c>
    </row>
    <row r="679">
      <c r="A679" s="3">
        <f>IFERROR(__xludf.DUMMYFUNCTION("""COMPUTED_VALUE"""),42989.66666666667)</f>
        <v>42989.66667</v>
      </c>
      <c r="B679" s="2">
        <f>IFERROR(__xludf.DUMMYFUNCTION("""COMPUTED_VALUE"""),39.99)</f>
        <v>39.99</v>
      </c>
      <c r="D679" s="3">
        <f>IFERROR(__xludf.DUMMYFUNCTION("""COMPUTED_VALUE"""),42989.66666666667)</f>
        <v>42989.66667</v>
      </c>
      <c r="E679" s="2">
        <f>IFERROR(__xludf.DUMMYFUNCTION("""COMPUTED_VALUE"""),42.25)</f>
        <v>42.25</v>
      </c>
      <c r="G679" s="3">
        <f>IFERROR(__xludf.DUMMYFUNCTION("""COMPUTED_VALUE"""),43004.99861111111)</f>
        <v>43004.99861</v>
      </c>
      <c r="H679" s="2">
        <f>IFERROR(__xludf.DUMMYFUNCTION("""COMPUTED_VALUE"""),3885.09)</f>
        <v>3885.09</v>
      </c>
    </row>
    <row r="680">
      <c r="A680" s="3">
        <f>IFERROR(__xludf.DUMMYFUNCTION("""COMPUTED_VALUE"""),42990.66666666667)</f>
        <v>42990.66667</v>
      </c>
      <c r="B680" s="2">
        <f>IFERROR(__xludf.DUMMYFUNCTION("""COMPUTED_VALUE"""),40.6)</f>
        <v>40.6</v>
      </c>
      <c r="D680" s="3">
        <f>IFERROR(__xludf.DUMMYFUNCTION("""COMPUTED_VALUE"""),42990.66666666667)</f>
        <v>42990.66667</v>
      </c>
      <c r="E680" s="2">
        <f>IFERROR(__xludf.DUMMYFUNCTION("""COMPUTED_VALUE"""),42.4)</f>
        <v>42.4</v>
      </c>
      <c r="G680" s="3">
        <f>IFERROR(__xludf.DUMMYFUNCTION("""COMPUTED_VALUE"""),43005.99861111111)</f>
        <v>43005.99861</v>
      </c>
      <c r="H680" s="2">
        <f>IFERROR(__xludf.DUMMYFUNCTION("""COMPUTED_VALUE"""),4200.0)</f>
        <v>4200</v>
      </c>
    </row>
    <row r="681">
      <c r="A681" s="3">
        <f>IFERROR(__xludf.DUMMYFUNCTION("""COMPUTED_VALUE"""),42991.66666666667)</f>
        <v>42991.66667</v>
      </c>
      <c r="B681" s="2">
        <f>IFERROR(__xludf.DUMMYFUNCTION("""COMPUTED_VALUE"""),40.7)</f>
        <v>40.7</v>
      </c>
      <c r="D681" s="3">
        <f>IFERROR(__xludf.DUMMYFUNCTION("""COMPUTED_VALUE"""),42991.66666666667)</f>
        <v>42991.66667</v>
      </c>
      <c r="E681" s="2">
        <f>IFERROR(__xludf.DUMMYFUNCTION("""COMPUTED_VALUE"""),42.59)</f>
        <v>42.59</v>
      </c>
      <c r="G681" s="3">
        <f>IFERROR(__xludf.DUMMYFUNCTION("""COMPUTED_VALUE"""),43006.99861111111)</f>
        <v>43006.99861</v>
      </c>
      <c r="H681" s="2">
        <f>IFERROR(__xludf.DUMMYFUNCTION("""COMPUTED_VALUE"""),4189.42)</f>
        <v>4189.42</v>
      </c>
    </row>
    <row r="682">
      <c r="A682" s="3">
        <f>IFERROR(__xludf.DUMMYFUNCTION("""COMPUTED_VALUE"""),42992.66666666667)</f>
        <v>42992.66667</v>
      </c>
      <c r="B682" s="2">
        <f>IFERROR(__xludf.DUMMYFUNCTION("""COMPUTED_VALUE"""),40.95)</f>
        <v>40.95</v>
      </c>
      <c r="D682" s="3">
        <f>IFERROR(__xludf.DUMMYFUNCTION("""COMPUTED_VALUE"""),42992.66666666667)</f>
        <v>42992.66667</v>
      </c>
      <c r="E682" s="2">
        <f>IFERROR(__xludf.DUMMYFUNCTION("""COMPUTED_VALUE"""),42.35)</f>
        <v>42.35</v>
      </c>
      <c r="G682" s="3">
        <f>IFERROR(__xludf.DUMMYFUNCTION("""COMPUTED_VALUE"""),43007.99861111111)</f>
        <v>43007.99861</v>
      </c>
      <c r="H682" s="2">
        <f>IFERROR(__xludf.DUMMYFUNCTION("""COMPUTED_VALUE"""),4156.99)</f>
        <v>4156.99</v>
      </c>
    </row>
    <row r="683">
      <c r="A683" s="3">
        <f>IFERROR(__xludf.DUMMYFUNCTION("""COMPUTED_VALUE"""),42993.66666666667)</f>
        <v>42993.66667</v>
      </c>
      <c r="B683" s="2">
        <f>IFERROR(__xludf.DUMMYFUNCTION("""COMPUTED_VALUE"""),41.37)</f>
        <v>41.37</v>
      </c>
      <c r="D683" s="3">
        <f>IFERROR(__xludf.DUMMYFUNCTION("""COMPUTED_VALUE"""),42993.66666666667)</f>
        <v>42993.66667</v>
      </c>
      <c r="E683" s="2">
        <f>IFERROR(__xludf.DUMMYFUNCTION("""COMPUTED_VALUE"""),45.03)</f>
        <v>45.03</v>
      </c>
      <c r="G683" s="3">
        <f>IFERROR(__xludf.DUMMYFUNCTION("""COMPUTED_VALUE"""),43008.99861111111)</f>
        <v>43008.99861</v>
      </c>
      <c r="H683" s="2">
        <f>IFERROR(__xludf.DUMMYFUNCTION("""COMPUTED_VALUE"""),4339.0)</f>
        <v>4339</v>
      </c>
    </row>
    <row r="684">
      <c r="A684" s="3">
        <f>IFERROR(__xludf.DUMMYFUNCTION("""COMPUTED_VALUE"""),42996.66666666667)</f>
        <v>42996.66667</v>
      </c>
      <c r="B684" s="2">
        <f>IFERROR(__xludf.DUMMYFUNCTION("""COMPUTED_VALUE"""),41.62)</f>
        <v>41.62</v>
      </c>
      <c r="D684" s="3">
        <f>IFERROR(__xludf.DUMMYFUNCTION("""COMPUTED_VALUE"""),42996.66666666667)</f>
        <v>42996.66667</v>
      </c>
      <c r="E684" s="2">
        <f>IFERROR(__xludf.DUMMYFUNCTION("""COMPUTED_VALUE"""),46.89)</f>
        <v>46.89</v>
      </c>
      <c r="G684" s="3">
        <f>IFERROR(__xludf.DUMMYFUNCTION("""COMPUTED_VALUE"""),43009.99861111111)</f>
        <v>43009.99861</v>
      </c>
      <c r="H684" s="2">
        <f>IFERROR(__xludf.DUMMYFUNCTION("""COMPUTED_VALUE"""),4394.81)</f>
        <v>4394.81</v>
      </c>
    </row>
    <row r="685">
      <c r="A685" s="3">
        <f>IFERROR(__xludf.DUMMYFUNCTION("""COMPUTED_VALUE"""),42997.66666666667)</f>
        <v>42997.66667</v>
      </c>
      <c r="B685" s="2">
        <f>IFERROR(__xludf.DUMMYFUNCTION("""COMPUTED_VALUE"""),41.33)</f>
        <v>41.33</v>
      </c>
      <c r="D685" s="3">
        <f>IFERROR(__xludf.DUMMYFUNCTION("""COMPUTED_VALUE"""),42997.66666666667)</f>
        <v>42997.66667</v>
      </c>
      <c r="E685" s="2">
        <f>IFERROR(__xludf.DUMMYFUNCTION("""COMPUTED_VALUE"""),46.84)</f>
        <v>46.84</v>
      </c>
      <c r="G685" s="3">
        <f>IFERROR(__xludf.DUMMYFUNCTION("""COMPUTED_VALUE"""),43010.99861111111)</f>
        <v>43010.99861</v>
      </c>
      <c r="H685" s="2">
        <f>IFERROR(__xludf.DUMMYFUNCTION("""COMPUTED_VALUE"""),4392.71)</f>
        <v>4392.71</v>
      </c>
    </row>
    <row r="686">
      <c r="A686" s="3">
        <f>IFERROR(__xludf.DUMMYFUNCTION("""COMPUTED_VALUE"""),42998.66666666667)</f>
        <v>42998.66667</v>
      </c>
      <c r="B686" s="2">
        <f>IFERROR(__xludf.DUMMYFUNCTION("""COMPUTED_VALUE"""),40.58)</f>
        <v>40.58</v>
      </c>
      <c r="D686" s="3">
        <f>IFERROR(__xludf.DUMMYFUNCTION("""COMPUTED_VALUE"""),42998.66666666667)</f>
        <v>42998.66667</v>
      </c>
      <c r="E686" s="2">
        <f>IFERROR(__xludf.DUMMYFUNCTION("""COMPUTED_VALUE"""),46.46)</f>
        <v>46.46</v>
      </c>
      <c r="G686" s="3">
        <f>IFERROR(__xludf.DUMMYFUNCTION("""COMPUTED_VALUE"""),43011.99861111111)</f>
        <v>43011.99861</v>
      </c>
      <c r="H686" s="2">
        <f>IFERROR(__xludf.DUMMYFUNCTION("""COMPUTED_VALUE"""),4307.99)</f>
        <v>4307.99</v>
      </c>
    </row>
    <row r="687">
      <c r="A687" s="3">
        <f>IFERROR(__xludf.DUMMYFUNCTION("""COMPUTED_VALUE"""),42999.66666666667)</f>
        <v>42999.66667</v>
      </c>
      <c r="B687" s="2">
        <f>IFERROR(__xludf.DUMMYFUNCTION("""COMPUTED_VALUE"""),40.59)</f>
        <v>40.59</v>
      </c>
      <c r="D687" s="3">
        <f>IFERROR(__xludf.DUMMYFUNCTION("""COMPUTED_VALUE"""),42999.66666666667)</f>
        <v>42999.66667</v>
      </c>
      <c r="E687" s="2">
        <f>IFERROR(__xludf.DUMMYFUNCTION("""COMPUTED_VALUE"""),45.19)</f>
        <v>45.19</v>
      </c>
      <c r="G687" s="3">
        <f>IFERROR(__xludf.DUMMYFUNCTION("""COMPUTED_VALUE"""),43012.99861111111)</f>
        <v>43012.99861</v>
      </c>
      <c r="H687" s="2">
        <f>IFERROR(__xludf.DUMMYFUNCTION("""COMPUTED_VALUE"""),4214.84)</f>
        <v>4214.84</v>
      </c>
    </row>
    <row r="688">
      <c r="A688" s="3">
        <f>IFERROR(__xludf.DUMMYFUNCTION("""COMPUTED_VALUE"""),43000.66666666667)</f>
        <v>43000.66667</v>
      </c>
      <c r="B688" s="2">
        <f>IFERROR(__xludf.DUMMYFUNCTION("""COMPUTED_VALUE"""),40.5)</f>
        <v>40.5</v>
      </c>
      <c r="D688" s="3">
        <f>IFERROR(__xludf.DUMMYFUNCTION("""COMPUTED_VALUE"""),43000.66666666667)</f>
        <v>43000.66667</v>
      </c>
      <c r="E688" s="2">
        <f>IFERROR(__xludf.DUMMYFUNCTION("""COMPUTED_VALUE"""),44.75)</f>
        <v>44.75</v>
      </c>
      <c r="G688" s="3">
        <f>IFERROR(__xludf.DUMMYFUNCTION("""COMPUTED_VALUE"""),43013.99861111111)</f>
        <v>43013.99861</v>
      </c>
      <c r="H688" s="2">
        <f>IFERROR(__xludf.DUMMYFUNCTION("""COMPUTED_VALUE"""),4320.04)</f>
        <v>4320.04</v>
      </c>
    </row>
    <row r="689">
      <c r="A689" s="3">
        <f>IFERROR(__xludf.DUMMYFUNCTION("""COMPUTED_VALUE"""),43003.66666666667)</f>
        <v>43003.66667</v>
      </c>
      <c r="B689" s="2">
        <f>IFERROR(__xludf.DUMMYFUNCTION("""COMPUTED_VALUE"""),39.95)</f>
        <v>39.95</v>
      </c>
      <c r="D689" s="3">
        <f>IFERROR(__xludf.DUMMYFUNCTION("""COMPUTED_VALUE"""),43003.66666666667)</f>
        <v>43003.66667</v>
      </c>
      <c r="E689" s="2">
        <f>IFERROR(__xludf.DUMMYFUNCTION("""COMPUTED_VALUE"""),42.75)</f>
        <v>42.75</v>
      </c>
      <c r="G689" s="3">
        <f>IFERROR(__xludf.DUMMYFUNCTION("""COMPUTED_VALUE"""),43014.99861111111)</f>
        <v>43014.99861</v>
      </c>
      <c r="H689" s="2">
        <f>IFERROR(__xludf.DUMMYFUNCTION("""COMPUTED_VALUE"""),4362.99)</f>
        <v>4362.99</v>
      </c>
    </row>
    <row r="690">
      <c r="A690" s="3">
        <f>IFERROR(__xludf.DUMMYFUNCTION("""COMPUTED_VALUE"""),43004.66666666667)</f>
        <v>43004.66667</v>
      </c>
      <c r="B690" s="2">
        <f>IFERROR(__xludf.DUMMYFUNCTION("""COMPUTED_VALUE"""),39.76)</f>
        <v>39.76</v>
      </c>
      <c r="D690" s="3">
        <f>IFERROR(__xludf.DUMMYFUNCTION("""COMPUTED_VALUE"""),43004.66666666667)</f>
        <v>43004.66667</v>
      </c>
      <c r="E690" s="2">
        <f>IFERROR(__xludf.DUMMYFUNCTION("""COMPUTED_VALUE"""),42.99)</f>
        <v>42.99</v>
      </c>
      <c r="G690" s="3">
        <f>IFERROR(__xludf.DUMMYFUNCTION("""COMPUTED_VALUE"""),43015.99861111111)</f>
        <v>43015.99861</v>
      </c>
      <c r="H690" s="2">
        <f>IFERROR(__xludf.DUMMYFUNCTION("""COMPUTED_VALUE"""),4425.0)</f>
        <v>4425</v>
      </c>
    </row>
    <row r="691">
      <c r="A691" s="3">
        <f>IFERROR(__xludf.DUMMYFUNCTION("""COMPUTED_VALUE"""),43005.66666666667)</f>
        <v>43005.66667</v>
      </c>
      <c r="B691" s="2">
        <f>IFERROR(__xludf.DUMMYFUNCTION("""COMPUTED_VALUE"""),40.84)</f>
        <v>40.84</v>
      </c>
      <c r="D691" s="3">
        <f>IFERROR(__xludf.DUMMYFUNCTION("""COMPUTED_VALUE"""),43005.66666666667)</f>
        <v>43005.66667</v>
      </c>
      <c r="E691" s="2">
        <f>IFERROR(__xludf.DUMMYFUNCTION("""COMPUTED_VALUE"""),43.93)</f>
        <v>43.93</v>
      </c>
      <c r="G691" s="3">
        <f>IFERROR(__xludf.DUMMYFUNCTION("""COMPUTED_VALUE"""),43016.99861111111)</f>
        <v>43016.99861</v>
      </c>
      <c r="H691" s="2">
        <f>IFERROR(__xludf.DUMMYFUNCTION("""COMPUTED_VALUE"""),4603.49)</f>
        <v>4603.49</v>
      </c>
    </row>
    <row r="692">
      <c r="A692" s="3">
        <f>IFERROR(__xludf.DUMMYFUNCTION("""COMPUTED_VALUE"""),43006.66666666667)</f>
        <v>43006.66667</v>
      </c>
      <c r="B692" s="2">
        <f>IFERROR(__xludf.DUMMYFUNCTION("""COMPUTED_VALUE"""),41.37)</f>
        <v>41.37</v>
      </c>
      <c r="D692" s="3">
        <f>IFERROR(__xludf.DUMMYFUNCTION("""COMPUTED_VALUE"""),43006.66666666667)</f>
        <v>43006.66667</v>
      </c>
      <c r="E692" s="2">
        <f>IFERROR(__xludf.DUMMYFUNCTION("""COMPUTED_VALUE"""),43.92)</f>
        <v>43.92</v>
      </c>
      <c r="G692" s="3">
        <f>IFERROR(__xludf.DUMMYFUNCTION("""COMPUTED_VALUE"""),43017.99861111111)</f>
        <v>43017.99861</v>
      </c>
      <c r="H692" s="2">
        <f>IFERROR(__xludf.DUMMYFUNCTION("""COMPUTED_VALUE"""),4769.55)</f>
        <v>4769.55</v>
      </c>
    </row>
    <row r="693">
      <c r="A693" s="3">
        <f>IFERROR(__xludf.DUMMYFUNCTION("""COMPUTED_VALUE"""),43007.66666666667)</f>
        <v>43007.66667</v>
      </c>
      <c r="B693" s="2">
        <f>IFERROR(__xludf.DUMMYFUNCTION("""COMPUTED_VALUE"""),41.66)</f>
        <v>41.66</v>
      </c>
      <c r="D693" s="3">
        <f>IFERROR(__xludf.DUMMYFUNCTION("""COMPUTED_VALUE"""),43007.66666666667)</f>
        <v>43007.66667</v>
      </c>
      <c r="E693" s="2">
        <f>IFERROR(__xludf.DUMMYFUNCTION("""COMPUTED_VALUE"""),44.69)</f>
        <v>44.69</v>
      </c>
      <c r="G693" s="3">
        <f>IFERROR(__xludf.DUMMYFUNCTION("""COMPUTED_VALUE"""),43018.99861111111)</f>
        <v>43018.99861</v>
      </c>
      <c r="H693" s="2">
        <f>IFERROR(__xludf.DUMMYFUNCTION("""COMPUTED_VALUE"""),4750.0)</f>
        <v>4750</v>
      </c>
    </row>
    <row r="694">
      <c r="A694" s="3">
        <f>IFERROR(__xludf.DUMMYFUNCTION("""COMPUTED_VALUE"""),43010.66666666667)</f>
        <v>43010.66667</v>
      </c>
      <c r="B694" s="2">
        <f>IFERROR(__xludf.DUMMYFUNCTION("""COMPUTED_VALUE"""),42.21)</f>
        <v>42.21</v>
      </c>
      <c r="D694" s="3">
        <f>IFERROR(__xludf.DUMMYFUNCTION("""COMPUTED_VALUE"""),43010.66666666667)</f>
        <v>43010.66667</v>
      </c>
      <c r="E694" s="2">
        <f>IFERROR(__xludf.DUMMYFUNCTION("""COMPUTED_VALUE"""),44.75)</f>
        <v>44.75</v>
      </c>
      <c r="G694" s="3">
        <f>IFERROR(__xludf.DUMMYFUNCTION("""COMPUTED_VALUE"""),43019.99861111111)</f>
        <v>43019.99861</v>
      </c>
      <c r="H694" s="2">
        <f>IFERROR(__xludf.DUMMYFUNCTION("""COMPUTED_VALUE"""),4814.99)</f>
        <v>4814.99</v>
      </c>
    </row>
    <row r="695">
      <c r="A695" s="3">
        <f>IFERROR(__xludf.DUMMYFUNCTION("""COMPUTED_VALUE"""),43011.66666666667)</f>
        <v>43011.66667</v>
      </c>
      <c r="B695" s="2">
        <f>IFERROR(__xludf.DUMMYFUNCTION("""COMPUTED_VALUE"""),42.25)</f>
        <v>42.25</v>
      </c>
      <c r="D695" s="3">
        <f>IFERROR(__xludf.DUMMYFUNCTION("""COMPUTED_VALUE"""),43011.66666666667)</f>
        <v>43011.66667</v>
      </c>
      <c r="E695" s="2">
        <f>IFERROR(__xludf.DUMMYFUNCTION("""COMPUTED_VALUE"""),44.84)</f>
        <v>44.84</v>
      </c>
      <c r="G695" s="3">
        <f>IFERROR(__xludf.DUMMYFUNCTION("""COMPUTED_VALUE"""),43020.99861111111)</f>
        <v>43020.99861</v>
      </c>
      <c r="H695" s="2">
        <f>IFERROR(__xludf.DUMMYFUNCTION("""COMPUTED_VALUE"""),5440.0)</f>
        <v>5440</v>
      </c>
    </row>
    <row r="696">
      <c r="A696" s="3">
        <f>IFERROR(__xludf.DUMMYFUNCTION("""COMPUTED_VALUE"""),43012.66666666667)</f>
        <v>43012.66667</v>
      </c>
      <c r="B696" s="2">
        <f>IFERROR(__xludf.DUMMYFUNCTION("""COMPUTED_VALUE"""),42.55)</f>
        <v>42.55</v>
      </c>
      <c r="D696" s="3">
        <f>IFERROR(__xludf.DUMMYFUNCTION("""COMPUTED_VALUE"""),43012.66666666667)</f>
        <v>43012.66667</v>
      </c>
      <c r="E696" s="2">
        <f>IFERROR(__xludf.DUMMYFUNCTION("""COMPUTED_VALUE"""),45.22)</f>
        <v>45.22</v>
      </c>
      <c r="G696" s="3">
        <f>IFERROR(__xludf.DUMMYFUNCTION("""COMPUTED_VALUE"""),43021.99861111111)</f>
        <v>43021.99861</v>
      </c>
      <c r="H696" s="2">
        <f>IFERROR(__xludf.DUMMYFUNCTION("""COMPUTED_VALUE"""),5624.8)</f>
        <v>5624.8</v>
      </c>
    </row>
    <row r="697">
      <c r="A697" s="3">
        <f>IFERROR(__xludf.DUMMYFUNCTION("""COMPUTED_VALUE"""),43013.66666666667)</f>
        <v>43013.66667</v>
      </c>
      <c r="B697" s="2">
        <f>IFERROR(__xludf.DUMMYFUNCTION("""COMPUTED_VALUE"""),42.01)</f>
        <v>42.01</v>
      </c>
      <c r="D697" s="3">
        <f>IFERROR(__xludf.DUMMYFUNCTION("""COMPUTED_VALUE"""),43013.66666666667)</f>
        <v>43013.66667</v>
      </c>
      <c r="E697" s="2">
        <f>IFERROR(__xludf.DUMMYFUNCTION("""COMPUTED_VALUE"""),45.19)</f>
        <v>45.19</v>
      </c>
      <c r="G697" s="3">
        <f>IFERROR(__xludf.DUMMYFUNCTION("""COMPUTED_VALUE"""),43022.99861111111)</f>
        <v>43022.99861</v>
      </c>
      <c r="H697" s="2">
        <f>IFERROR(__xludf.DUMMYFUNCTION("""COMPUTED_VALUE"""),5819.13)</f>
        <v>5819.13</v>
      </c>
    </row>
    <row r="698">
      <c r="A698" s="3">
        <f>IFERROR(__xludf.DUMMYFUNCTION("""COMPUTED_VALUE"""),43014.66666666667)</f>
        <v>43014.66667</v>
      </c>
      <c r="B698" s="2">
        <f>IFERROR(__xludf.DUMMYFUNCTION("""COMPUTED_VALUE"""),41.8)</f>
        <v>41.8</v>
      </c>
      <c r="D698" s="3">
        <f>IFERROR(__xludf.DUMMYFUNCTION("""COMPUTED_VALUE"""),43014.66666666667)</f>
        <v>43014.66667</v>
      </c>
      <c r="E698" s="2">
        <f>IFERROR(__xludf.DUMMYFUNCTION("""COMPUTED_VALUE"""),45.33)</f>
        <v>45.33</v>
      </c>
      <c r="G698" s="3">
        <f>IFERROR(__xludf.DUMMYFUNCTION("""COMPUTED_VALUE"""),43023.99861111111)</f>
        <v>43023.99861</v>
      </c>
      <c r="H698" s="2">
        <f>IFERROR(__xludf.DUMMYFUNCTION("""COMPUTED_VALUE"""),5693.7)</f>
        <v>5693.7</v>
      </c>
    </row>
    <row r="699">
      <c r="A699" s="3">
        <f>IFERROR(__xludf.DUMMYFUNCTION("""COMPUTED_VALUE"""),43017.66666666667)</f>
        <v>43017.66667</v>
      </c>
      <c r="B699" s="2">
        <f>IFERROR(__xludf.DUMMYFUNCTION("""COMPUTED_VALUE"""),41.76)</f>
        <v>41.76</v>
      </c>
      <c r="D699" s="3">
        <f>IFERROR(__xludf.DUMMYFUNCTION("""COMPUTED_VALUE"""),43017.66666666667)</f>
        <v>43017.66667</v>
      </c>
      <c r="E699" s="2">
        <f>IFERROR(__xludf.DUMMYFUNCTION("""COMPUTED_VALUE"""),46.35)</f>
        <v>46.35</v>
      </c>
      <c r="G699" s="3">
        <f>IFERROR(__xludf.DUMMYFUNCTION("""COMPUTED_VALUE"""),43024.99861111111)</f>
        <v>43024.99861</v>
      </c>
      <c r="H699" s="2">
        <f>IFERROR(__xludf.DUMMYFUNCTION("""COMPUTED_VALUE"""),5754.9)</f>
        <v>5754.9</v>
      </c>
    </row>
    <row r="700">
      <c r="A700" s="3">
        <f>IFERROR(__xludf.DUMMYFUNCTION("""COMPUTED_VALUE"""),43018.66666666667)</f>
        <v>43018.66667</v>
      </c>
      <c r="B700" s="2">
        <f>IFERROR(__xludf.DUMMYFUNCTION("""COMPUTED_VALUE"""),42.17)</f>
        <v>42.17</v>
      </c>
      <c r="D700" s="3">
        <f>IFERROR(__xludf.DUMMYFUNCTION("""COMPUTED_VALUE"""),43018.66666666667)</f>
        <v>43018.66667</v>
      </c>
      <c r="E700" s="2">
        <f>IFERROR(__xludf.DUMMYFUNCTION("""COMPUTED_VALUE"""),47.23)</f>
        <v>47.23</v>
      </c>
      <c r="G700" s="3">
        <f>IFERROR(__xludf.DUMMYFUNCTION("""COMPUTED_VALUE"""),43025.99861111111)</f>
        <v>43025.99861</v>
      </c>
      <c r="H700" s="2">
        <f>IFERROR(__xludf.DUMMYFUNCTION("""COMPUTED_VALUE"""),5594.0)</f>
        <v>5594</v>
      </c>
    </row>
    <row r="701">
      <c r="A701" s="3">
        <f>IFERROR(__xludf.DUMMYFUNCTION("""COMPUTED_VALUE"""),43019.66666666667)</f>
        <v>43019.66667</v>
      </c>
      <c r="B701" s="2">
        <f>IFERROR(__xludf.DUMMYFUNCTION("""COMPUTED_VALUE"""),42.37)</f>
        <v>42.37</v>
      </c>
      <c r="D701" s="3">
        <f>IFERROR(__xludf.DUMMYFUNCTION("""COMPUTED_VALUE"""),43019.66666666667)</f>
        <v>43019.66667</v>
      </c>
      <c r="E701" s="2">
        <f>IFERROR(__xludf.DUMMYFUNCTION("""COMPUTED_VALUE"""),47.74)</f>
        <v>47.74</v>
      </c>
      <c r="G701" s="3">
        <f>IFERROR(__xludf.DUMMYFUNCTION("""COMPUTED_VALUE"""),43026.99861111111)</f>
        <v>43026.99861</v>
      </c>
      <c r="H701" s="2">
        <f>IFERROR(__xludf.DUMMYFUNCTION("""COMPUTED_VALUE"""),5574.44)</f>
        <v>5574.44</v>
      </c>
    </row>
    <row r="702">
      <c r="A702" s="3">
        <f>IFERROR(__xludf.DUMMYFUNCTION("""COMPUTED_VALUE"""),43020.66666666667)</f>
        <v>43020.66667</v>
      </c>
      <c r="B702" s="2">
        <f>IFERROR(__xludf.DUMMYFUNCTION("""COMPUTED_VALUE"""),42.53)</f>
        <v>42.53</v>
      </c>
      <c r="D702" s="3">
        <f>IFERROR(__xludf.DUMMYFUNCTION("""COMPUTED_VALUE"""),43020.66666666667)</f>
        <v>43020.66667</v>
      </c>
      <c r="E702" s="2">
        <f>IFERROR(__xludf.DUMMYFUNCTION("""COMPUTED_VALUE"""),47.76)</f>
        <v>47.76</v>
      </c>
      <c r="G702" s="3">
        <f>IFERROR(__xludf.DUMMYFUNCTION("""COMPUTED_VALUE"""),43027.99861111111)</f>
        <v>43027.99861</v>
      </c>
      <c r="H702" s="2">
        <f>IFERROR(__xludf.DUMMYFUNCTION("""COMPUTED_VALUE"""),5704.01)</f>
        <v>5704.01</v>
      </c>
    </row>
    <row r="703">
      <c r="A703" s="3">
        <f>IFERROR(__xludf.DUMMYFUNCTION("""COMPUTED_VALUE"""),43021.66666666667)</f>
        <v>43021.66667</v>
      </c>
      <c r="B703" s="2">
        <f>IFERROR(__xludf.DUMMYFUNCTION("""COMPUTED_VALUE"""),42.72)</f>
        <v>42.72</v>
      </c>
      <c r="D703" s="3">
        <f>IFERROR(__xludf.DUMMYFUNCTION("""COMPUTED_VALUE"""),43021.66666666667)</f>
        <v>43021.66667</v>
      </c>
      <c r="E703" s="2">
        <f>IFERROR(__xludf.DUMMYFUNCTION("""COMPUTED_VALUE"""),48.65)</f>
        <v>48.65</v>
      </c>
      <c r="G703" s="3">
        <f>IFERROR(__xludf.DUMMYFUNCTION("""COMPUTED_VALUE"""),43028.99861111111)</f>
        <v>43028.99861</v>
      </c>
      <c r="H703" s="2">
        <f>IFERROR(__xludf.DUMMYFUNCTION("""COMPUTED_VALUE"""),5989.1)</f>
        <v>5989.1</v>
      </c>
    </row>
    <row r="704">
      <c r="A704" s="3">
        <f>IFERROR(__xludf.DUMMYFUNCTION("""COMPUTED_VALUE"""),43024.66666666667)</f>
        <v>43024.66667</v>
      </c>
      <c r="B704" s="2">
        <f>IFERROR(__xludf.DUMMYFUNCTION("""COMPUTED_VALUE"""),42.5)</f>
        <v>42.5</v>
      </c>
      <c r="D704" s="3">
        <f>IFERROR(__xludf.DUMMYFUNCTION("""COMPUTED_VALUE"""),43024.66666666667)</f>
        <v>43024.66667</v>
      </c>
      <c r="E704" s="2">
        <f>IFERROR(__xludf.DUMMYFUNCTION("""COMPUTED_VALUE"""),49.48)</f>
        <v>49.48</v>
      </c>
      <c r="G704" s="3">
        <f>IFERROR(__xludf.DUMMYFUNCTION("""COMPUTED_VALUE"""),43029.99861111111)</f>
        <v>43029.99861</v>
      </c>
      <c r="H704" s="2">
        <f>IFERROR(__xludf.DUMMYFUNCTION("""COMPUTED_VALUE"""),6024.86)</f>
        <v>6024.86</v>
      </c>
    </row>
    <row r="705">
      <c r="A705" s="3">
        <f>IFERROR(__xludf.DUMMYFUNCTION("""COMPUTED_VALUE"""),43025.66666666667)</f>
        <v>43025.66667</v>
      </c>
      <c r="B705" s="2">
        <f>IFERROR(__xludf.DUMMYFUNCTION("""COMPUTED_VALUE"""),42.5)</f>
        <v>42.5</v>
      </c>
      <c r="D705" s="3">
        <f>IFERROR(__xludf.DUMMYFUNCTION("""COMPUTED_VALUE"""),43025.66666666667)</f>
        <v>43025.66667</v>
      </c>
      <c r="E705" s="2">
        <f>IFERROR(__xludf.DUMMYFUNCTION("""COMPUTED_VALUE"""),49.44)</f>
        <v>49.44</v>
      </c>
      <c r="G705" s="3">
        <f>IFERROR(__xludf.DUMMYFUNCTION("""COMPUTED_VALUE"""),43030.99861111111)</f>
        <v>43030.99861</v>
      </c>
      <c r="H705" s="2">
        <f>IFERROR(__xludf.DUMMYFUNCTION("""COMPUTED_VALUE"""),6005.05)</f>
        <v>6005.05</v>
      </c>
    </row>
    <row r="706">
      <c r="A706" s="3">
        <f>IFERROR(__xludf.DUMMYFUNCTION("""COMPUTED_VALUE"""),43026.66666666667)</f>
        <v>43026.66667</v>
      </c>
      <c r="B706" s="2">
        <f>IFERROR(__xludf.DUMMYFUNCTION("""COMPUTED_VALUE"""),42.85)</f>
        <v>42.85</v>
      </c>
      <c r="D706" s="3">
        <f>IFERROR(__xludf.DUMMYFUNCTION("""COMPUTED_VALUE"""),43026.66666666667)</f>
        <v>43026.66667</v>
      </c>
      <c r="E706" s="2">
        <f>IFERROR(__xludf.DUMMYFUNCTION("""COMPUTED_VALUE"""),49.4)</f>
        <v>49.4</v>
      </c>
      <c r="G706" s="3">
        <f>IFERROR(__xludf.DUMMYFUNCTION("""COMPUTED_VALUE"""),43031.99861111111)</f>
        <v>43031.99861</v>
      </c>
      <c r="H706" s="2">
        <f>IFERROR(__xludf.DUMMYFUNCTION("""COMPUTED_VALUE"""),5905.99)</f>
        <v>5905.99</v>
      </c>
    </row>
    <row r="707">
      <c r="A707" s="3">
        <f>IFERROR(__xludf.DUMMYFUNCTION("""COMPUTED_VALUE"""),43027.66666666667)</f>
        <v>43027.66667</v>
      </c>
      <c r="B707" s="2">
        <f>IFERROR(__xludf.DUMMYFUNCTION("""COMPUTED_VALUE"""),42.75)</f>
        <v>42.75</v>
      </c>
      <c r="D707" s="3">
        <f>IFERROR(__xludf.DUMMYFUNCTION("""COMPUTED_VALUE"""),43027.66666666667)</f>
        <v>43027.66667</v>
      </c>
      <c r="E707" s="2">
        <f>IFERROR(__xludf.DUMMYFUNCTION("""COMPUTED_VALUE"""),49.45)</f>
        <v>49.45</v>
      </c>
      <c r="G707" s="3">
        <f>IFERROR(__xludf.DUMMYFUNCTION("""COMPUTED_VALUE"""),43032.99861111111)</f>
        <v>43032.99861</v>
      </c>
      <c r="H707" s="2">
        <f>IFERROR(__xludf.DUMMYFUNCTION("""COMPUTED_VALUE"""),5525.43)</f>
        <v>5525.43</v>
      </c>
    </row>
    <row r="708">
      <c r="A708" s="3">
        <f>IFERROR(__xludf.DUMMYFUNCTION("""COMPUTED_VALUE"""),43028.66666666667)</f>
        <v>43028.66667</v>
      </c>
      <c r="B708" s="2">
        <f>IFERROR(__xludf.DUMMYFUNCTION("""COMPUTED_VALUE"""),42.86)</f>
        <v>42.86</v>
      </c>
      <c r="D708" s="3">
        <f>IFERROR(__xludf.DUMMYFUNCTION("""COMPUTED_VALUE"""),43028.66666666667)</f>
        <v>43028.66667</v>
      </c>
      <c r="E708" s="2">
        <f>IFERROR(__xludf.DUMMYFUNCTION("""COMPUTED_VALUE"""),49.23)</f>
        <v>49.23</v>
      </c>
      <c r="G708" s="3">
        <f>IFERROR(__xludf.DUMMYFUNCTION("""COMPUTED_VALUE"""),43033.99861111111)</f>
        <v>43033.99861</v>
      </c>
      <c r="H708" s="2">
        <f>IFERROR(__xludf.DUMMYFUNCTION("""COMPUTED_VALUE"""),5739.97)</f>
        <v>5739.97</v>
      </c>
    </row>
    <row r="709">
      <c r="A709" s="3">
        <f>IFERROR(__xludf.DUMMYFUNCTION("""COMPUTED_VALUE"""),43031.66666666667)</f>
        <v>43031.66667</v>
      </c>
      <c r="B709" s="2">
        <f>IFERROR(__xludf.DUMMYFUNCTION("""COMPUTED_VALUE"""),42.53)</f>
        <v>42.53</v>
      </c>
      <c r="D709" s="3">
        <f>IFERROR(__xludf.DUMMYFUNCTION("""COMPUTED_VALUE"""),43031.66666666667)</f>
        <v>43031.66667</v>
      </c>
      <c r="E709" s="2">
        <f>IFERROR(__xludf.DUMMYFUNCTION("""COMPUTED_VALUE"""),49.16)</f>
        <v>49.16</v>
      </c>
      <c r="G709" s="3">
        <f>IFERROR(__xludf.DUMMYFUNCTION("""COMPUTED_VALUE"""),43034.99861111111)</f>
        <v>43034.99861</v>
      </c>
      <c r="H709" s="2">
        <f>IFERROR(__xludf.DUMMYFUNCTION("""COMPUTED_VALUE"""),5891.61)</f>
        <v>5891.61</v>
      </c>
    </row>
    <row r="710">
      <c r="A710" s="3">
        <f>IFERROR(__xludf.DUMMYFUNCTION("""COMPUTED_VALUE"""),43032.66666666667)</f>
        <v>43032.66667</v>
      </c>
      <c r="B710" s="2">
        <f>IFERROR(__xludf.DUMMYFUNCTION("""COMPUTED_VALUE"""),42.99)</f>
        <v>42.99</v>
      </c>
      <c r="D710" s="3">
        <f>IFERROR(__xludf.DUMMYFUNCTION("""COMPUTED_VALUE"""),43032.66666666667)</f>
        <v>43032.66667</v>
      </c>
      <c r="E710" s="2">
        <f>IFERROR(__xludf.DUMMYFUNCTION("""COMPUTED_VALUE"""),49.67)</f>
        <v>49.67</v>
      </c>
      <c r="G710" s="3">
        <f>IFERROR(__xludf.DUMMYFUNCTION("""COMPUTED_VALUE"""),43035.99861111111)</f>
        <v>43035.99861</v>
      </c>
      <c r="H710" s="2">
        <f>IFERROR(__xludf.DUMMYFUNCTION("""COMPUTED_VALUE"""),5780.0)</f>
        <v>5780</v>
      </c>
    </row>
    <row r="711">
      <c r="A711" s="3">
        <f>IFERROR(__xludf.DUMMYFUNCTION("""COMPUTED_VALUE"""),43033.66666666667)</f>
        <v>43033.66667</v>
      </c>
      <c r="B711" s="2">
        <f>IFERROR(__xludf.DUMMYFUNCTION("""COMPUTED_VALUE"""),43.07)</f>
        <v>43.07</v>
      </c>
      <c r="D711" s="3">
        <f>IFERROR(__xludf.DUMMYFUNCTION("""COMPUTED_VALUE"""),43033.66666666667)</f>
        <v>43033.66667</v>
      </c>
      <c r="E711" s="2">
        <f>IFERROR(__xludf.DUMMYFUNCTION("""COMPUTED_VALUE"""),48.42)</f>
        <v>48.42</v>
      </c>
      <c r="G711" s="3">
        <f>IFERROR(__xludf.DUMMYFUNCTION("""COMPUTED_VALUE"""),43036.99861111111)</f>
        <v>43036.99861</v>
      </c>
      <c r="H711" s="2">
        <f>IFERROR(__xludf.DUMMYFUNCTION("""COMPUTED_VALUE"""),5752.01)</f>
        <v>5752.01</v>
      </c>
    </row>
    <row r="712">
      <c r="A712" s="3">
        <f>IFERROR(__xludf.DUMMYFUNCTION("""COMPUTED_VALUE"""),43034.66666666667)</f>
        <v>43034.66667</v>
      </c>
      <c r="B712" s="2">
        <f>IFERROR(__xludf.DUMMYFUNCTION("""COMPUTED_VALUE"""),42.99)</f>
        <v>42.99</v>
      </c>
      <c r="D712" s="3">
        <f>IFERROR(__xludf.DUMMYFUNCTION("""COMPUTED_VALUE"""),43034.66666666667)</f>
        <v>43034.66667</v>
      </c>
      <c r="E712" s="2">
        <f>IFERROR(__xludf.DUMMYFUNCTION("""COMPUTED_VALUE"""),48.92)</f>
        <v>48.92</v>
      </c>
      <c r="G712" s="3">
        <f>IFERROR(__xludf.DUMMYFUNCTION("""COMPUTED_VALUE"""),43037.99861111111)</f>
        <v>43037.99861</v>
      </c>
      <c r="H712" s="2">
        <f>IFERROR(__xludf.DUMMYFUNCTION("""COMPUTED_VALUE"""),6140.01)</f>
        <v>6140.01</v>
      </c>
    </row>
    <row r="713">
      <c r="A713" s="3">
        <f>IFERROR(__xludf.DUMMYFUNCTION("""COMPUTED_VALUE"""),43035.66666666667)</f>
        <v>43035.66667</v>
      </c>
      <c r="B713" s="2">
        <f>IFERROR(__xludf.DUMMYFUNCTION("""COMPUTED_VALUE"""),44.29)</f>
        <v>44.29</v>
      </c>
      <c r="D713" s="3">
        <f>IFERROR(__xludf.DUMMYFUNCTION("""COMPUTED_VALUE"""),43035.66666666667)</f>
        <v>43035.66667</v>
      </c>
      <c r="E713" s="2">
        <f>IFERROR(__xludf.DUMMYFUNCTION("""COMPUTED_VALUE"""),50.47)</f>
        <v>50.47</v>
      </c>
      <c r="G713" s="3">
        <f>IFERROR(__xludf.DUMMYFUNCTION("""COMPUTED_VALUE"""),43038.99861111111)</f>
        <v>43038.99861</v>
      </c>
      <c r="H713" s="2">
        <f>IFERROR(__xludf.DUMMYFUNCTION("""COMPUTED_VALUE"""),6124.16)</f>
        <v>6124.16</v>
      </c>
    </row>
    <row r="714">
      <c r="A714" s="3">
        <f>IFERROR(__xludf.DUMMYFUNCTION("""COMPUTED_VALUE"""),43038.66666666667)</f>
        <v>43038.66667</v>
      </c>
      <c r="B714" s="2">
        <f>IFERROR(__xludf.DUMMYFUNCTION("""COMPUTED_VALUE"""),44.25)</f>
        <v>44.25</v>
      </c>
      <c r="D714" s="3">
        <f>IFERROR(__xludf.DUMMYFUNCTION("""COMPUTED_VALUE"""),43038.66666666667)</f>
        <v>43038.66667</v>
      </c>
      <c r="E714" s="2">
        <f>IFERROR(__xludf.DUMMYFUNCTION("""COMPUTED_VALUE"""),50.96)</f>
        <v>50.96</v>
      </c>
      <c r="G714" s="3">
        <f>IFERROR(__xludf.DUMMYFUNCTION("""COMPUTED_VALUE"""),43039.99861111111)</f>
        <v>43039.99861</v>
      </c>
      <c r="H714" s="2">
        <f>IFERROR(__xludf.DUMMYFUNCTION("""COMPUTED_VALUE"""),6445.01)</f>
        <v>6445.01</v>
      </c>
    </row>
    <row r="715">
      <c r="A715" s="3">
        <f>IFERROR(__xludf.DUMMYFUNCTION("""COMPUTED_VALUE"""),43039.66666666667)</f>
        <v>43039.66667</v>
      </c>
      <c r="B715" s="2">
        <f>IFERROR(__xludf.DUMMYFUNCTION("""COMPUTED_VALUE"""),44.67)</f>
        <v>44.67</v>
      </c>
      <c r="D715" s="3">
        <f>IFERROR(__xludf.DUMMYFUNCTION("""COMPUTED_VALUE"""),43039.66666666667)</f>
        <v>43039.66667</v>
      </c>
      <c r="E715" s="2">
        <f>IFERROR(__xludf.DUMMYFUNCTION("""COMPUTED_VALUE"""),51.7)</f>
        <v>51.7</v>
      </c>
      <c r="G715" s="3">
        <f>IFERROR(__xludf.DUMMYFUNCTION("""COMPUTED_VALUE"""),43040.99861111111)</f>
        <v>43040.99861</v>
      </c>
      <c r="H715" s="2">
        <f>IFERROR(__xludf.DUMMYFUNCTION("""COMPUTED_VALUE"""),6783.69)</f>
        <v>6783.69</v>
      </c>
    </row>
    <row r="716">
      <c r="A716" s="3">
        <f>IFERROR(__xludf.DUMMYFUNCTION("""COMPUTED_VALUE"""),43040.66666666667)</f>
        <v>43040.66667</v>
      </c>
      <c r="B716" s="2">
        <f>IFERROR(__xludf.DUMMYFUNCTION("""COMPUTED_VALUE"""),44.57)</f>
        <v>44.57</v>
      </c>
      <c r="D716" s="3">
        <f>IFERROR(__xludf.DUMMYFUNCTION("""COMPUTED_VALUE"""),43040.66666666667)</f>
        <v>43040.66667</v>
      </c>
      <c r="E716" s="2">
        <f>IFERROR(__xludf.DUMMYFUNCTION("""COMPUTED_VALUE"""),51.8)</f>
        <v>51.8</v>
      </c>
      <c r="G716" s="3">
        <f>IFERROR(__xludf.DUMMYFUNCTION("""COMPUTED_VALUE"""),43041.99861111111)</f>
        <v>43041.99861</v>
      </c>
      <c r="H716" s="2">
        <f>IFERROR(__xludf.DUMMYFUNCTION("""COMPUTED_VALUE"""),7039.98)</f>
        <v>7039.98</v>
      </c>
    </row>
    <row r="717">
      <c r="A717" s="3">
        <f>IFERROR(__xludf.DUMMYFUNCTION("""COMPUTED_VALUE"""),43041.66666666667)</f>
        <v>43041.66667</v>
      </c>
      <c r="B717" s="2">
        <f>IFERROR(__xludf.DUMMYFUNCTION("""COMPUTED_VALUE"""),44.36)</f>
        <v>44.36</v>
      </c>
      <c r="D717" s="3">
        <f>IFERROR(__xludf.DUMMYFUNCTION("""COMPUTED_VALUE"""),43041.66666666667)</f>
        <v>43041.66667</v>
      </c>
      <c r="E717" s="2">
        <f>IFERROR(__xludf.DUMMYFUNCTION("""COMPUTED_VALUE"""),51.49)</f>
        <v>51.49</v>
      </c>
      <c r="G717" s="3">
        <f>IFERROR(__xludf.DUMMYFUNCTION("""COMPUTED_VALUE"""),43042.99861111111)</f>
        <v>43042.99861</v>
      </c>
      <c r="H717" s="2">
        <f>IFERROR(__xludf.DUMMYFUNCTION("""COMPUTED_VALUE"""),7170.01)</f>
        <v>7170.01</v>
      </c>
    </row>
    <row r="718">
      <c r="A718" s="3">
        <f>IFERROR(__xludf.DUMMYFUNCTION("""COMPUTED_VALUE"""),43042.66666666667)</f>
        <v>43042.66667</v>
      </c>
      <c r="B718" s="2">
        <f>IFERROR(__xludf.DUMMYFUNCTION("""COMPUTED_VALUE"""),44.78)</f>
        <v>44.78</v>
      </c>
      <c r="D718" s="3">
        <f>IFERROR(__xludf.DUMMYFUNCTION("""COMPUTED_VALUE"""),43042.66666666667)</f>
        <v>43042.66667</v>
      </c>
      <c r="E718" s="2">
        <f>IFERROR(__xludf.DUMMYFUNCTION("""COMPUTED_VALUE"""),52.17)</f>
        <v>52.17</v>
      </c>
      <c r="G718" s="3">
        <f>IFERROR(__xludf.DUMMYFUNCTION("""COMPUTED_VALUE"""),43043.99861111111)</f>
        <v>43043.99861</v>
      </c>
      <c r="H718" s="2">
        <f>IFERROR(__xludf.DUMMYFUNCTION("""COMPUTED_VALUE"""),7412.55)</f>
        <v>7412.55</v>
      </c>
    </row>
    <row r="719">
      <c r="A719" s="3">
        <f>IFERROR(__xludf.DUMMYFUNCTION("""COMPUTED_VALUE"""),43045.66666666667)</f>
        <v>43045.66667</v>
      </c>
      <c r="B719" s="2">
        <f>IFERROR(__xludf.DUMMYFUNCTION("""COMPUTED_VALUE"""),45.08)</f>
        <v>45.08</v>
      </c>
      <c r="D719" s="3">
        <f>IFERROR(__xludf.DUMMYFUNCTION("""COMPUTED_VALUE"""),43045.66666666667)</f>
        <v>43045.66667</v>
      </c>
      <c r="E719" s="2">
        <f>IFERROR(__xludf.DUMMYFUNCTION("""COMPUTED_VALUE"""),52.41)</f>
        <v>52.41</v>
      </c>
      <c r="G719" s="3">
        <f>IFERROR(__xludf.DUMMYFUNCTION("""COMPUTED_VALUE"""),43044.99861111111)</f>
        <v>43044.99861</v>
      </c>
      <c r="H719" s="2">
        <f>IFERROR(__xludf.DUMMYFUNCTION("""COMPUTED_VALUE"""),7392.0)</f>
        <v>7392</v>
      </c>
    </row>
    <row r="720">
      <c r="A720" s="3">
        <f>IFERROR(__xludf.DUMMYFUNCTION("""COMPUTED_VALUE"""),43046.66666666667)</f>
        <v>43046.66667</v>
      </c>
      <c r="B720" s="2">
        <f>IFERROR(__xludf.DUMMYFUNCTION("""COMPUTED_VALUE"""),45.41)</f>
        <v>45.41</v>
      </c>
      <c r="D720" s="3">
        <f>IFERROR(__xludf.DUMMYFUNCTION("""COMPUTED_VALUE"""),43046.66666666667)</f>
        <v>43046.66667</v>
      </c>
      <c r="E720" s="2">
        <f>IFERROR(__xludf.DUMMYFUNCTION("""COMPUTED_VALUE"""),53.01)</f>
        <v>53.01</v>
      </c>
      <c r="G720" s="3">
        <f>IFERROR(__xludf.DUMMYFUNCTION("""COMPUTED_VALUE"""),43045.99861111111)</f>
        <v>43045.99861</v>
      </c>
      <c r="H720" s="2">
        <f>IFERROR(__xludf.DUMMYFUNCTION("""COMPUTED_VALUE"""),6969.76)</f>
        <v>6969.76</v>
      </c>
    </row>
    <row r="721">
      <c r="A721" s="3">
        <f>IFERROR(__xludf.DUMMYFUNCTION("""COMPUTED_VALUE"""),43047.66666666667)</f>
        <v>43047.66667</v>
      </c>
      <c r="B721" s="2">
        <f>IFERROR(__xludf.DUMMYFUNCTION("""COMPUTED_VALUE"""),45.39)</f>
        <v>45.39</v>
      </c>
      <c r="D721" s="3">
        <f>IFERROR(__xludf.DUMMYFUNCTION("""COMPUTED_VALUE"""),43047.66666666667)</f>
        <v>43047.66667</v>
      </c>
      <c r="E721" s="2">
        <f>IFERROR(__xludf.DUMMYFUNCTION("""COMPUTED_VALUE"""),52.29)</f>
        <v>52.29</v>
      </c>
      <c r="G721" s="3">
        <f>IFERROR(__xludf.DUMMYFUNCTION("""COMPUTED_VALUE"""),43046.99861111111)</f>
        <v>43046.99861</v>
      </c>
      <c r="H721" s="2">
        <f>IFERROR(__xludf.DUMMYFUNCTION("""COMPUTED_VALUE"""),7126.63)</f>
        <v>7126.63</v>
      </c>
    </row>
    <row r="722">
      <c r="A722" s="3">
        <f>IFERROR(__xludf.DUMMYFUNCTION("""COMPUTED_VALUE"""),43048.66666666667)</f>
        <v>43048.66667</v>
      </c>
      <c r="B722" s="2">
        <f>IFERROR(__xludf.DUMMYFUNCTION("""COMPUTED_VALUE"""),44.48)</f>
        <v>44.48</v>
      </c>
      <c r="D722" s="3">
        <f>IFERROR(__xludf.DUMMYFUNCTION("""COMPUTED_VALUE"""),43048.66666666667)</f>
        <v>43048.66667</v>
      </c>
      <c r="E722" s="2">
        <f>IFERROR(__xludf.DUMMYFUNCTION("""COMPUTED_VALUE"""),51.33)</f>
        <v>51.33</v>
      </c>
      <c r="G722" s="3">
        <f>IFERROR(__xludf.DUMMYFUNCTION("""COMPUTED_VALUE"""),43047.99861111111)</f>
        <v>43047.99861</v>
      </c>
      <c r="H722" s="2">
        <f>IFERROR(__xludf.DUMMYFUNCTION("""COMPUTED_VALUE"""),7467.96)</f>
        <v>7467.96</v>
      </c>
    </row>
    <row r="723">
      <c r="A723" s="3">
        <f>IFERROR(__xludf.DUMMYFUNCTION("""COMPUTED_VALUE"""),43049.66666666667)</f>
        <v>43049.66667</v>
      </c>
      <c r="B723" s="2">
        <f>IFERROR(__xludf.DUMMYFUNCTION("""COMPUTED_VALUE"""),44.56)</f>
        <v>44.56</v>
      </c>
      <c r="D723" s="3">
        <f>IFERROR(__xludf.DUMMYFUNCTION("""COMPUTED_VALUE"""),43049.66666666667)</f>
        <v>43049.66667</v>
      </c>
      <c r="E723" s="2">
        <f>IFERROR(__xludf.DUMMYFUNCTION("""COMPUTED_VALUE"""),54.04)</f>
        <v>54.04</v>
      </c>
      <c r="G723" s="3">
        <f>IFERROR(__xludf.DUMMYFUNCTION("""COMPUTED_VALUE"""),43048.99861111111)</f>
        <v>43048.99861</v>
      </c>
      <c r="H723" s="2">
        <f>IFERROR(__xludf.DUMMYFUNCTION("""COMPUTED_VALUE"""),7156.0)</f>
        <v>7156</v>
      </c>
    </row>
    <row r="724">
      <c r="A724" s="3">
        <f>IFERROR(__xludf.DUMMYFUNCTION("""COMPUTED_VALUE"""),43052.66666666667)</f>
        <v>43052.66667</v>
      </c>
      <c r="B724" s="2">
        <f>IFERROR(__xludf.DUMMYFUNCTION("""COMPUTED_VALUE"""),44.32)</f>
        <v>44.32</v>
      </c>
      <c r="D724" s="3">
        <f>IFERROR(__xludf.DUMMYFUNCTION("""COMPUTED_VALUE"""),43052.66666666667)</f>
        <v>43052.66667</v>
      </c>
      <c r="E724" s="2">
        <f>IFERROR(__xludf.DUMMYFUNCTION("""COMPUTED_VALUE"""),53.16)</f>
        <v>53.16</v>
      </c>
      <c r="G724" s="3">
        <f>IFERROR(__xludf.DUMMYFUNCTION("""COMPUTED_VALUE"""),43049.99861111111)</f>
        <v>43049.99861</v>
      </c>
      <c r="H724" s="2">
        <f>IFERROR(__xludf.DUMMYFUNCTION("""COMPUTED_VALUE"""),6577.62)</f>
        <v>6577.62</v>
      </c>
    </row>
    <row r="725">
      <c r="A725" s="3">
        <f>IFERROR(__xludf.DUMMYFUNCTION("""COMPUTED_VALUE"""),43053.66666666667)</f>
        <v>43053.66667</v>
      </c>
      <c r="B725" s="2">
        <f>IFERROR(__xludf.DUMMYFUNCTION("""COMPUTED_VALUE"""),44.0)</f>
        <v>44</v>
      </c>
      <c r="D725" s="3">
        <f>IFERROR(__xludf.DUMMYFUNCTION("""COMPUTED_VALUE"""),43053.66666666667)</f>
        <v>43053.66667</v>
      </c>
      <c r="E725" s="2">
        <f>IFERROR(__xludf.DUMMYFUNCTION("""COMPUTED_VALUE"""),53.55)</f>
        <v>53.55</v>
      </c>
      <c r="G725" s="3">
        <f>IFERROR(__xludf.DUMMYFUNCTION("""COMPUTED_VALUE"""),43050.99861111111)</f>
        <v>43050.99861</v>
      </c>
      <c r="H725" s="2">
        <f>IFERROR(__xludf.DUMMYFUNCTION("""COMPUTED_VALUE"""),6346.7)</f>
        <v>6346.7</v>
      </c>
    </row>
    <row r="726">
      <c r="A726" s="3">
        <f>IFERROR(__xludf.DUMMYFUNCTION("""COMPUTED_VALUE"""),43054.66666666667)</f>
        <v>43054.66667</v>
      </c>
      <c r="B726" s="2">
        <f>IFERROR(__xludf.DUMMYFUNCTION("""COMPUTED_VALUE"""),43.58)</f>
        <v>43.58</v>
      </c>
      <c r="D726" s="3">
        <f>IFERROR(__xludf.DUMMYFUNCTION("""COMPUTED_VALUE"""),43054.66666666667)</f>
        <v>43054.66667</v>
      </c>
      <c r="E726" s="2">
        <f>IFERROR(__xludf.DUMMYFUNCTION("""COMPUTED_VALUE"""),52.5)</f>
        <v>52.5</v>
      </c>
      <c r="G726" s="3">
        <f>IFERROR(__xludf.DUMMYFUNCTION("""COMPUTED_VALUE"""),43051.99861111111)</f>
        <v>43051.99861</v>
      </c>
      <c r="H726" s="2">
        <f>IFERROR(__xludf.DUMMYFUNCTION("""COMPUTED_VALUE"""),5886.35)</f>
        <v>5886.35</v>
      </c>
    </row>
    <row r="727">
      <c r="A727" s="3">
        <f>IFERROR(__xludf.DUMMYFUNCTION("""COMPUTED_VALUE"""),43055.66666666667)</f>
        <v>43055.66667</v>
      </c>
      <c r="B727" s="2">
        <f>IFERROR(__xludf.DUMMYFUNCTION("""COMPUTED_VALUE"""),43.9)</f>
        <v>43.9</v>
      </c>
      <c r="D727" s="3">
        <f>IFERROR(__xludf.DUMMYFUNCTION("""COMPUTED_VALUE"""),43055.66666666667)</f>
        <v>43055.66667</v>
      </c>
      <c r="E727" s="2">
        <f>IFERROR(__xludf.DUMMYFUNCTION("""COMPUTED_VALUE"""),52.9)</f>
        <v>52.9</v>
      </c>
      <c r="G727" s="3">
        <f>IFERROR(__xludf.DUMMYFUNCTION("""COMPUTED_VALUE"""),43052.99861111111)</f>
        <v>43052.99861</v>
      </c>
      <c r="H727" s="2">
        <f>IFERROR(__xludf.DUMMYFUNCTION("""COMPUTED_VALUE"""),6535.87)</f>
        <v>6535.87</v>
      </c>
    </row>
    <row r="728">
      <c r="A728" s="3">
        <f>IFERROR(__xludf.DUMMYFUNCTION("""COMPUTED_VALUE"""),43056.66666666667)</f>
        <v>43056.66667</v>
      </c>
      <c r="B728" s="2">
        <f>IFERROR(__xludf.DUMMYFUNCTION("""COMPUTED_VALUE"""),43.62)</f>
        <v>43.62</v>
      </c>
      <c r="D728" s="3">
        <f>IFERROR(__xludf.DUMMYFUNCTION("""COMPUTED_VALUE"""),43056.66666666667)</f>
        <v>43056.66667</v>
      </c>
      <c r="E728" s="2">
        <f>IFERROR(__xludf.DUMMYFUNCTION("""COMPUTED_VALUE"""),52.84)</f>
        <v>52.84</v>
      </c>
      <c r="G728" s="3">
        <f>IFERROR(__xludf.DUMMYFUNCTION("""COMPUTED_VALUE"""),43053.99861111111)</f>
        <v>43053.99861</v>
      </c>
      <c r="H728" s="2">
        <f>IFERROR(__xludf.DUMMYFUNCTION("""COMPUTED_VALUE"""),6605.0)</f>
        <v>6605</v>
      </c>
    </row>
    <row r="729">
      <c r="A729" s="3">
        <f>IFERROR(__xludf.DUMMYFUNCTION("""COMPUTED_VALUE"""),43059.66666666667)</f>
        <v>43059.66667</v>
      </c>
      <c r="B729" s="2">
        <f>IFERROR(__xludf.DUMMYFUNCTION("""COMPUTED_VALUE"""),44.01)</f>
        <v>44.01</v>
      </c>
      <c r="D729" s="3">
        <f>IFERROR(__xludf.DUMMYFUNCTION("""COMPUTED_VALUE"""),43059.66666666667)</f>
        <v>43059.66667</v>
      </c>
      <c r="E729" s="2">
        <f>IFERROR(__xludf.DUMMYFUNCTION("""COMPUTED_VALUE"""),53.52)</f>
        <v>53.52</v>
      </c>
      <c r="G729" s="3">
        <f>IFERROR(__xludf.DUMMYFUNCTION("""COMPUTED_VALUE"""),43054.99861111111)</f>
        <v>43054.99861</v>
      </c>
      <c r="H729" s="2">
        <f>IFERROR(__xludf.DUMMYFUNCTION("""COMPUTED_VALUE"""),7294.0)</f>
        <v>7294</v>
      </c>
    </row>
    <row r="730">
      <c r="A730" s="3">
        <f>IFERROR(__xludf.DUMMYFUNCTION("""COMPUTED_VALUE"""),43060.66666666667)</f>
        <v>43060.66667</v>
      </c>
      <c r="B730" s="2">
        <f>IFERROR(__xludf.DUMMYFUNCTION("""COMPUTED_VALUE"""),45.15)</f>
        <v>45.15</v>
      </c>
      <c r="D730" s="3">
        <f>IFERROR(__xludf.DUMMYFUNCTION("""COMPUTED_VALUE"""),43060.66666666667)</f>
        <v>43060.66667</v>
      </c>
      <c r="E730" s="2">
        <f>IFERROR(__xludf.DUMMYFUNCTION("""COMPUTED_VALUE"""),54.01)</f>
        <v>54.01</v>
      </c>
      <c r="G730" s="3">
        <f>IFERROR(__xludf.DUMMYFUNCTION("""COMPUTED_VALUE"""),43055.99861111111)</f>
        <v>43055.99861</v>
      </c>
      <c r="H730" s="2">
        <f>IFERROR(__xludf.DUMMYFUNCTION("""COMPUTED_VALUE"""),7838.53)</f>
        <v>7838.53</v>
      </c>
    </row>
    <row r="731">
      <c r="A731" s="3">
        <f>IFERROR(__xludf.DUMMYFUNCTION("""COMPUTED_VALUE"""),43061.66666666667)</f>
        <v>43061.66667</v>
      </c>
      <c r="B731" s="2">
        <f>IFERROR(__xludf.DUMMYFUNCTION("""COMPUTED_VALUE"""),45.19)</f>
        <v>45.19</v>
      </c>
      <c r="D731" s="3">
        <f>IFERROR(__xludf.DUMMYFUNCTION("""COMPUTED_VALUE"""),43061.66666666667)</f>
        <v>43061.66667</v>
      </c>
      <c r="E731" s="2">
        <f>IFERROR(__xludf.DUMMYFUNCTION("""COMPUTED_VALUE"""),53.73)</f>
        <v>53.73</v>
      </c>
      <c r="G731" s="3">
        <f>IFERROR(__xludf.DUMMYFUNCTION("""COMPUTED_VALUE"""),43056.99861111111)</f>
        <v>43056.99861</v>
      </c>
      <c r="H731" s="2">
        <f>IFERROR(__xludf.DUMMYFUNCTION("""COMPUTED_VALUE"""),7714.71)</f>
        <v>7714.71</v>
      </c>
    </row>
    <row r="732">
      <c r="A732" s="3">
        <f>IFERROR(__xludf.DUMMYFUNCTION("""COMPUTED_VALUE"""),43063.54166666667)</f>
        <v>43063.54167</v>
      </c>
      <c r="B732" s="2">
        <f>IFERROR(__xludf.DUMMYFUNCTION("""COMPUTED_VALUE"""),45.34)</f>
        <v>45.34</v>
      </c>
      <c r="D732" s="3">
        <f>IFERROR(__xludf.DUMMYFUNCTION("""COMPUTED_VALUE"""),43063.54166666667)</f>
        <v>43063.54167</v>
      </c>
      <c r="E732" s="2">
        <f>IFERROR(__xludf.DUMMYFUNCTION("""COMPUTED_VALUE"""),54.24)</f>
        <v>54.24</v>
      </c>
      <c r="G732" s="3">
        <f>IFERROR(__xludf.DUMMYFUNCTION("""COMPUTED_VALUE"""),43057.99861111111)</f>
        <v>43057.99861</v>
      </c>
      <c r="H732" s="2">
        <f>IFERROR(__xludf.DUMMYFUNCTION("""COMPUTED_VALUE"""),7777.01)</f>
        <v>7777.01</v>
      </c>
    </row>
    <row r="733">
      <c r="A733" s="3">
        <f>IFERROR(__xludf.DUMMYFUNCTION("""COMPUTED_VALUE"""),43066.66666666667)</f>
        <v>43066.66667</v>
      </c>
      <c r="B733" s="2">
        <f>IFERROR(__xludf.DUMMYFUNCTION("""COMPUTED_VALUE"""),44.88)</f>
        <v>44.88</v>
      </c>
      <c r="D733" s="3">
        <f>IFERROR(__xludf.DUMMYFUNCTION("""COMPUTED_VALUE"""),43066.66666666667)</f>
        <v>43066.66667</v>
      </c>
      <c r="E733" s="2">
        <f>IFERROR(__xludf.DUMMYFUNCTION("""COMPUTED_VALUE"""),53.54)</f>
        <v>53.54</v>
      </c>
      <c r="G733" s="3">
        <f>IFERROR(__xludf.DUMMYFUNCTION("""COMPUTED_VALUE"""),43058.99861111111)</f>
        <v>43058.99861</v>
      </c>
      <c r="H733" s="2">
        <f>IFERROR(__xludf.DUMMYFUNCTION("""COMPUTED_VALUE"""),8031.82)</f>
        <v>8031.82</v>
      </c>
    </row>
    <row r="734">
      <c r="A734" s="3">
        <f>IFERROR(__xludf.DUMMYFUNCTION("""COMPUTED_VALUE"""),43067.66666666667)</f>
        <v>43067.66667</v>
      </c>
      <c r="B734" s="2">
        <f>IFERROR(__xludf.DUMMYFUNCTION("""COMPUTED_VALUE"""),44.71)</f>
        <v>44.71</v>
      </c>
      <c r="D734" s="3">
        <f>IFERROR(__xludf.DUMMYFUNCTION("""COMPUTED_VALUE"""),43067.66666666667)</f>
        <v>43067.66667</v>
      </c>
      <c r="E734" s="2">
        <f>IFERROR(__xludf.DUMMYFUNCTION("""COMPUTED_VALUE"""),52.68)</f>
        <v>52.68</v>
      </c>
      <c r="G734" s="3">
        <f>IFERROR(__xludf.DUMMYFUNCTION("""COMPUTED_VALUE"""),43059.99861111111)</f>
        <v>43059.99861</v>
      </c>
      <c r="H734" s="2">
        <f>IFERROR(__xludf.DUMMYFUNCTION("""COMPUTED_VALUE"""),8256.01)</f>
        <v>8256.01</v>
      </c>
    </row>
    <row r="735">
      <c r="A735" s="3">
        <f>IFERROR(__xludf.DUMMYFUNCTION("""COMPUTED_VALUE"""),43068.66666666667)</f>
        <v>43068.66667</v>
      </c>
      <c r="B735" s="2">
        <f>IFERROR(__xludf.DUMMYFUNCTION("""COMPUTED_VALUE"""),43.1)</f>
        <v>43.1</v>
      </c>
      <c r="D735" s="3">
        <f>IFERROR(__xludf.DUMMYFUNCTION("""COMPUTED_VALUE"""),43068.66666666667)</f>
        <v>43068.66667</v>
      </c>
      <c r="E735" s="2">
        <f>IFERROR(__xludf.DUMMYFUNCTION("""COMPUTED_VALUE"""),49.11)</f>
        <v>49.11</v>
      </c>
      <c r="G735" s="3">
        <f>IFERROR(__xludf.DUMMYFUNCTION("""COMPUTED_VALUE"""),43060.99861111111)</f>
        <v>43060.99861</v>
      </c>
      <c r="H735" s="2">
        <f>IFERROR(__xludf.DUMMYFUNCTION("""COMPUTED_VALUE"""),8109.0)</f>
        <v>8109</v>
      </c>
    </row>
    <row r="736">
      <c r="A736" s="3">
        <f>IFERROR(__xludf.DUMMYFUNCTION("""COMPUTED_VALUE"""),43069.66666666667)</f>
        <v>43069.66667</v>
      </c>
      <c r="B736" s="2">
        <f>IFERROR(__xludf.DUMMYFUNCTION("""COMPUTED_VALUE"""),43.5)</f>
        <v>43.5</v>
      </c>
      <c r="D736" s="3">
        <f>IFERROR(__xludf.DUMMYFUNCTION("""COMPUTED_VALUE"""),43069.66666666667)</f>
        <v>43069.66667</v>
      </c>
      <c r="E736" s="2">
        <f>IFERROR(__xludf.DUMMYFUNCTION("""COMPUTED_VALUE"""),50.18)</f>
        <v>50.18</v>
      </c>
      <c r="G736" s="3">
        <f>IFERROR(__xludf.DUMMYFUNCTION("""COMPUTED_VALUE"""),43061.99861111111)</f>
        <v>43061.99861</v>
      </c>
      <c r="H736" s="2">
        <f>IFERROR(__xludf.DUMMYFUNCTION("""COMPUTED_VALUE"""),8250.0)</f>
        <v>8250</v>
      </c>
    </row>
    <row r="737">
      <c r="A737" s="3">
        <f>IFERROR(__xludf.DUMMYFUNCTION("""COMPUTED_VALUE"""),43070.66666666667)</f>
        <v>43070.66667</v>
      </c>
      <c r="B737" s="2">
        <f>IFERROR(__xludf.DUMMYFUNCTION("""COMPUTED_VALUE"""),43.46)</f>
        <v>43.46</v>
      </c>
      <c r="D737" s="3">
        <f>IFERROR(__xludf.DUMMYFUNCTION("""COMPUTED_VALUE"""),43070.66666666667)</f>
        <v>43070.66667</v>
      </c>
      <c r="E737" s="2">
        <f>IFERROR(__xludf.DUMMYFUNCTION("""COMPUTED_VALUE"""),49.42)</f>
        <v>49.42</v>
      </c>
      <c r="G737" s="3">
        <f>IFERROR(__xludf.DUMMYFUNCTION("""COMPUTED_VALUE"""),43062.99861111111)</f>
        <v>43062.99861</v>
      </c>
      <c r="H737" s="2">
        <f>IFERROR(__xludf.DUMMYFUNCTION("""COMPUTED_VALUE"""),8031.16)</f>
        <v>8031.16</v>
      </c>
    </row>
    <row r="738">
      <c r="A738" s="3">
        <f>IFERROR(__xludf.DUMMYFUNCTION("""COMPUTED_VALUE"""),43073.66666666667)</f>
        <v>43073.66667</v>
      </c>
      <c r="B738" s="2">
        <f>IFERROR(__xludf.DUMMYFUNCTION("""COMPUTED_VALUE"""),41.9)</f>
        <v>41.9</v>
      </c>
      <c r="D738" s="3">
        <f>IFERROR(__xludf.DUMMYFUNCTION("""COMPUTED_VALUE"""),43073.66666666667)</f>
        <v>43073.66667</v>
      </c>
      <c r="E738" s="2">
        <f>IFERROR(__xludf.DUMMYFUNCTION("""COMPUTED_VALUE"""),46.67)</f>
        <v>46.67</v>
      </c>
      <c r="G738" s="3">
        <f>IFERROR(__xludf.DUMMYFUNCTION("""COMPUTED_VALUE"""),43063.99861111111)</f>
        <v>43063.99861</v>
      </c>
      <c r="H738" s="2">
        <f>IFERROR(__xludf.DUMMYFUNCTION("""COMPUTED_VALUE"""),8215.01)</f>
        <v>8215.01</v>
      </c>
    </row>
    <row r="739">
      <c r="A739" s="3">
        <f>IFERROR(__xludf.DUMMYFUNCTION("""COMPUTED_VALUE"""),43074.66666666667)</f>
        <v>43074.66667</v>
      </c>
      <c r="B739" s="2">
        <f>IFERROR(__xludf.DUMMYFUNCTION("""COMPUTED_VALUE"""),42.19)</f>
        <v>42.19</v>
      </c>
      <c r="D739" s="3">
        <f>IFERROR(__xludf.DUMMYFUNCTION("""COMPUTED_VALUE"""),43074.66666666667)</f>
        <v>43074.66667</v>
      </c>
      <c r="E739" s="2">
        <f>IFERROR(__xludf.DUMMYFUNCTION("""COMPUTED_VALUE"""),46.94)</f>
        <v>46.94</v>
      </c>
      <c r="G739" s="3">
        <f>IFERROR(__xludf.DUMMYFUNCTION("""COMPUTED_VALUE"""),43064.99861111111)</f>
        <v>43064.99861</v>
      </c>
      <c r="H739" s="2">
        <f>IFERROR(__xludf.DUMMYFUNCTION("""COMPUTED_VALUE"""),8795.5)</f>
        <v>8795.5</v>
      </c>
    </row>
    <row r="740">
      <c r="A740" s="3">
        <f>IFERROR(__xludf.DUMMYFUNCTION("""COMPUTED_VALUE"""),43075.66666666667)</f>
        <v>43075.66667</v>
      </c>
      <c r="B740" s="2">
        <f>IFERROR(__xludf.DUMMYFUNCTION("""COMPUTED_VALUE"""),42.08)</f>
        <v>42.08</v>
      </c>
      <c r="D740" s="3">
        <f>IFERROR(__xludf.DUMMYFUNCTION("""COMPUTED_VALUE"""),43075.66666666667)</f>
        <v>43075.66667</v>
      </c>
      <c r="E740" s="2">
        <f>IFERROR(__xludf.DUMMYFUNCTION("""COMPUTED_VALUE"""),47.32)</f>
        <v>47.32</v>
      </c>
      <c r="G740" s="3">
        <f>IFERROR(__xludf.DUMMYFUNCTION("""COMPUTED_VALUE"""),43065.99861111111)</f>
        <v>43065.99861</v>
      </c>
      <c r="H740" s="2">
        <f>IFERROR(__xludf.DUMMYFUNCTION("""COMPUTED_VALUE"""),9401.11)</f>
        <v>9401.11</v>
      </c>
    </row>
    <row r="741">
      <c r="A741" s="3">
        <f>IFERROR(__xludf.DUMMYFUNCTION("""COMPUTED_VALUE"""),43076.66666666667)</f>
        <v>43076.66667</v>
      </c>
      <c r="B741" s="2">
        <f>IFERROR(__xludf.DUMMYFUNCTION("""COMPUTED_VALUE"""),42.72)</f>
        <v>42.72</v>
      </c>
      <c r="D741" s="3">
        <f>IFERROR(__xludf.DUMMYFUNCTION("""COMPUTED_VALUE"""),43076.66666666667)</f>
        <v>43076.66667</v>
      </c>
      <c r="E741" s="2">
        <f>IFERROR(__xludf.DUMMYFUNCTION("""COMPUTED_VALUE"""),48.0)</f>
        <v>48</v>
      </c>
      <c r="G741" s="3">
        <f>IFERROR(__xludf.DUMMYFUNCTION("""COMPUTED_VALUE"""),43066.99861111111)</f>
        <v>43066.99861</v>
      </c>
      <c r="H741" s="2">
        <f>IFERROR(__xludf.DUMMYFUNCTION("""COMPUTED_VALUE"""),9768.71)</f>
        <v>9768.71</v>
      </c>
    </row>
    <row r="742">
      <c r="A742" s="3">
        <f>IFERROR(__xludf.DUMMYFUNCTION("""COMPUTED_VALUE"""),43077.66666666667)</f>
        <v>43077.66667</v>
      </c>
      <c r="B742" s="2">
        <f>IFERROR(__xludf.DUMMYFUNCTION("""COMPUTED_VALUE"""),43.35)</f>
        <v>43.35</v>
      </c>
      <c r="D742" s="3">
        <f>IFERROR(__xludf.DUMMYFUNCTION("""COMPUTED_VALUE"""),43077.66666666667)</f>
        <v>43077.66667</v>
      </c>
      <c r="E742" s="2">
        <f>IFERROR(__xludf.DUMMYFUNCTION("""COMPUTED_VALUE"""),47.87)</f>
        <v>47.87</v>
      </c>
      <c r="G742" s="3">
        <f>IFERROR(__xludf.DUMMYFUNCTION("""COMPUTED_VALUE"""),43067.99861111111)</f>
        <v>43067.99861</v>
      </c>
      <c r="H742" s="2">
        <f>IFERROR(__xludf.DUMMYFUNCTION("""COMPUTED_VALUE"""),9949.0)</f>
        <v>9949</v>
      </c>
    </row>
    <row r="743">
      <c r="A743" s="3">
        <f>IFERROR(__xludf.DUMMYFUNCTION("""COMPUTED_VALUE"""),43080.66666666667)</f>
        <v>43080.66667</v>
      </c>
      <c r="B743" s="2">
        <f>IFERROR(__xludf.DUMMYFUNCTION("""COMPUTED_VALUE"""),42.23)</f>
        <v>42.23</v>
      </c>
      <c r="D743" s="3">
        <f>IFERROR(__xludf.DUMMYFUNCTION("""COMPUTED_VALUE"""),43080.66666666667)</f>
        <v>43080.66667</v>
      </c>
      <c r="E743" s="2">
        <f>IFERROR(__xludf.DUMMYFUNCTION("""COMPUTED_VALUE"""),48.67)</f>
        <v>48.67</v>
      </c>
      <c r="G743" s="3">
        <f>IFERROR(__xludf.DUMMYFUNCTION("""COMPUTED_VALUE"""),43068.99861111111)</f>
        <v>43068.99861</v>
      </c>
      <c r="H743" s="2">
        <f>IFERROR(__xludf.DUMMYFUNCTION("""COMPUTED_VALUE"""),9935.98)</f>
        <v>9935.98</v>
      </c>
    </row>
    <row r="744">
      <c r="A744" s="3">
        <f>IFERROR(__xludf.DUMMYFUNCTION("""COMPUTED_VALUE"""),43081.66666666667)</f>
        <v>43081.66667</v>
      </c>
      <c r="B744" s="2">
        <f>IFERROR(__xludf.DUMMYFUNCTION("""COMPUTED_VALUE"""),42.03)</f>
        <v>42.03</v>
      </c>
      <c r="D744" s="3">
        <f>IFERROR(__xludf.DUMMYFUNCTION("""COMPUTED_VALUE"""),43081.66666666667)</f>
        <v>43081.66667</v>
      </c>
      <c r="E744" s="2">
        <f>IFERROR(__xludf.DUMMYFUNCTION("""COMPUTED_VALUE"""),47.71)</f>
        <v>47.71</v>
      </c>
      <c r="G744" s="3">
        <f>IFERROR(__xludf.DUMMYFUNCTION("""COMPUTED_VALUE"""),43069.99861111111)</f>
        <v>43069.99861</v>
      </c>
      <c r="H744" s="2">
        <f>IFERROR(__xludf.DUMMYFUNCTION("""COMPUTED_VALUE"""),9903.0)</f>
        <v>9903</v>
      </c>
    </row>
    <row r="745">
      <c r="A745" s="3">
        <f>IFERROR(__xludf.DUMMYFUNCTION("""COMPUTED_VALUE"""),43082.66666666667)</f>
        <v>43082.66667</v>
      </c>
      <c r="B745" s="2">
        <f>IFERROR(__xludf.DUMMYFUNCTION("""COMPUTED_VALUE"""),41.82)</f>
        <v>41.82</v>
      </c>
      <c r="D745" s="3">
        <f>IFERROR(__xludf.DUMMYFUNCTION("""COMPUTED_VALUE"""),43082.66666666667)</f>
        <v>43082.66667</v>
      </c>
      <c r="E745" s="2">
        <f>IFERROR(__xludf.DUMMYFUNCTION("""COMPUTED_VALUE"""),46.55)</f>
        <v>46.55</v>
      </c>
      <c r="G745" s="3">
        <f>IFERROR(__xludf.DUMMYFUNCTION("""COMPUTED_VALUE"""),43070.99861111111)</f>
        <v>43070.99861</v>
      </c>
      <c r="H745" s="2">
        <f>IFERROR(__xludf.DUMMYFUNCTION("""COMPUTED_VALUE"""),10869.84)</f>
        <v>10869.84</v>
      </c>
    </row>
    <row r="746">
      <c r="A746" s="3">
        <f>IFERROR(__xludf.DUMMYFUNCTION("""COMPUTED_VALUE"""),43083.66666666667)</f>
        <v>43083.66667</v>
      </c>
      <c r="B746" s="2">
        <f>IFERROR(__xludf.DUMMYFUNCTION("""COMPUTED_VALUE"""),42.23)</f>
        <v>42.23</v>
      </c>
      <c r="D746" s="3">
        <f>IFERROR(__xludf.DUMMYFUNCTION("""COMPUTED_VALUE"""),43083.66666666667)</f>
        <v>43083.66667</v>
      </c>
      <c r="E746" s="2">
        <f>IFERROR(__xludf.DUMMYFUNCTION("""COMPUTED_VALUE"""),46.62)</f>
        <v>46.62</v>
      </c>
      <c r="G746" s="3">
        <f>IFERROR(__xludf.DUMMYFUNCTION("""COMPUTED_VALUE"""),43071.99861111111)</f>
        <v>43071.99861</v>
      </c>
      <c r="H746" s="2">
        <f>IFERROR(__xludf.DUMMYFUNCTION("""COMPUTED_VALUE"""),10930.24)</f>
        <v>10930.24</v>
      </c>
    </row>
    <row r="747">
      <c r="A747" s="3">
        <f>IFERROR(__xludf.DUMMYFUNCTION("""COMPUTED_VALUE"""),43084.66666666667)</f>
        <v>43084.66667</v>
      </c>
      <c r="B747" s="2">
        <f>IFERROR(__xludf.DUMMYFUNCTION("""COMPUTED_VALUE"""),42.68)</f>
        <v>42.68</v>
      </c>
      <c r="D747" s="3">
        <f>IFERROR(__xludf.DUMMYFUNCTION("""COMPUTED_VALUE"""),43084.66666666667)</f>
        <v>43084.66667</v>
      </c>
      <c r="E747" s="2">
        <f>IFERROR(__xludf.DUMMYFUNCTION("""COMPUTED_VALUE"""),47.89)</f>
        <v>47.89</v>
      </c>
      <c r="G747" s="3">
        <f>IFERROR(__xludf.DUMMYFUNCTION("""COMPUTED_VALUE"""),43072.99861111111)</f>
        <v>43072.99861</v>
      </c>
      <c r="H747" s="2">
        <f>IFERROR(__xludf.DUMMYFUNCTION("""COMPUTED_VALUE"""),11290.0)</f>
        <v>11290</v>
      </c>
    </row>
    <row r="748">
      <c r="A748" s="3">
        <f>IFERROR(__xludf.DUMMYFUNCTION("""COMPUTED_VALUE"""),43087.66666666667)</f>
        <v>43087.66667</v>
      </c>
      <c r="B748" s="2">
        <f>IFERROR(__xludf.DUMMYFUNCTION("""COMPUTED_VALUE"""),43.05)</f>
        <v>43.05</v>
      </c>
      <c r="D748" s="3">
        <f>IFERROR(__xludf.DUMMYFUNCTION("""COMPUTED_VALUE"""),43087.66666666667)</f>
        <v>43087.66667</v>
      </c>
      <c r="E748" s="2">
        <f>IFERROR(__xludf.DUMMYFUNCTION("""COMPUTED_VALUE"""),49.48)</f>
        <v>49.48</v>
      </c>
      <c r="G748" s="3">
        <f>IFERROR(__xludf.DUMMYFUNCTION("""COMPUTED_VALUE"""),43073.99861111111)</f>
        <v>43073.99861</v>
      </c>
      <c r="H748" s="2">
        <f>IFERROR(__xludf.DUMMYFUNCTION("""COMPUTED_VALUE"""),11643.98)</f>
        <v>11643.98</v>
      </c>
    </row>
    <row r="749">
      <c r="A749" s="3">
        <f>IFERROR(__xludf.DUMMYFUNCTION("""COMPUTED_VALUE"""),43088.66666666667)</f>
        <v>43088.66667</v>
      </c>
      <c r="B749" s="2">
        <f>IFERROR(__xludf.DUMMYFUNCTION("""COMPUTED_VALUE"""),43.0)</f>
        <v>43</v>
      </c>
      <c r="D749" s="3">
        <f>IFERROR(__xludf.DUMMYFUNCTION("""COMPUTED_VALUE"""),43088.66666666667)</f>
        <v>43088.66667</v>
      </c>
      <c r="E749" s="2">
        <f>IFERROR(__xludf.DUMMYFUNCTION("""COMPUTED_VALUE"""),49.03)</f>
        <v>49.03</v>
      </c>
      <c r="G749" s="3">
        <f>IFERROR(__xludf.DUMMYFUNCTION("""COMPUTED_VALUE"""),43074.99861111111)</f>
        <v>43074.99861</v>
      </c>
      <c r="H749" s="2">
        <f>IFERROR(__xludf.DUMMYFUNCTION("""COMPUTED_VALUE"""),11718.35)</f>
        <v>11718.35</v>
      </c>
    </row>
    <row r="750">
      <c r="A750" s="3">
        <f>IFERROR(__xludf.DUMMYFUNCTION("""COMPUTED_VALUE"""),43089.66666666667)</f>
        <v>43089.66667</v>
      </c>
      <c r="B750" s="2">
        <f>IFERROR(__xludf.DUMMYFUNCTION("""COMPUTED_VALUE"""),42.93)</f>
        <v>42.93</v>
      </c>
      <c r="D750" s="3">
        <f>IFERROR(__xludf.DUMMYFUNCTION("""COMPUTED_VALUE"""),43089.66666666667)</f>
        <v>43089.66667</v>
      </c>
      <c r="E750" s="2">
        <f>IFERROR(__xludf.DUMMYFUNCTION("""COMPUTED_VALUE"""),49.2)</f>
        <v>49.2</v>
      </c>
      <c r="G750" s="3">
        <f>IFERROR(__xludf.DUMMYFUNCTION("""COMPUTED_VALUE"""),43075.99861111111)</f>
        <v>43075.99861</v>
      </c>
      <c r="H750" s="2">
        <f>IFERROR(__xludf.DUMMYFUNCTION("""COMPUTED_VALUE"""),14090.0)</f>
        <v>14090</v>
      </c>
    </row>
    <row r="751">
      <c r="A751" s="3">
        <f>IFERROR(__xludf.DUMMYFUNCTION("""COMPUTED_VALUE"""),43090.66666666667)</f>
        <v>43090.66667</v>
      </c>
      <c r="B751" s="2">
        <f>IFERROR(__xludf.DUMMYFUNCTION("""COMPUTED_VALUE"""),42.62)</f>
        <v>42.62</v>
      </c>
      <c r="D751" s="3">
        <f>IFERROR(__xludf.DUMMYFUNCTION("""COMPUTED_VALUE"""),43090.66666666667)</f>
        <v>43090.66667</v>
      </c>
      <c r="E751" s="2">
        <f>IFERROR(__xludf.DUMMYFUNCTION("""COMPUTED_VALUE"""),48.97)</f>
        <v>48.97</v>
      </c>
      <c r="G751" s="3">
        <f>IFERROR(__xludf.DUMMYFUNCTION("""COMPUTED_VALUE"""),43076.99861111111)</f>
        <v>43076.99861</v>
      </c>
      <c r="H751" s="2">
        <f>IFERROR(__xludf.DUMMYFUNCTION("""COMPUTED_VALUE"""),17390.01)</f>
        <v>17390.01</v>
      </c>
    </row>
    <row r="752">
      <c r="A752" s="3">
        <f>IFERROR(__xludf.DUMMYFUNCTION("""COMPUTED_VALUE"""),43091.66666666667)</f>
        <v>43091.66667</v>
      </c>
      <c r="B752" s="2">
        <f>IFERROR(__xludf.DUMMYFUNCTION("""COMPUTED_VALUE"""),42.07)</f>
        <v>42.07</v>
      </c>
      <c r="D752" s="3">
        <f>IFERROR(__xludf.DUMMYFUNCTION("""COMPUTED_VALUE"""),43091.66666666667)</f>
        <v>43091.66667</v>
      </c>
      <c r="E752" s="2">
        <f>IFERROR(__xludf.DUMMYFUNCTION("""COMPUTED_VALUE"""),48.82)</f>
        <v>48.82</v>
      </c>
      <c r="G752" s="3">
        <f>IFERROR(__xludf.DUMMYFUNCTION("""COMPUTED_VALUE"""),43077.99861111111)</f>
        <v>43077.99861</v>
      </c>
      <c r="H752" s="2">
        <f>IFERROR(__xludf.DUMMYFUNCTION("""COMPUTED_VALUE"""),16367.03)</f>
        <v>16367.03</v>
      </c>
    </row>
    <row r="753">
      <c r="A753" s="3">
        <f>IFERROR(__xludf.DUMMYFUNCTION("""COMPUTED_VALUE"""),43095.66666666667)</f>
        <v>43095.66667</v>
      </c>
      <c r="B753" s="2">
        <f>IFERROR(__xludf.DUMMYFUNCTION("""COMPUTED_VALUE"""),41.6)</f>
        <v>41.6</v>
      </c>
      <c r="D753" s="3">
        <f>IFERROR(__xludf.DUMMYFUNCTION("""COMPUTED_VALUE"""),43095.66666666667)</f>
        <v>43095.66667</v>
      </c>
      <c r="E753" s="2">
        <f>IFERROR(__xludf.DUMMYFUNCTION("""COMPUTED_VALUE"""),49.36)</f>
        <v>49.36</v>
      </c>
      <c r="G753" s="3">
        <f>IFERROR(__xludf.DUMMYFUNCTION("""COMPUTED_VALUE"""),43078.99861111111)</f>
        <v>43078.99861</v>
      </c>
      <c r="H753" s="2">
        <f>IFERROR(__xludf.DUMMYFUNCTION("""COMPUTED_VALUE"""),15309.98)</f>
        <v>15309.98</v>
      </c>
    </row>
    <row r="754">
      <c r="A754" s="3">
        <f>IFERROR(__xludf.DUMMYFUNCTION("""COMPUTED_VALUE"""),43096.66666666667)</f>
        <v>43096.66667</v>
      </c>
      <c r="B754" s="2">
        <f>IFERROR(__xludf.DUMMYFUNCTION("""COMPUTED_VALUE"""),41.54)</f>
        <v>41.54</v>
      </c>
      <c r="D754" s="3">
        <f>IFERROR(__xludf.DUMMYFUNCTION("""COMPUTED_VALUE"""),43096.66666666667)</f>
        <v>43096.66667</v>
      </c>
      <c r="E754" s="2">
        <f>IFERROR(__xludf.DUMMYFUNCTION("""COMPUTED_VALUE"""),49.29)</f>
        <v>49.29</v>
      </c>
      <c r="G754" s="3">
        <f>IFERROR(__xludf.DUMMYFUNCTION("""COMPUTED_VALUE"""),43079.99861111111)</f>
        <v>43079.99861</v>
      </c>
      <c r="H754" s="2">
        <f>IFERROR(__xludf.DUMMYFUNCTION("""COMPUTED_VALUE"""),15290.01)</f>
        <v>15290.01</v>
      </c>
    </row>
    <row r="755">
      <c r="A755" s="3">
        <f>IFERROR(__xludf.DUMMYFUNCTION("""COMPUTED_VALUE"""),43097.66666666667)</f>
        <v>43097.66667</v>
      </c>
      <c r="B755" s="2">
        <f>IFERROR(__xludf.DUMMYFUNCTION("""COMPUTED_VALUE"""),42.18)</f>
        <v>42.18</v>
      </c>
      <c r="D755" s="3">
        <f>IFERROR(__xludf.DUMMYFUNCTION("""COMPUTED_VALUE"""),43097.66666666667)</f>
        <v>43097.66667</v>
      </c>
      <c r="E755" s="2">
        <f>IFERROR(__xludf.DUMMYFUNCTION("""COMPUTED_VALUE"""),49.35)</f>
        <v>49.35</v>
      </c>
      <c r="G755" s="3">
        <f>IFERROR(__xludf.DUMMYFUNCTION("""COMPUTED_VALUE"""),43080.99861111111)</f>
        <v>43080.99861</v>
      </c>
      <c r="H755" s="2">
        <f>IFERROR(__xludf.DUMMYFUNCTION("""COMPUTED_VALUE"""),16885.76)</f>
        <v>16885.76</v>
      </c>
    </row>
    <row r="756">
      <c r="A756" s="3">
        <f>IFERROR(__xludf.DUMMYFUNCTION("""COMPUTED_VALUE"""),43098.66666666667)</f>
        <v>43098.66667</v>
      </c>
      <c r="B756" s="2">
        <f>IFERROR(__xludf.DUMMYFUNCTION("""COMPUTED_VALUE"""),41.6)</f>
        <v>41.6</v>
      </c>
      <c r="D756" s="3">
        <f>IFERROR(__xludf.DUMMYFUNCTION("""COMPUTED_VALUE"""),43098.66666666667)</f>
        <v>43098.66667</v>
      </c>
      <c r="E756" s="2">
        <f>IFERROR(__xludf.DUMMYFUNCTION("""COMPUTED_VALUE"""),48.38)</f>
        <v>48.38</v>
      </c>
      <c r="G756" s="3">
        <f>IFERROR(__xludf.DUMMYFUNCTION("""COMPUTED_VALUE"""),43081.99861111111)</f>
        <v>43081.99861</v>
      </c>
      <c r="H756" s="2">
        <f>IFERROR(__xludf.DUMMYFUNCTION("""COMPUTED_VALUE"""),17730.12)</f>
        <v>17730.12</v>
      </c>
    </row>
    <row r="757">
      <c r="A757" s="3">
        <f>IFERROR(__xludf.DUMMYFUNCTION("""COMPUTED_VALUE"""),43102.66666666667)</f>
        <v>43102.66667</v>
      </c>
      <c r="B757" s="2">
        <f>IFERROR(__xludf.DUMMYFUNCTION("""COMPUTED_VALUE"""),42.15)</f>
        <v>42.15</v>
      </c>
      <c r="D757" s="3">
        <f>IFERROR(__xludf.DUMMYFUNCTION("""COMPUTED_VALUE"""),43102.66666666667)</f>
        <v>43102.66667</v>
      </c>
      <c r="E757" s="2">
        <f>IFERROR(__xludf.DUMMYFUNCTION("""COMPUTED_VALUE"""),49.84)</f>
        <v>49.84</v>
      </c>
      <c r="G757" s="3">
        <f>IFERROR(__xludf.DUMMYFUNCTION("""COMPUTED_VALUE"""),43082.99861111111)</f>
        <v>43082.99861</v>
      </c>
      <c r="H757" s="2">
        <f>IFERROR(__xludf.DUMMYFUNCTION("""COMPUTED_VALUE"""),16689.61)</f>
        <v>16689.61</v>
      </c>
    </row>
    <row r="758">
      <c r="A758" s="3">
        <f>IFERROR(__xludf.DUMMYFUNCTION("""COMPUTED_VALUE"""),43103.66666666667)</f>
        <v>43103.66667</v>
      </c>
      <c r="B758" s="2">
        <f>IFERROR(__xludf.DUMMYFUNCTION("""COMPUTED_VALUE"""),42.75)</f>
        <v>42.75</v>
      </c>
      <c r="D758" s="3">
        <f>IFERROR(__xludf.DUMMYFUNCTION("""COMPUTED_VALUE"""),43103.66666666667)</f>
        <v>43103.66667</v>
      </c>
      <c r="E758" s="2">
        <f>IFERROR(__xludf.DUMMYFUNCTION("""COMPUTED_VALUE"""),53.12)</f>
        <v>53.12</v>
      </c>
      <c r="G758" s="3">
        <f>IFERROR(__xludf.DUMMYFUNCTION("""COMPUTED_VALUE"""),43083.99861111111)</f>
        <v>43083.99861</v>
      </c>
      <c r="H758" s="2">
        <f>IFERROR(__xludf.DUMMYFUNCTION("""COMPUTED_VALUE"""),16749.78)</f>
        <v>16749.78</v>
      </c>
    </row>
    <row r="759">
      <c r="A759" s="3">
        <f>IFERROR(__xludf.DUMMYFUNCTION("""COMPUTED_VALUE"""),43104.66666666667)</f>
        <v>43104.66667</v>
      </c>
      <c r="B759" s="2">
        <f>IFERROR(__xludf.DUMMYFUNCTION("""COMPUTED_VALUE"""),42.96)</f>
        <v>42.96</v>
      </c>
      <c r="D759" s="3">
        <f>IFERROR(__xludf.DUMMYFUNCTION("""COMPUTED_VALUE"""),43104.66666666667)</f>
        <v>43104.66667</v>
      </c>
      <c r="E759" s="2">
        <f>IFERROR(__xludf.DUMMYFUNCTION("""COMPUTED_VALUE"""),53.4)</f>
        <v>53.4</v>
      </c>
      <c r="G759" s="3">
        <f>IFERROR(__xludf.DUMMYFUNCTION("""COMPUTED_VALUE"""),43084.99861111111)</f>
        <v>43084.99861</v>
      </c>
      <c r="H759" s="2">
        <f>IFERROR(__xludf.DUMMYFUNCTION("""COMPUTED_VALUE"""),17738.67)</f>
        <v>17738.67</v>
      </c>
    </row>
    <row r="760">
      <c r="A760" s="3">
        <f>IFERROR(__xludf.DUMMYFUNCTION("""COMPUTED_VALUE"""),43105.66666666667)</f>
        <v>43105.66667</v>
      </c>
      <c r="B760" s="2">
        <f>IFERROR(__xludf.DUMMYFUNCTION("""COMPUTED_VALUE"""),43.92)</f>
        <v>43.92</v>
      </c>
      <c r="D760" s="3">
        <f>IFERROR(__xludf.DUMMYFUNCTION("""COMPUTED_VALUE"""),43105.66666666667)</f>
        <v>43105.66667</v>
      </c>
      <c r="E760" s="2">
        <f>IFERROR(__xludf.DUMMYFUNCTION("""COMPUTED_VALUE"""),53.85)</f>
        <v>53.85</v>
      </c>
      <c r="G760" s="3">
        <f>IFERROR(__xludf.DUMMYFUNCTION("""COMPUTED_VALUE"""),43085.99861111111)</f>
        <v>43085.99861</v>
      </c>
      <c r="H760" s="2">
        <f>IFERROR(__xludf.DUMMYFUNCTION("""COMPUTED_VALUE"""),19650.01)</f>
        <v>19650.01</v>
      </c>
    </row>
    <row r="761">
      <c r="A761" s="3">
        <f>IFERROR(__xludf.DUMMYFUNCTION("""COMPUTED_VALUE"""),43108.66666666667)</f>
        <v>43108.66667</v>
      </c>
      <c r="B761" s="2">
        <f>IFERROR(__xludf.DUMMYFUNCTION("""COMPUTED_VALUE"""),44.57)</f>
        <v>44.57</v>
      </c>
      <c r="D761" s="3">
        <f>IFERROR(__xludf.DUMMYFUNCTION("""COMPUTED_VALUE"""),43108.66666666667)</f>
        <v>43108.66667</v>
      </c>
      <c r="E761" s="2">
        <f>IFERROR(__xludf.DUMMYFUNCTION("""COMPUTED_VALUE"""),55.5)</f>
        <v>55.5</v>
      </c>
      <c r="G761" s="3">
        <f>IFERROR(__xludf.DUMMYFUNCTION("""COMPUTED_VALUE"""),43086.99861111111)</f>
        <v>43086.99861</v>
      </c>
      <c r="H761" s="2">
        <f>IFERROR(__xludf.DUMMYFUNCTION("""COMPUTED_VALUE"""),19378.99)</f>
        <v>19378.99</v>
      </c>
    </row>
    <row r="762">
      <c r="A762" s="3">
        <f>IFERROR(__xludf.DUMMYFUNCTION("""COMPUTED_VALUE"""),43109.66666666667)</f>
        <v>43109.66667</v>
      </c>
      <c r="B762" s="2">
        <f>IFERROR(__xludf.DUMMYFUNCTION("""COMPUTED_VALUE"""),45.15)</f>
        <v>45.15</v>
      </c>
      <c r="D762" s="3">
        <f>IFERROR(__xludf.DUMMYFUNCTION("""COMPUTED_VALUE"""),43109.66666666667)</f>
        <v>43109.66667</v>
      </c>
      <c r="E762" s="2">
        <f>IFERROR(__xludf.DUMMYFUNCTION("""COMPUTED_VALUE"""),55.49)</f>
        <v>55.49</v>
      </c>
      <c r="G762" s="3">
        <f>IFERROR(__xludf.DUMMYFUNCTION("""COMPUTED_VALUE"""),43087.99861111111)</f>
        <v>43087.99861</v>
      </c>
      <c r="H762" s="2">
        <f>IFERROR(__xludf.DUMMYFUNCTION("""COMPUTED_VALUE"""),19039.01)</f>
        <v>19039.01</v>
      </c>
    </row>
    <row r="763">
      <c r="A763" s="3">
        <f>IFERROR(__xludf.DUMMYFUNCTION("""COMPUTED_VALUE"""),43110.66666666667)</f>
        <v>43110.66667</v>
      </c>
      <c r="B763" s="2">
        <f>IFERROR(__xludf.DUMMYFUNCTION("""COMPUTED_VALUE"""),44.34)</f>
        <v>44.34</v>
      </c>
      <c r="D763" s="3">
        <f>IFERROR(__xludf.DUMMYFUNCTION("""COMPUTED_VALUE"""),43110.66666666667)</f>
        <v>43110.66667</v>
      </c>
      <c r="E763" s="2">
        <f>IFERROR(__xludf.DUMMYFUNCTION("""COMPUTED_VALUE"""),55.92)</f>
        <v>55.92</v>
      </c>
      <c r="G763" s="3">
        <f>IFERROR(__xludf.DUMMYFUNCTION("""COMPUTED_VALUE"""),43088.99861111111)</f>
        <v>43088.99861</v>
      </c>
      <c r="H763" s="2">
        <f>IFERROR(__xludf.DUMMYFUNCTION("""COMPUTED_VALUE"""),17838.73)</f>
        <v>17838.73</v>
      </c>
    </row>
    <row r="764">
      <c r="A764" s="3">
        <f>IFERROR(__xludf.DUMMYFUNCTION("""COMPUTED_VALUE"""),43111.66666666667)</f>
        <v>43111.66667</v>
      </c>
      <c r="B764" s="2">
        <f>IFERROR(__xludf.DUMMYFUNCTION("""COMPUTED_VALUE"""),44.92)</f>
        <v>44.92</v>
      </c>
      <c r="D764" s="3">
        <f>IFERROR(__xludf.DUMMYFUNCTION("""COMPUTED_VALUE"""),43111.66666666667)</f>
        <v>43111.66667</v>
      </c>
      <c r="E764" s="2">
        <f>IFERROR(__xludf.DUMMYFUNCTION("""COMPUTED_VALUE"""),56.02)</f>
        <v>56.02</v>
      </c>
      <c r="G764" s="3">
        <f>IFERROR(__xludf.DUMMYFUNCTION("""COMPUTED_VALUE"""),43089.99861111111)</f>
        <v>43089.99861</v>
      </c>
      <c r="H764" s="2">
        <f>IFERROR(__xludf.DUMMYFUNCTION("""COMPUTED_VALUE"""),16496.89)</f>
        <v>16496.89</v>
      </c>
    </row>
    <row r="765">
      <c r="A765" s="3">
        <f>IFERROR(__xludf.DUMMYFUNCTION("""COMPUTED_VALUE"""),43112.66666666667)</f>
        <v>43112.66667</v>
      </c>
      <c r="B765" s="2">
        <f>IFERROR(__xludf.DUMMYFUNCTION("""COMPUTED_VALUE"""),44.82)</f>
        <v>44.82</v>
      </c>
      <c r="D765" s="3">
        <f>IFERROR(__xludf.DUMMYFUNCTION("""COMPUTED_VALUE"""),43112.66666666667)</f>
        <v>43112.66667</v>
      </c>
      <c r="E765" s="2">
        <f>IFERROR(__xludf.DUMMYFUNCTION("""COMPUTED_VALUE"""),55.75)</f>
        <v>55.75</v>
      </c>
      <c r="G765" s="3">
        <f>IFERROR(__xludf.DUMMYFUNCTION("""COMPUTED_VALUE"""),43090.99861111111)</f>
        <v>43090.99861</v>
      </c>
      <c r="H765" s="2">
        <f>IFERROR(__xludf.DUMMYFUNCTION("""COMPUTED_VALUE"""),15758.8)</f>
        <v>15758.8</v>
      </c>
    </row>
    <row r="766">
      <c r="A766" s="3">
        <f>IFERROR(__xludf.DUMMYFUNCTION("""COMPUTED_VALUE"""),43116.66666666667)</f>
        <v>43116.66667</v>
      </c>
      <c r="B766" s="2">
        <f>IFERROR(__xludf.DUMMYFUNCTION("""COMPUTED_VALUE"""),44.75)</f>
        <v>44.75</v>
      </c>
      <c r="D766" s="3">
        <f>IFERROR(__xludf.DUMMYFUNCTION("""COMPUTED_VALUE"""),43116.66666666667)</f>
        <v>43116.66667</v>
      </c>
      <c r="E766" s="2">
        <f>IFERROR(__xludf.DUMMYFUNCTION("""COMPUTED_VALUE"""),55.03)</f>
        <v>55.03</v>
      </c>
      <c r="G766" s="3">
        <f>IFERROR(__xludf.DUMMYFUNCTION("""COMPUTED_VALUE"""),43091.99861111111)</f>
        <v>43091.99861</v>
      </c>
      <c r="H766" s="2">
        <f>IFERROR(__xludf.DUMMYFUNCTION("""COMPUTED_VALUE"""),14210.57)</f>
        <v>14210.57</v>
      </c>
    </row>
    <row r="767">
      <c r="A767" s="3">
        <f>IFERROR(__xludf.DUMMYFUNCTION("""COMPUTED_VALUE"""),43117.66666666667)</f>
        <v>43117.66667</v>
      </c>
      <c r="B767" s="2">
        <f>IFERROR(__xludf.DUMMYFUNCTION("""COMPUTED_VALUE"""),46.01)</f>
        <v>46.01</v>
      </c>
      <c r="D767" s="3">
        <f>IFERROR(__xludf.DUMMYFUNCTION("""COMPUTED_VALUE"""),43117.66666666667)</f>
        <v>43117.66667</v>
      </c>
      <c r="E767" s="2">
        <f>IFERROR(__xludf.DUMMYFUNCTION("""COMPUTED_VALUE"""),56.18)</f>
        <v>56.18</v>
      </c>
      <c r="G767" s="3">
        <f>IFERROR(__xludf.DUMMYFUNCTION("""COMPUTED_VALUE"""),43092.99861111111)</f>
        <v>43092.99861</v>
      </c>
      <c r="H767" s="2">
        <f>IFERROR(__xludf.DUMMYFUNCTION("""COMPUTED_VALUE"""),15075.89)</f>
        <v>15075.89</v>
      </c>
    </row>
    <row r="768">
      <c r="A768" s="3">
        <f>IFERROR(__xludf.DUMMYFUNCTION("""COMPUTED_VALUE"""),43118.66666666667)</f>
        <v>43118.66667</v>
      </c>
      <c r="B768" s="2">
        <f>IFERROR(__xludf.DUMMYFUNCTION("""COMPUTED_VALUE"""),45.77)</f>
        <v>45.77</v>
      </c>
      <c r="D768" s="3">
        <f>IFERROR(__xludf.DUMMYFUNCTION("""COMPUTED_VALUE"""),43118.66666666667)</f>
        <v>43118.66667</v>
      </c>
      <c r="E768" s="2">
        <f>IFERROR(__xludf.DUMMYFUNCTION("""COMPUTED_VALUE"""),56.11)</f>
        <v>56.11</v>
      </c>
      <c r="G768" s="3">
        <f>IFERROR(__xludf.DUMMYFUNCTION("""COMPUTED_VALUE"""),43093.99861111111)</f>
        <v>43093.99861</v>
      </c>
      <c r="H768" s="2">
        <f>IFERROR(__xludf.DUMMYFUNCTION("""COMPUTED_VALUE"""),14221.94)</f>
        <v>14221.94</v>
      </c>
    </row>
    <row r="769">
      <c r="A769" s="3">
        <f>IFERROR(__xludf.DUMMYFUNCTION("""COMPUTED_VALUE"""),43119.66666666667)</f>
        <v>43119.66667</v>
      </c>
      <c r="B769" s="2">
        <f>IFERROR(__xludf.DUMMYFUNCTION("""COMPUTED_VALUE"""),46.33)</f>
        <v>46.33</v>
      </c>
      <c r="D769" s="3">
        <f>IFERROR(__xludf.DUMMYFUNCTION("""COMPUTED_VALUE"""),43119.66666666667)</f>
        <v>43119.66667</v>
      </c>
      <c r="E769" s="2">
        <f>IFERROR(__xludf.DUMMYFUNCTION("""COMPUTED_VALUE"""),57.53)</f>
        <v>57.53</v>
      </c>
      <c r="G769" s="3">
        <f>IFERROR(__xludf.DUMMYFUNCTION("""COMPUTED_VALUE"""),43094.99861111111)</f>
        <v>43094.99861</v>
      </c>
      <c r="H769" s="2">
        <f>IFERROR(__xludf.DUMMYFUNCTION("""COMPUTED_VALUE"""),14171.98)</f>
        <v>14171.98</v>
      </c>
    </row>
    <row r="770">
      <c r="A770" s="3">
        <f>IFERROR(__xludf.DUMMYFUNCTION("""COMPUTED_VALUE"""),43122.66666666667)</f>
        <v>43122.66667</v>
      </c>
      <c r="B770" s="2">
        <f>IFERROR(__xludf.DUMMYFUNCTION("""COMPUTED_VALUE"""),46.48)</f>
        <v>46.48</v>
      </c>
      <c r="D770" s="3">
        <f>IFERROR(__xludf.DUMMYFUNCTION("""COMPUTED_VALUE"""),43122.66666666667)</f>
        <v>43122.66667</v>
      </c>
      <c r="E770" s="2">
        <f>IFERROR(__xludf.DUMMYFUNCTION("""COMPUTED_VALUE"""),58.42)</f>
        <v>58.42</v>
      </c>
      <c r="G770" s="3">
        <f>IFERROR(__xludf.DUMMYFUNCTION("""COMPUTED_VALUE"""),43095.99861111111)</f>
        <v>43095.99861</v>
      </c>
      <c r="H770" s="2">
        <f>IFERROR(__xludf.DUMMYFUNCTION("""COMPUTED_VALUE"""),15790.88)</f>
        <v>15790.88</v>
      </c>
    </row>
    <row r="771">
      <c r="A771" s="3">
        <f>IFERROR(__xludf.DUMMYFUNCTION("""COMPUTED_VALUE"""),43123.66666666667)</f>
        <v>43123.66667</v>
      </c>
      <c r="B771" s="2">
        <f>IFERROR(__xludf.DUMMYFUNCTION("""COMPUTED_VALUE"""),46.55)</f>
        <v>46.55</v>
      </c>
      <c r="D771" s="3">
        <f>IFERROR(__xludf.DUMMYFUNCTION("""COMPUTED_VALUE"""),43123.66666666667)</f>
        <v>43123.66667</v>
      </c>
      <c r="E771" s="2">
        <f>IFERROR(__xludf.DUMMYFUNCTION("""COMPUTED_VALUE"""),59.73)</f>
        <v>59.73</v>
      </c>
      <c r="G771" s="3">
        <f>IFERROR(__xludf.DUMMYFUNCTION("""COMPUTED_VALUE"""),43096.99861111111)</f>
        <v>43096.99861</v>
      </c>
      <c r="H771" s="2">
        <f>IFERROR(__xludf.DUMMYFUNCTION("""COMPUTED_VALUE"""),15367.08)</f>
        <v>15367.08</v>
      </c>
    </row>
    <row r="772">
      <c r="A772" s="3">
        <f>IFERROR(__xludf.DUMMYFUNCTION("""COMPUTED_VALUE"""),43124.66666666667)</f>
        <v>43124.66667</v>
      </c>
      <c r="B772" s="2">
        <f>IFERROR(__xludf.DUMMYFUNCTION("""COMPUTED_VALUE"""),46.03)</f>
        <v>46.03</v>
      </c>
      <c r="D772" s="3">
        <f>IFERROR(__xludf.DUMMYFUNCTION("""COMPUTED_VALUE"""),43124.66666666667)</f>
        <v>43124.66667</v>
      </c>
      <c r="E772" s="2">
        <f>IFERROR(__xludf.DUMMYFUNCTION("""COMPUTED_VALUE"""),58.95)</f>
        <v>58.95</v>
      </c>
      <c r="G772" s="3">
        <f>IFERROR(__xludf.DUMMYFUNCTION("""COMPUTED_VALUE"""),43097.99861111111)</f>
        <v>43097.99861</v>
      </c>
      <c r="H772" s="2">
        <f>IFERROR(__xludf.DUMMYFUNCTION("""COMPUTED_VALUE"""),14450.01)</f>
        <v>14450.01</v>
      </c>
    </row>
    <row r="773">
      <c r="A773" s="3">
        <f>IFERROR(__xludf.DUMMYFUNCTION("""COMPUTED_VALUE"""),43125.66666666667)</f>
        <v>43125.66667</v>
      </c>
      <c r="B773" s="2">
        <f>IFERROR(__xludf.DUMMYFUNCTION("""COMPUTED_VALUE"""),45.74)</f>
        <v>45.74</v>
      </c>
      <c r="D773" s="3">
        <f>IFERROR(__xludf.DUMMYFUNCTION("""COMPUTED_VALUE"""),43125.66666666667)</f>
        <v>43125.66667</v>
      </c>
      <c r="E773" s="2">
        <f>IFERROR(__xludf.DUMMYFUNCTION("""COMPUTED_VALUE"""),59.09)</f>
        <v>59.09</v>
      </c>
      <c r="G773" s="3">
        <f>IFERROR(__xludf.DUMMYFUNCTION("""COMPUTED_VALUE"""),43098.99861111111)</f>
        <v>43098.99861</v>
      </c>
      <c r="H773" s="2">
        <f>IFERROR(__xludf.DUMMYFUNCTION("""COMPUTED_VALUE"""),14565.05)</f>
        <v>14565.05</v>
      </c>
    </row>
    <row r="774">
      <c r="A774" s="3">
        <f>IFERROR(__xludf.DUMMYFUNCTION("""COMPUTED_VALUE"""),43126.66666666667)</f>
        <v>43126.66667</v>
      </c>
      <c r="B774" s="2">
        <f>IFERROR(__xludf.DUMMYFUNCTION("""COMPUTED_VALUE"""),46.58)</f>
        <v>46.58</v>
      </c>
      <c r="D774" s="3">
        <f>IFERROR(__xludf.DUMMYFUNCTION("""COMPUTED_VALUE"""),43126.66666666667)</f>
        <v>43126.66667</v>
      </c>
      <c r="E774" s="2">
        <f>IFERROR(__xludf.DUMMYFUNCTION("""COMPUTED_VALUE"""),60.83)</f>
        <v>60.83</v>
      </c>
      <c r="G774" s="3">
        <f>IFERROR(__xludf.DUMMYFUNCTION("""COMPUTED_VALUE"""),43099.99861111111)</f>
        <v>43099.99861</v>
      </c>
      <c r="H774" s="2">
        <f>IFERROR(__xludf.DUMMYFUNCTION("""COMPUTED_VALUE"""),12839.99)</f>
        <v>12839.99</v>
      </c>
    </row>
    <row r="775">
      <c r="A775" s="3">
        <f>IFERROR(__xludf.DUMMYFUNCTION("""COMPUTED_VALUE"""),43129.66666666667)</f>
        <v>43129.66667</v>
      </c>
      <c r="B775" s="2">
        <f>IFERROR(__xludf.DUMMYFUNCTION("""COMPUTED_VALUE"""),47.65)</f>
        <v>47.65</v>
      </c>
      <c r="D775" s="3">
        <f>IFERROR(__xludf.DUMMYFUNCTION("""COMPUTED_VALUE"""),43129.66666666667)</f>
        <v>43129.66667</v>
      </c>
      <c r="E775" s="2">
        <f>IFERROR(__xludf.DUMMYFUNCTION("""COMPUTED_VALUE"""),61.71)</f>
        <v>61.71</v>
      </c>
      <c r="G775" s="3">
        <f>IFERROR(__xludf.DUMMYFUNCTION("""COMPUTED_VALUE"""),43100.99861111111)</f>
        <v>43100.99861</v>
      </c>
      <c r="H775" s="2">
        <f>IFERROR(__xludf.DUMMYFUNCTION("""COMPUTED_VALUE"""),13863.13)</f>
        <v>13863.13</v>
      </c>
    </row>
    <row r="776">
      <c r="A776" s="3">
        <f>IFERROR(__xludf.DUMMYFUNCTION("""COMPUTED_VALUE"""),43130.66666666667)</f>
        <v>43130.66667</v>
      </c>
      <c r="B776" s="2">
        <f>IFERROR(__xludf.DUMMYFUNCTION("""COMPUTED_VALUE"""),47.2)</f>
        <v>47.2</v>
      </c>
      <c r="D776" s="3">
        <f>IFERROR(__xludf.DUMMYFUNCTION("""COMPUTED_VALUE"""),43130.66666666667)</f>
        <v>43130.66667</v>
      </c>
      <c r="E776" s="2">
        <f>IFERROR(__xludf.DUMMYFUNCTION("""COMPUTED_VALUE"""),60.68)</f>
        <v>60.68</v>
      </c>
      <c r="G776" s="3">
        <f>IFERROR(__xludf.DUMMYFUNCTION("""COMPUTED_VALUE"""),43101.99861111111)</f>
        <v>43101.99861</v>
      </c>
      <c r="H776" s="2">
        <f>IFERROR(__xludf.DUMMYFUNCTION("""COMPUTED_VALUE"""),13480.01)</f>
        <v>13480.01</v>
      </c>
    </row>
    <row r="777">
      <c r="A777" s="3">
        <f>IFERROR(__xludf.DUMMYFUNCTION("""COMPUTED_VALUE"""),43131.66666666667)</f>
        <v>43131.66667</v>
      </c>
      <c r="B777" s="2">
        <f>IFERROR(__xludf.DUMMYFUNCTION("""COMPUTED_VALUE"""),46.72)</f>
        <v>46.72</v>
      </c>
      <c r="D777" s="3">
        <f>IFERROR(__xludf.DUMMYFUNCTION("""COMPUTED_VALUE"""),43131.66666666667)</f>
        <v>43131.66667</v>
      </c>
      <c r="E777" s="2">
        <f>IFERROR(__xludf.DUMMYFUNCTION("""COMPUTED_VALUE"""),61.45)</f>
        <v>61.45</v>
      </c>
      <c r="G777" s="3">
        <f>IFERROR(__xludf.DUMMYFUNCTION("""COMPUTED_VALUE"""),43102.99861111111)</f>
        <v>43102.99861</v>
      </c>
      <c r="H777" s="2">
        <f>IFERROR(__xludf.DUMMYFUNCTION("""COMPUTED_VALUE"""),14781.51)</f>
        <v>14781.51</v>
      </c>
    </row>
    <row r="778">
      <c r="A778" s="3">
        <f>IFERROR(__xludf.DUMMYFUNCTION("""COMPUTED_VALUE"""),43132.66666666667)</f>
        <v>43132.66667</v>
      </c>
      <c r="B778" s="2">
        <f>IFERROR(__xludf.DUMMYFUNCTION("""COMPUTED_VALUE"""),47.15)</f>
        <v>47.15</v>
      </c>
      <c r="D778" s="3">
        <f>IFERROR(__xludf.DUMMYFUNCTION("""COMPUTED_VALUE"""),43132.66666666667)</f>
        <v>43132.66667</v>
      </c>
      <c r="E778" s="2">
        <f>IFERROR(__xludf.DUMMYFUNCTION("""COMPUTED_VALUE"""),60.13)</f>
        <v>60.13</v>
      </c>
      <c r="G778" s="3">
        <f>IFERROR(__xludf.DUMMYFUNCTION("""COMPUTED_VALUE"""),43103.99861111111)</f>
        <v>43103.99861</v>
      </c>
      <c r="H778" s="2">
        <f>IFERROR(__xludf.DUMMYFUNCTION("""COMPUTED_VALUE"""),15098.14)</f>
        <v>15098.14</v>
      </c>
    </row>
    <row r="779">
      <c r="A779" s="3">
        <f>IFERROR(__xludf.DUMMYFUNCTION("""COMPUTED_VALUE"""),43133.66666666667)</f>
        <v>43133.66667</v>
      </c>
      <c r="B779" s="2">
        <f>IFERROR(__xludf.DUMMYFUNCTION("""COMPUTED_VALUE"""),46.38)</f>
        <v>46.38</v>
      </c>
      <c r="D779" s="3">
        <f>IFERROR(__xludf.DUMMYFUNCTION("""COMPUTED_VALUE"""),43133.66666666667)</f>
        <v>43133.66667</v>
      </c>
      <c r="E779" s="2">
        <f>IFERROR(__xludf.DUMMYFUNCTION("""COMPUTED_VALUE"""),58.38)</f>
        <v>58.38</v>
      </c>
      <c r="G779" s="3">
        <f>IFERROR(__xludf.DUMMYFUNCTION("""COMPUTED_VALUE"""),43104.99861111111)</f>
        <v>43104.99861</v>
      </c>
      <c r="H779" s="2">
        <f>IFERROR(__xludf.DUMMYFUNCTION("""COMPUTED_VALUE"""),15144.99)</f>
        <v>15144.99</v>
      </c>
    </row>
    <row r="780">
      <c r="A780" s="3">
        <f>IFERROR(__xludf.DUMMYFUNCTION("""COMPUTED_VALUE"""),43136.66666666667)</f>
        <v>43136.66667</v>
      </c>
      <c r="B780" s="2">
        <f>IFERROR(__xludf.DUMMYFUNCTION("""COMPUTED_VALUE"""),44.84)</f>
        <v>44.84</v>
      </c>
      <c r="D780" s="3">
        <f>IFERROR(__xludf.DUMMYFUNCTION("""COMPUTED_VALUE"""),43136.66666666667)</f>
        <v>43136.66667</v>
      </c>
      <c r="E780" s="2">
        <f>IFERROR(__xludf.DUMMYFUNCTION("""COMPUTED_VALUE"""),53.43)</f>
        <v>53.43</v>
      </c>
      <c r="G780" s="3">
        <f>IFERROR(__xludf.DUMMYFUNCTION("""COMPUTED_VALUE"""),43105.99861111111)</f>
        <v>43105.99861</v>
      </c>
      <c r="H780" s="2">
        <f>IFERROR(__xludf.DUMMYFUNCTION("""COMPUTED_VALUE"""),16960.01)</f>
        <v>16960.01</v>
      </c>
    </row>
    <row r="781">
      <c r="A781" s="3">
        <f>IFERROR(__xludf.DUMMYFUNCTION("""COMPUTED_VALUE"""),43137.66666666667)</f>
        <v>43137.66667</v>
      </c>
      <c r="B781" s="2">
        <f>IFERROR(__xludf.DUMMYFUNCTION("""COMPUTED_VALUE"""),45.15)</f>
        <v>45.15</v>
      </c>
      <c r="D781" s="3">
        <f>IFERROR(__xludf.DUMMYFUNCTION("""COMPUTED_VALUE"""),43137.66666666667)</f>
        <v>43137.66667</v>
      </c>
      <c r="E781" s="2">
        <f>IFERROR(__xludf.DUMMYFUNCTION("""COMPUTED_VALUE"""),56.4)</f>
        <v>56.4</v>
      </c>
      <c r="G781" s="3">
        <f>IFERROR(__xludf.DUMMYFUNCTION("""COMPUTED_VALUE"""),43106.99861111111)</f>
        <v>43106.99861</v>
      </c>
      <c r="H781" s="2">
        <f>IFERROR(__xludf.DUMMYFUNCTION("""COMPUTED_VALUE"""),17098.99)</f>
        <v>17098.99</v>
      </c>
    </row>
    <row r="782">
      <c r="A782" s="3">
        <f>IFERROR(__xludf.DUMMYFUNCTION("""COMPUTED_VALUE"""),43138.66666666667)</f>
        <v>43138.66667</v>
      </c>
      <c r="B782" s="2">
        <f>IFERROR(__xludf.DUMMYFUNCTION("""COMPUTED_VALUE"""),45.23)</f>
        <v>45.23</v>
      </c>
      <c r="D782" s="3">
        <f>IFERROR(__xludf.DUMMYFUNCTION("""COMPUTED_VALUE"""),43138.66666666667)</f>
        <v>43138.66667</v>
      </c>
      <c r="E782" s="2">
        <f>IFERROR(__xludf.DUMMYFUNCTION("""COMPUTED_VALUE"""),57.2)</f>
        <v>57.2</v>
      </c>
      <c r="G782" s="3">
        <f>IFERROR(__xludf.DUMMYFUNCTION("""COMPUTED_VALUE"""),43107.99861111111)</f>
        <v>43107.99861</v>
      </c>
      <c r="H782" s="2">
        <f>IFERROR(__xludf.DUMMYFUNCTION("""COMPUTED_VALUE"""),16174.22)</f>
        <v>16174.22</v>
      </c>
    </row>
    <row r="783">
      <c r="A783" s="3">
        <f>IFERROR(__xludf.DUMMYFUNCTION("""COMPUTED_VALUE"""),43139.66666666667)</f>
        <v>43139.66667</v>
      </c>
      <c r="B783" s="2">
        <f>IFERROR(__xludf.DUMMYFUNCTION("""COMPUTED_VALUE"""),43.81)</f>
        <v>43.81</v>
      </c>
      <c r="D783" s="3">
        <f>IFERROR(__xludf.DUMMYFUNCTION("""COMPUTED_VALUE"""),43139.66666666667)</f>
        <v>43139.66667</v>
      </c>
      <c r="E783" s="2">
        <f>IFERROR(__xludf.DUMMYFUNCTION("""COMPUTED_VALUE"""),54.38)</f>
        <v>54.38</v>
      </c>
      <c r="G783" s="3">
        <f>IFERROR(__xludf.DUMMYFUNCTION("""COMPUTED_VALUE"""),43108.99861111111)</f>
        <v>43108.99861</v>
      </c>
      <c r="H783" s="2">
        <f>IFERROR(__xludf.DUMMYFUNCTION("""COMPUTED_VALUE"""),14993.74)</f>
        <v>14993.74</v>
      </c>
    </row>
    <row r="784">
      <c r="A784" s="3">
        <f>IFERROR(__xludf.DUMMYFUNCTION("""COMPUTED_VALUE"""),43140.66666666667)</f>
        <v>43140.66667</v>
      </c>
      <c r="B784" s="2">
        <f>IFERROR(__xludf.DUMMYFUNCTION("""COMPUTED_VALUE"""),43.26)</f>
        <v>43.26</v>
      </c>
      <c r="D784" s="3">
        <f>IFERROR(__xludf.DUMMYFUNCTION("""COMPUTED_VALUE"""),43140.66666666667)</f>
        <v>43140.66667</v>
      </c>
      <c r="E784" s="2">
        <f>IFERROR(__xludf.DUMMYFUNCTION("""COMPUTED_VALUE"""),58.02)</f>
        <v>58.02</v>
      </c>
      <c r="G784" s="3">
        <f>IFERROR(__xludf.DUMMYFUNCTION("""COMPUTED_VALUE"""),43109.99861111111)</f>
        <v>43109.99861</v>
      </c>
      <c r="H784" s="2">
        <f>IFERROR(__xludf.DUMMYFUNCTION("""COMPUTED_VALUE"""),14480.99)</f>
        <v>14480.99</v>
      </c>
    </row>
    <row r="785">
      <c r="A785" s="3">
        <f>IFERROR(__xludf.DUMMYFUNCTION("""COMPUTED_VALUE"""),43143.66666666667)</f>
        <v>43143.66667</v>
      </c>
      <c r="B785" s="2">
        <f>IFERROR(__xludf.DUMMYFUNCTION("""COMPUTED_VALUE"""),44.03)</f>
        <v>44.03</v>
      </c>
      <c r="D785" s="3">
        <f>IFERROR(__xludf.DUMMYFUNCTION("""COMPUTED_VALUE"""),43143.66666666667)</f>
        <v>43143.66667</v>
      </c>
      <c r="E785" s="2">
        <f>IFERROR(__xludf.DUMMYFUNCTION("""COMPUTED_VALUE"""),57.01)</f>
        <v>57.01</v>
      </c>
      <c r="G785" s="3">
        <f>IFERROR(__xludf.DUMMYFUNCTION("""COMPUTED_VALUE"""),43110.99861111111)</f>
        <v>43110.99861</v>
      </c>
      <c r="H785" s="2">
        <f>IFERROR(__xludf.DUMMYFUNCTION("""COMPUTED_VALUE"""),14875.18)</f>
        <v>14875.18</v>
      </c>
    </row>
    <row r="786">
      <c r="A786" s="3">
        <f>IFERROR(__xludf.DUMMYFUNCTION("""COMPUTED_VALUE"""),43144.66666666667)</f>
        <v>43144.66667</v>
      </c>
      <c r="B786" s="2">
        <f>IFERROR(__xludf.DUMMYFUNCTION("""COMPUTED_VALUE"""),44.47)</f>
        <v>44.47</v>
      </c>
      <c r="D786" s="3">
        <f>IFERROR(__xludf.DUMMYFUNCTION("""COMPUTED_VALUE"""),43144.66666666667)</f>
        <v>43144.66667</v>
      </c>
      <c r="E786" s="2">
        <f>IFERROR(__xludf.DUMMYFUNCTION("""COMPUTED_VALUE"""),58.16)</f>
        <v>58.16</v>
      </c>
      <c r="G786" s="3">
        <f>IFERROR(__xludf.DUMMYFUNCTION("""COMPUTED_VALUE"""),43111.99861111111)</f>
        <v>43111.99861</v>
      </c>
      <c r="H786" s="2">
        <f>IFERROR(__xludf.DUMMYFUNCTION("""COMPUTED_VALUE"""),13308.06)</f>
        <v>13308.06</v>
      </c>
    </row>
    <row r="787">
      <c r="A787" s="3">
        <f>IFERROR(__xludf.DUMMYFUNCTION("""COMPUTED_VALUE"""),43145.66666666667)</f>
        <v>43145.66667</v>
      </c>
      <c r="B787" s="2">
        <f>IFERROR(__xludf.DUMMYFUNCTION("""COMPUTED_VALUE"""),45.37)</f>
        <v>45.37</v>
      </c>
      <c r="D787" s="3">
        <f>IFERROR(__xludf.DUMMYFUNCTION("""COMPUTED_VALUE"""),43145.66666666667)</f>
        <v>43145.66667</v>
      </c>
      <c r="E787" s="2">
        <f>IFERROR(__xludf.DUMMYFUNCTION("""COMPUTED_VALUE"""),60.36)</f>
        <v>60.36</v>
      </c>
      <c r="G787" s="3">
        <f>IFERROR(__xludf.DUMMYFUNCTION("""COMPUTED_VALUE"""),43112.99861111111)</f>
        <v>43112.99861</v>
      </c>
      <c r="H787" s="2">
        <f>IFERROR(__xludf.DUMMYFUNCTION("""COMPUTED_VALUE"""),13820.0)</f>
        <v>13820</v>
      </c>
    </row>
    <row r="788">
      <c r="A788" s="3">
        <f>IFERROR(__xludf.DUMMYFUNCTION("""COMPUTED_VALUE"""),43146.66666666667)</f>
        <v>43146.66667</v>
      </c>
      <c r="B788" s="2">
        <f>IFERROR(__xludf.DUMMYFUNCTION("""COMPUTED_VALUE"""),45.98)</f>
        <v>45.98</v>
      </c>
      <c r="D788" s="3">
        <f>IFERROR(__xludf.DUMMYFUNCTION("""COMPUTED_VALUE"""),43146.66666666667)</f>
        <v>43146.66667</v>
      </c>
      <c r="E788" s="2">
        <f>IFERROR(__xludf.DUMMYFUNCTION("""COMPUTED_VALUE"""),61.63)</f>
        <v>61.63</v>
      </c>
      <c r="G788" s="3">
        <f>IFERROR(__xludf.DUMMYFUNCTION("""COMPUTED_VALUE"""),43113.99861111111)</f>
        <v>43113.99861</v>
      </c>
      <c r="H788" s="2">
        <f>IFERROR(__xludf.DUMMYFUNCTION("""COMPUTED_VALUE"""),14187.95)</f>
        <v>14187.95</v>
      </c>
    </row>
    <row r="789">
      <c r="A789" s="3">
        <f>IFERROR(__xludf.DUMMYFUNCTION("""COMPUTED_VALUE"""),43147.66666666667)</f>
        <v>43147.66667</v>
      </c>
      <c r="B789" s="2">
        <f>IFERROR(__xludf.DUMMYFUNCTION("""COMPUTED_VALUE"""),45.87)</f>
        <v>45.87</v>
      </c>
      <c r="D789" s="3">
        <f>IFERROR(__xludf.DUMMYFUNCTION("""COMPUTED_VALUE"""),43147.66666666667)</f>
        <v>43147.66667</v>
      </c>
      <c r="E789" s="2">
        <f>IFERROR(__xludf.DUMMYFUNCTION("""COMPUTED_VALUE"""),60.96)</f>
        <v>60.96</v>
      </c>
      <c r="G789" s="3">
        <f>IFERROR(__xludf.DUMMYFUNCTION("""COMPUTED_VALUE"""),43114.99861111111)</f>
        <v>43114.99861</v>
      </c>
      <c r="H789" s="2">
        <f>IFERROR(__xludf.DUMMYFUNCTION("""COMPUTED_VALUE"""),13656.23)</f>
        <v>13656.23</v>
      </c>
    </row>
    <row r="790">
      <c r="A790" s="3">
        <f>IFERROR(__xludf.DUMMYFUNCTION("""COMPUTED_VALUE"""),43151.66666666667)</f>
        <v>43151.66667</v>
      </c>
      <c r="B790" s="2">
        <f>IFERROR(__xludf.DUMMYFUNCTION("""COMPUTED_VALUE"""),45.7)</f>
        <v>45.7</v>
      </c>
      <c r="D790" s="3">
        <f>IFERROR(__xludf.DUMMYFUNCTION("""COMPUTED_VALUE"""),43151.66666666667)</f>
        <v>43151.66667</v>
      </c>
      <c r="E790" s="2">
        <f>IFERROR(__xludf.DUMMYFUNCTION("""COMPUTED_VALUE"""),62.27)</f>
        <v>62.27</v>
      </c>
      <c r="G790" s="3">
        <f>IFERROR(__xludf.DUMMYFUNCTION("""COMPUTED_VALUE"""),43115.99861111111)</f>
        <v>43115.99861</v>
      </c>
      <c r="H790" s="2">
        <f>IFERROR(__xludf.DUMMYFUNCTION("""COMPUTED_VALUE"""),13590.0)</f>
        <v>13590</v>
      </c>
    </row>
    <row r="791">
      <c r="A791" s="3">
        <f>IFERROR(__xludf.DUMMYFUNCTION("""COMPUTED_VALUE"""),43152.66666666667)</f>
        <v>43152.66667</v>
      </c>
      <c r="B791" s="2">
        <f>IFERROR(__xludf.DUMMYFUNCTION("""COMPUTED_VALUE"""),45.57)</f>
        <v>45.57</v>
      </c>
      <c r="D791" s="3">
        <f>IFERROR(__xludf.DUMMYFUNCTION("""COMPUTED_VALUE"""),43152.66666666667)</f>
        <v>43152.66667</v>
      </c>
      <c r="E791" s="2">
        <f>IFERROR(__xludf.DUMMYFUNCTION("""COMPUTED_VALUE"""),60.38)</f>
        <v>60.38</v>
      </c>
      <c r="G791" s="3">
        <f>IFERROR(__xludf.DUMMYFUNCTION("""COMPUTED_VALUE"""),43116.99861111111)</f>
        <v>43116.99861</v>
      </c>
      <c r="H791" s="2">
        <f>IFERROR(__xludf.DUMMYFUNCTION("""COMPUTED_VALUE"""),11570.01)</f>
        <v>11570.01</v>
      </c>
    </row>
    <row r="792">
      <c r="A792" s="3">
        <f>IFERROR(__xludf.DUMMYFUNCTION("""COMPUTED_VALUE"""),43153.66666666667)</f>
        <v>43153.66667</v>
      </c>
      <c r="B792" s="2">
        <f>IFERROR(__xludf.DUMMYFUNCTION("""COMPUTED_VALUE"""),45.57)</f>
        <v>45.57</v>
      </c>
      <c r="D792" s="3">
        <f>IFERROR(__xludf.DUMMYFUNCTION("""COMPUTED_VALUE"""),43153.66666666667)</f>
        <v>43153.66667</v>
      </c>
      <c r="E792" s="2">
        <f>IFERROR(__xludf.DUMMYFUNCTION("""COMPUTED_VALUE"""),60.54)</f>
        <v>60.54</v>
      </c>
      <c r="G792" s="3">
        <f>IFERROR(__xludf.DUMMYFUNCTION("""COMPUTED_VALUE"""),43117.99861111111)</f>
        <v>43117.99861</v>
      </c>
      <c r="H792" s="2">
        <f>IFERROR(__xludf.DUMMYFUNCTION("""COMPUTED_VALUE"""),11200.01)</f>
        <v>11200.01</v>
      </c>
    </row>
    <row r="793">
      <c r="A793" s="3">
        <f>IFERROR(__xludf.DUMMYFUNCTION("""COMPUTED_VALUE"""),43154.66666666667)</f>
        <v>43154.66667</v>
      </c>
      <c r="B793" s="2">
        <f>IFERROR(__xludf.DUMMYFUNCTION("""COMPUTED_VALUE"""),46.29)</f>
        <v>46.29</v>
      </c>
      <c r="D793" s="3">
        <f>IFERROR(__xludf.DUMMYFUNCTION("""COMPUTED_VALUE"""),43154.66666666667)</f>
        <v>43154.66667</v>
      </c>
      <c r="E793" s="2">
        <f>IFERROR(__xludf.DUMMYFUNCTION("""COMPUTED_VALUE"""),61.48)</f>
        <v>61.48</v>
      </c>
      <c r="G793" s="3">
        <f>IFERROR(__xludf.DUMMYFUNCTION("""COMPUTED_VALUE"""),43118.99861111111)</f>
        <v>43118.99861</v>
      </c>
      <c r="H793" s="2">
        <f>IFERROR(__xludf.DUMMYFUNCTION("""COMPUTED_VALUE"""),11305.53)</f>
        <v>11305.53</v>
      </c>
    </row>
    <row r="794">
      <c r="A794" s="3">
        <f>IFERROR(__xludf.DUMMYFUNCTION("""COMPUTED_VALUE"""),43157.66666666667)</f>
        <v>43157.66667</v>
      </c>
      <c r="B794" s="2">
        <f>IFERROR(__xludf.DUMMYFUNCTION("""COMPUTED_VALUE"""),47.75)</f>
        <v>47.75</v>
      </c>
      <c r="D794" s="3">
        <f>IFERROR(__xludf.DUMMYFUNCTION("""COMPUTED_VALUE"""),43157.66666666667)</f>
        <v>43157.66667</v>
      </c>
      <c r="E794" s="2">
        <f>IFERROR(__xludf.DUMMYFUNCTION("""COMPUTED_VALUE"""),61.65)</f>
        <v>61.65</v>
      </c>
      <c r="G794" s="3">
        <f>IFERROR(__xludf.DUMMYFUNCTION("""COMPUTED_VALUE"""),43119.99861111111)</f>
        <v>43119.99861</v>
      </c>
      <c r="H794" s="2">
        <f>IFERROR(__xludf.DUMMYFUNCTION("""COMPUTED_VALUE"""),11498.99)</f>
        <v>11498.99</v>
      </c>
    </row>
    <row r="795">
      <c r="A795" s="3">
        <f>IFERROR(__xludf.DUMMYFUNCTION("""COMPUTED_VALUE"""),43158.66666666667)</f>
        <v>43158.66667</v>
      </c>
      <c r="B795" s="2">
        <f>IFERROR(__xludf.DUMMYFUNCTION("""COMPUTED_VALUE"""),47.43)</f>
        <v>47.43</v>
      </c>
      <c r="D795" s="3">
        <f>IFERROR(__xludf.DUMMYFUNCTION("""COMPUTED_VALUE"""),43158.66666666667)</f>
        <v>43158.66667</v>
      </c>
      <c r="E795" s="2">
        <f>IFERROR(__xludf.DUMMYFUNCTION("""COMPUTED_VALUE"""),61.52)</f>
        <v>61.52</v>
      </c>
      <c r="G795" s="3">
        <f>IFERROR(__xludf.DUMMYFUNCTION("""COMPUTED_VALUE"""),43120.99861111111)</f>
        <v>43120.99861</v>
      </c>
      <c r="H795" s="2">
        <f>IFERROR(__xludf.DUMMYFUNCTION("""COMPUTED_VALUE"""),12762.8)</f>
        <v>12762.8</v>
      </c>
    </row>
    <row r="796">
      <c r="A796" s="3">
        <f>IFERROR(__xludf.DUMMYFUNCTION("""COMPUTED_VALUE"""),43159.66666666667)</f>
        <v>43159.66667</v>
      </c>
      <c r="B796" s="2">
        <f>IFERROR(__xludf.DUMMYFUNCTION("""COMPUTED_VALUE"""),47.01)</f>
        <v>47.01</v>
      </c>
      <c r="D796" s="3">
        <f>IFERROR(__xludf.DUMMYFUNCTION("""COMPUTED_VALUE"""),43159.66666666667)</f>
        <v>43159.66667</v>
      </c>
      <c r="E796" s="2">
        <f>IFERROR(__xludf.DUMMYFUNCTION("""COMPUTED_VALUE"""),60.5)</f>
        <v>60.5</v>
      </c>
      <c r="G796" s="3">
        <f>IFERROR(__xludf.DUMMYFUNCTION("""COMPUTED_VALUE"""),43121.99861111111)</f>
        <v>43121.99861</v>
      </c>
      <c r="H796" s="2">
        <f>IFERROR(__xludf.DUMMYFUNCTION("""COMPUTED_VALUE"""),11518.17)</f>
        <v>11518.17</v>
      </c>
    </row>
    <row r="797">
      <c r="A797" s="3">
        <f>IFERROR(__xludf.DUMMYFUNCTION("""COMPUTED_VALUE"""),43160.66666666667)</f>
        <v>43160.66667</v>
      </c>
      <c r="B797" s="2">
        <f>IFERROR(__xludf.DUMMYFUNCTION("""COMPUTED_VALUE"""),46.58)</f>
        <v>46.58</v>
      </c>
      <c r="D797" s="3">
        <f>IFERROR(__xludf.DUMMYFUNCTION("""COMPUTED_VALUE"""),43160.66666666667)</f>
        <v>43160.66667</v>
      </c>
      <c r="E797" s="2">
        <f>IFERROR(__xludf.DUMMYFUNCTION("""COMPUTED_VALUE"""),58.05)</f>
        <v>58.05</v>
      </c>
      <c r="G797" s="3">
        <f>IFERROR(__xludf.DUMMYFUNCTION("""COMPUTED_VALUE"""),43122.99861111111)</f>
        <v>43122.99861</v>
      </c>
      <c r="H797" s="2">
        <f>IFERROR(__xludf.DUMMYFUNCTION("""COMPUTED_VALUE"""),10766.7)</f>
        <v>10766.7</v>
      </c>
    </row>
    <row r="798">
      <c r="A798" s="3">
        <f>IFERROR(__xludf.DUMMYFUNCTION("""COMPUTED_VALUE"""),43161.66666666667)</f>
        <v>43161.66667</v>
      </c>
      <c r="B798" s="2">
        <f>IFERROR(__xludf.DUMMYFUNCTION("""COMPUTED_VALUE"""),49.42)</f>
        <v>49.42</v>
      </c>
      <c r="D798" s="3">
        <f>IFERROR(__xludf.DUMMYFUNCTION("""COMPUTED_VALUE"""),43161.66666666667)</f>
        <v>43161.66667</v>
      </c>
      <c r="E798" s="2">
        <f>IFERROR(__xludf.DUMMYFUNCTION("""COMPUTED_VALUE"""),59.14)</f>
        <v>59.14</v>
      </c>
      <c r="G798" s="3">
        <f>IFERROR(__xludf.DUMMYFUNCTION("""COMPUTED_VALUE"""),43123.99861111111)</f>
        <v>43123.99861</v>
      </c>
      <c r="H798" s="2">
        <f>IFERROR(__xludf.DUMMYFUNCTION("""COMPUTED_VALUE"""),10824.94)</f>
        <v>10824.94</v>
      </c>
    </row>
    <row r="799">
      <c r="A799" s="3">
        <f>IFERROR(__xludf.DUMMYFUNCTION("""COMPUTED_VALUE"""),43164.66666666667)</f>
        <v>43164.66667</v>
      </c>
      <c r="B799" s="2">
        <f>IFERROR(__xludf.DUMMYFUNCTION("""COMPUTED_VALUE"""),50.54)</f>
        <v>50.54</v>
      </c>
      <c r="D799" s="3">
        <f>IFERROR(__xludf.DUMMYFUNCTION("""COMPUTED_VALUE"""),43164.66666666667)</f>
        <v>43164.66667</v>
      </c>
      <c r="E799" s="2">
        <f>IFERROR(__xludf.DUMMYFUNCTION("""COMPUTED_VALUE"""),58.91)</f>
        <v>58.91</v>
      </c>
      <c r="G799" s="3">
        <f>IFERROR(__xludf.DUMMYFUNCTION("""COMPUTED_VALUE"""),43124.99861111111)</f>
        <v>43124.99861</v>
      </c>
      <c r="H799" s="2">
        <f>IFERROR(__xludf.DUMMYFUNCTION("""COMPUTED_VALUE"""),11356.79)</f>
        <v>11356.79</v>
      </c>
    </row>
    <row r="800">
      <c r="A800" s="3">
        <f>IFERROR(__xludf.DUMMYFUNCTION("""COMPUTED_VALUE"""),43165.66666666667)</f>
        <v>43165.66667</v>
      </c>
      <c r="B800" s="2">
        <f>IFERROR(__xludf.DUMMYFUNCTION("""COMPUTED_VALUE"""),52.55)</f>
        <v>52.55</v>
      </c>
      <c r="D800" s="3">
        <f>IFERROR(__xludf.DUMMYFUNCTION("""COMPUTED_VALUE"""),43165.66666666667)</f>
        <v>43165.66667</v>
      </c>
      <c r="E800" s="2">
        <f>IFERROR(__xludf.DUMMYFUNCTION("""COMPUTED_VALUE"""),60.54)</f>
        <v>60.54</v>
      </c>
      <c r="G800" s="3">
        <f>IFERROR(__xludf.DUMMYFUNCTION("""COMPUTED_VALUE"""),43125.99861111111)</f>
        <v>43125.99861</v>
      </c>
      <c r="H800" s="2">
        <f>IFERROR(__xludf.DUMMYFUNCTION("""COMPUTED_VALUE"""),11118.0)</f>
        <v>11118</v>
      </c>
    </row>
    <row r="801">
      <c r="A801" s="3">
        <f>IFERROR(__xludf.DUMMYFUNCTION("""COMPUTED_VALUE"""),43166.66666666667)</f>
        <v>43166.66667</v>
      </c>
      <c r="B801" s="2">
        <f>IFERROR(__xludf.DUMMYFUNCTION("""COMPUTED_VALUE"""),52.61)</f>
        <v>52.61</v>
      </c>
      <c r="D801" s="3">
        <f>IFERROR(__xludf.DUMMYFUNCTION("""COMPUTED_VALUE"""),43166.66666666667)</f>
        <v>43166.66667</v>
      </c>
      <c r="E801" s="2">
        <f>IFERROR(__xludf.DUMMYFUNCTION("""COMPUTED_VALUE"""),60.46)</f>
        <v>60.46</v>
      </c>
      <c r="G801" s="3">
        <f>IFERROR(__xludf.DUMMYFUNCTION("""COMPUTED_VALUE"""),43126.99861111111)</f>
        <v>43126.99861</v>
      </c>
      <c r="H801" s="2">
        <f>IFERROR(__xludf.DUMMYFUNCTION("""COMPUTED_VALUE"""),11086.89)</f>
        <v>11086.89</v>
      </c>
    </row>
    <row r="802">
      <c r="A802" s="3">
        <f>IFERROR(__xludf.DUMMYFUNCTION("""COMPUTED_VALUE"""),43167.66666666667)</f>
        <v>43167.66667</v>
      </c>
      <c r="B802" s="2">
        <f>IFERROR(__xludf.DUMMYFUNCTION("""COMPUTED_VALUE"""),52.59)</f>
        <v>52.59</v>
      </c>
      <c r="D802" s="3">
        <f>IFERROR(__xludf.DUMMYFUNCTION("""COMPUTED_VALUE"""),43167.66666666667)</f>
        <v>43167.66667</v>
      </c>
      <c r="E802" s="2">
        <f>IFERROR(__xludf.DUMMYFUNCTION("""COMPUTED_VALUE"""),60.3)</f>
        <v>60.3</v>
      </c>
      <c r="G802" s="3">
        <f>IFERROR(__xludf.DUMMYFUNCTION("""COMPUTED_VALUE"""),43127.99861111111)</f>
        <v>43127.99861</v>
      </c>
      <c r="H802" s="2">
        <f>IFERROR(__xludf.DUMMYFUNCTION("""COMPUTED_VALUE"""),11319.0)</f>
        <v>11319</v>
      </c>
    </row>
    <row r="803">
      <c r="A803" s="3">
        <f>IFERROR(__xludf.DUMMYFUNCTION("""COMPUTED_VALUE"""),43168.66666666667)</f>
        <v>43168.66667</v>
      </c>
      <c r="B803" s="2">
        <f>IFERROR(__xludf.DUMMYFUNCTION("""COMPUTED_VALUE"""),54.07)</f>
        <v>54.07</v>
      </c>
      <c r="D803" s="3">
        <f>IFERROR(__xludf.DUMMYFUNCTION("""COMPUTED_VALUE"""),43168.66666666667)</f>
        <v>43168.66667</v>
      </c>
      <c r="E803" s="2">
        <f>IFERROR(__xludf.DUMMYFUNCTION("""COMPUTED_VALUE"""),61.33)</f>
        <v>61.33</v>
      </c>
      <c r="G803" s="3">
        <f>IFERROR(__xludf.DUMMYFUNCTION("""COMPUTED_VALUE"""),43128.99861111111)</f>
        <v>43128.99861</v>
      </c>
      <c r="H803" s="2">
        <f>IFERROR(__xludf.DUMMYFUNCTION("""COMPUTED_VALUE"""),11536.0)</f>
        <v>11536</v>
      </c>
    </row>
    <row r="804">
      <c r="A804" s="3">
        <f>IFERROR(__xludf.DUMMYFUNCTION("""COMPUTED_VALUE"""),43171.66666666667)</f>
        <v>43171.66667</v>
      </c>
      <c r="B804" s="2">
        <f>IFERROR(__xludf.DUMMYFUNCTION("""COMPUTED_VALUE"""),54.62)</f>
        <v>54.62</v>
      </c>
      <c r="D804" s="3">
        <f>IFERROR(__xludf.DUMMYFUNCTION("""COMPUTED_VALUE"""),43171.66666666667)</f>
        <v>43171.66667</v>
      </c>
      <c r="E804" s="2">
        <f>IFERROR(__xludf.DUMMYFUNCTION("""COMPUTED_VALUE"""),62.44)</f>
        <v>62.44</v>
      </c>
      <c r="G804" s="3">
        <f>IFERROR(__xludf.DUMMYFUNCTION("""COMPUTED_VALUE"""),43129.99861111111)</f>
        <v>43129.99861</v>
      </c>
      <c r="H804" s="2">
        <f>IFERROR(__xludf.DUMMYFUNCTION("""COMPUTED_VALUE"""),11123.01)</f>
        <v>11123.01</v>
      </c>
    </row>
    <row r="805">
      <c r="A805" s="3">
        <f>IFERROR(__xludf.DUMMYFUNCTION("""COMPUTED_VALUE"""),43172.66666666667)</f>
        <v>43172.66667</v>
      </c>
      <c r="B805" s="2">
        <f>IFERROR(__xludf.DUMMYFUNCTION("""COMPUTED_VALUE"""),53.87)</f>
        <v>53.87</v>
      </c>
      <c r="D805" s="3">
        <f>IFERROR(__xludf.DUMMYFUNCTION("""COMPUTED_VALUE"""),43172.66666666667)</f>
        <v>43172.66667</v>
      </c>
      <c r="E805" s="2">
        <f>IFERROR(__xludf.DUMMYFUNCTION("""COMPUTED_VALUE"""),61.93)</f>
        <v>61.93</v>
      </c>
      <c r="G805" s="3">
        <f>IFERROR(__xludf.DUMMYFUNCTION("""COMPUTED_VALUE"""),43130.99861111111)</f>
        <v>43130.99861</v>
      </c>
      <c r="H805" s="2">
        <f>IFERROR(__xludf.DUMMYFUNCTION("""COMPUTED_VALUE"""),9995.0)</f>
        <v>9995</v>
      </c>
    </row>
    <row r="806">
      <c r="A806" s="3">
        <f>IFERROR(__xludf.DUMMYFUNCTION("""COMPUTED_VALUE"""),43173.66666666667)</f>
        <v>43173.66667</v>
      </c>
      <c r="B806" s="2">
        <f>IFERROR(__xludf.DUMMYFUNCTION("""COMPUTED_VALUE"""),53.58)</f>
        <v>53.58</v>
      </c>
      <c r="D806" s="3">
        <f>IFERROR(__xludf.DUMMYFUNCTION("""COMPUTED_VALUE"""),43173.66666666667)</f>
        <v>43173.66667</v>
      </c>
      <c r="E806" s="2">
        <f>IFERROR(__xludf.DUMMYFUNCTION("""COMPUTED_VALUE"""),62.19)</f>
        <v>62.19</v>
      </c>
      <c r="G806" s="3">
        <f>IFERROR(__xludf.DUMMYFUNCTION("""COMPUTED_VALUE"""),43131.99861111111)</f>
        <v>43131.99861</v>
      </c>
      <c r="H806" s="2">
        <f>IFERROR(__xludf.DUMMYFUNCTION("""COMPUTED_VALUE"""),10099.99)</f>
        <v>10099.99</v>
      </c>
    </row>
    <row r="807">
      <c r="A807" s="3">
        <f>IFERROR(__xludf.DUMMYFUNCTION("""COMPUTED_VALUE"""),43174.66666666667)</f>
        <v>43174.66667</v>
      </c>
      <c r="B807" s="2">
        <f>IFERROR(__xludf.DUMMYFUNCTION("""COMPUTED_VALUE"""),53.38)</f>
        <v>53.38</v>
      </c>
      <c r="D807" s="3">
        <f>IFERROR(__xludf.DUMMYFUNCTION("""COMPUTED_VALUE"""),43174.66666666667)</f>
        <v>43174.66667</v>
      </c>
      <c r="E807" s="2">
        <f>IFERROR(__xludf.DUMMYFUNCTION("""COMPUTED_VALUE"""),62.34)</f>
        <v>62.34</v>
      </c>
      <c r="G807" s="3">
        <f>IFERROR(__xludf.DUMMYFUNCTION("""COMPUTED_VALUE"""),43132.99861111111)</f>
        <v>43132.99861</v>
      </c>
      <c r="H807" s="2">
        <f>IFERROR(__xludf.DUMMYFUNCTION("""COMPUTED_VALUE"""),9014.23)</f>
        <v>9014.23</v>
      </c>
    </row>
    <row r="808">
      <c r="A808" s="3">
        <f>IFERROR(__xludf.DUMMYFUNCTION("""COMPUTED_VALUE"""),43175.66666666667)</f>
        <v>43175.66667</v>
      </c>
      <c r="B808" s="2">
        <f>IFERROR(__xludf.DUMMYFUNCTION("""COMPUTED_VALUE"""),53.39)</f>
        <v>53.39</v>
      </c>
      <c r="D808" s="3">
        <f>IFERROR(__xludf.DUMMYFUNCTION("""COMPUTED_VALUE"""),43175.66666666667)</f>
        <v>43175.66667</v>
      </c>
      <c r="E808" s="2">
        <f>IFERROR(__xludf.DUMMYFUNCTION("""COMPUTED_VALUE"""),62.62)</f>
        <v>62.62</v>
      </c>
      <c r="G808" s="3">
        <f>IFERROR(__xludf.DUMMYFUNCTION("""COMPUTED_VALUE"""),43133.99861111111)</f>
        <v>43133.99861</v>
      </c>
      <c r="H808" s="2">
        <f>IFERROR(__xludf.DUMMYFUNCTION("""COMPUTED_VALUE"""),8787.52)</f>
        <v>8787.52</v>
      </c>
    </row>
    <row r="809">
      <c r="A809" s="3">
        <f>IFERROR(__xludf.DUMMYFUNCTION("""COMPUTED_VALUE"""),43178.66666666667)</f>
        <v>43178.66667</v>
      </c>
      <c r="B809" s="2">
        <f>IFERROR(__xludf.DUMMYFUNCTION("""COMPUTED_VALUE"""),52.69)</f>
        <v>52.69</v>
      </c>
      <c r="D809" s="3">
        <f>IFERROR(__xludf.DUMMYFUNCTION("""COMPUTED_VALUE"""),43178.66666666667)</f>
        <v>43178.66667</v>
      </c>
      <c r="E809" s="2">
        <f>IFERROR(__xludf.DUMMYFUNCTION("""COMPUTED_VALUE"""),60.25)</f>
        <v>60.25</v>
      </c>
      <c r="G809" s="3">
        <f>IFERROR(__xludf.DUMMYFUNCTION("""COMPUTED_VALUE"""),43134.99861111111)</f>
        <v>43134.99861</v>
      </c>
      <c r="H809" s="2">
        <f>IFERROR(__xludf.DUMMYFUNCTION("""COMPUTED_VALUE"""),9240.0)</f>
        <v>9240</v>
      </c>
    </row>
    <row r="810">
      <c r="A810" s="3">
        <f>IFERROR(__xludf.DUMMYFUNCTION("""COMPUTED_VALUE"""),43179.66666666667)</f>
        <v>43179.66667</v>
      </c>
      <c r="B810" s="2">
        <f>IFERROR(__xludf.DUMMYFUNCTION("""COMPUTED_VALUE"""),52.7)</f>
        <v>52.7</v>
      </c>
      <c r="D810" s="3">
        <f>IFERROR(__xludf.DUMMYFUNCTION("""COMPUTED_VALUE"""),43179.66666666667)</f>
        <v>43179.66667</v>
      </c>
      <c r="E810" s="2">
        <f>IFERROR(__xludf.DUMMYFUNCTION("""COMPUTED_VALUE"""),62.4)</f>
        <v>62.4</v>
      </c>
      <c r="G810" s="3">
        <f>IFERROR(__xludf.DUMMYFUNCTION("""COMPUTED_VALUE"""),43135.99861111111)</f>
        <v>43135.99861</v>
      </c>
      <c r="H810" s="2">
        <f>IFERROR(__xludf.DUMMYFUNCTION("""COMPUTED_VALUE"""),8167.91)</f>
        <v>8167.91</v>
      </c>
    </row>
    <row r="811">
      <c r="A811" s="3">
        <f>IFERROR(__xludf.DUMMYFUNCTION("""COMPUTED_VALUE"""),43180.66666666667)</f>
        <v>43180.66667</v>
      </c>
      <c r="B811" s="2">
        <f>IFERROR(__xludf.DUMMYFUNCTION("""COMPUTED_VALUE"""),53.16)</f>
        <v>53.16</v>
      </c>
      <c r="D811" s="3">
        <f>IFERROR(__xludf.DUMMYFUNCTION("""COMPUTED_VALUE"""),43180.66666666667)</f>
        <v>43180.66667</v>
      </c>
      <c r="E811" s="2">
        <f>IFERROR(__xludf.DUMMYFUNCTION("""COMPUTED_VALUE"""),62.14)</f>
        <v>62.14</v>
      </c>
      <c r="G811" s="3">
        <f>IFERROR(__xludf.DUMMYFUNCTION("""COMPUTED_VALUE"""),43136.99861111111)</f>
        <v>43136.99861</v>
      </c>
      <c r="H811" s="2">
        <f>IFERROR(__xludf.DUMMYFUNCTION("""COMPUTED_VALUE"""),6905.19)</f>
        <v>6905.19</v>
      </c>
    </row>
    <row r="812">
      <c r="A812" s="3">
        <f>IFERROR(__xludf.DUMMYFUNCTION("""COMPUTED_VALUE"""),43181.66666666667)</f>
        <v>43181.66667</v>
      </c>
      <c r="B812" s="2">
        <f>IFERROR(__xludf.DUMMYFUNCTION("""COMPUTED_VALUE"""),51.89)</f>
        <v>51.89</v>
      </c>
      <c r="D812" s="3">
        <f>IFERROR(__xludf.DUMMYFUNCTION("""COMPUTED_VALUE"""),43181.66666666667)</f>
        <v>43181.66667</v>
      </c>
      <c r="E812" s="2">
        <f>IFERROR(__xludf.DUMMYFUNCTION("""COMPUTED_VALUE"""),60.46)</f>
        <v>60.46</v>
      </c>
      <c r="G812" s="3">
        <f>IFERROR(__xludf.DUMMYFUNCTION("""COMPUTED_VALUE"""),43137.99861111111)</f>
        <v>43137.99861</v>
      </c>
      <c r="H812" s="2">
        <f>IFERROR(__xludf.DUMMYFUNCTION("""COMPUTED_VALUE"""),7688.46)</f>
        <v>7688.46</v>
      </c>
    </row>
    <row r="813">
      <c r="A813" s="3">
        <f>IFERROR(__xludf.DUMMYFUNCTION("""COMPUTED_VALUE"""),43182.66666666667)</f>
        <v>43182.66667</v>
      </c>
      <c r="B813" s="2">
        <f>IFERROR(__xludf.DUMMYFUNCTION("""COMPUTED_VALUE"""),50.81)</f>
        <v>50.81</v>
      </c>
      <c r="D813" s="3">
        <f>IFERROR(__xludf.DUMMYFUNCTION("""COMPUTED_VALUE"""),43182.66666666667)</f>
        <v>43182.66667</v>
      </c>
      <c r="E813" s="2">
        <f>IFERROR(__xludf.DUMMYFUNCTION("""COMPUTED_VALUE"""),58.24)</f>
        <v>58.24</v>
      </c>
      <c r="G813" s="3">
        <f>IFERROR(__xludf.DUMMYFUNCTION("""COMPUTED_VALUE"""),43138.99861111111)</f>
        <v>43138.99861</v>
      </c>
      <c r="H813" s="2">
        <f>IFERROR(__xludf.DUMMYFUNCTION("""COMPUTED_VALUE"""),7575.75)</f>
        <v>7575.75</v>
      </c>
    </row>
    <row r="814">
      <c r="A814" s="3">
        <f>IFERROR(__xludf.DUMMYFUNCTION("""COMPUTED_VALUE"""),43185.66666666667)</f>
        <v>43185.66667</v>
      </c>
      <c r="B814" s="2">
        <f>IFERROR(__xludf.DUMMYFUNCTION("""COMPUTED_VALUE"""),52.19)</f>
        <v>52.19</v>
      </c>
      <c r="D814" s="3">
        <f>IFERROR(__xludf.DUMMYFUNCTION("""COMPUTED_VALUE"""),43185.66666666667)</f>
        <v>43185.66667</v>
      </c>
      <c r="E814" s="2">
        <f>IFERROR(__xludf.DUMMYFUNCTION("""COMPUTED_VALUE"""),61.12)</f>
        <v>61.12</v>
      </c>
      <c r="G814" s="3">
        <f>IFERROR(__xludf.DUMMYFUNCTION("""COMPUTED_VALUE"""),43139.99861111111)</f>
        <v>43139.99861</v>
      </c>
      <c r="H814" s="2">
        <f>IFERROR(__xludf.DUMMYFUNCTION("""COMPUTED_VALUE"""),8218.1)</f>
        <v>8218.1</v>
      </c>
    </row>
    <row r="815">
      <c r="A815" s="3">
        <f>IFERROR(__xludf.DUMMYFUNCTION("""COMPUTED_VALUE"""),43186.66666666667)</f>
        <v>43186.66667</v>
      </c>
      <c r="B815" s="2">
        <f>IFERROR(__xludf.DUMMYFUNCTION("""COMPUTED_VALUE"""),51.34)</f>
        <v>51.34</v>
      </c>
      <c r="D815" s="3">
        <f>IFERROR(__xludf.DUMMYFUNCTION("""COMPUTED_VALUE"""),43186.66666666667)</f>
        <v>43186.66667</v>
      </c>
      <c r="E815" s="2">
        <f>IFERROR(__xludf.DUMMYFUNCTION("""COMPUTED_VALUE"""),56.38)</f>
        <v>56.38</v>
      </c>
      <c r="G815" s="3">
        <f>IFERROR(__xludf.DUMMYFUNCTION("""COMPUTED_VALUE"""),43140.99861111111)</f>
        <v>43140.99861</v>
      </c>
      <c r="H815" s="2">
        <f>IFERROR(__xludf.DUMMYFUNCTION("""COMPUTED_VALUE"""),8671.01)</f>
        <v>8671.01</v>
      </c>
    </row>
    <row r="816">
      <c r="A816" s="3">
        <f>IFERROR(__xludf.DUMMYFUNCTION("""COMPUTED_VALUE"""),43187.66666666667)</f>
        <v>43187.66667</v>
      </c>
      <c r="B816" s="2">
        <f>IFERROR(__xludf.DUMMYFUNCTION("""COMPUTED_VALUE"""),51.23)</f>
        <v>51.23</v>
      </c>
      <c r="D816" s="3">
        <f>IFERROR(__xludf.DUMMYFUNCTION("""COMPUTED_VALUE"""),43187.66666666667)</f>
        <v>43187.66667</v>
      </c>
      <c r="E816" s="2">
        <f>IFERROR(__xludf.DUMMYFUNCTION("""COMPUTED_VALUE"""),55.34)</f>
        <v>55.34</v>
      </c>
      <c r="G816" s="3">
        <f>IFERROR(__xludf.DUMMYFUNCTION("""COMPUTED_VALUE"""),43141.99861111111)</f>
        <v>43141.99861</v>
      </c>
      <c r="H816" s="2">
        <f>IFERROR(__xludf.DUMMYFUNCTION("""COMPUTED_VALUE"""),8547.49)</f>
        <v>8547.49</v>
      </c>
    </row>
    <row r="817">
      <c r="A817" s="3">
        <f>IFERROR(__xludf.DUMMYFUNCTION("""COMPUTED_VALUE"""),43188.66666666667)</f>
        <v>43188.66667</v>
      </c>
      <c r="B817" s="2">
        <f>IFERROR(__xludf.DUMMYFUNCTION("""COMPUTED_VALUE"""),52.39)</f>
        <v>52.39</v>
      </c>
      <c r="D817" s="3">
        <f>IFERROR(__xludf.DUMMYFUNCTION("""COMPUTED_VALUE"""),43188.66666666667)</f>
        <v>43188.66667</v>
      </c>
      <c r="E817" s="2">
        <f>IFERROR(__xludf.DUMMYFUNCTION("""COMPUTED_VALUE"""),57.9)</f>
        <v>57.9</v>
      </c>
      <c r="G817" s="3">
        <f>IFERROR(__xludf.DUMMYFUNCTION("""COMPUTED_VALUE"""),43142.99861111111)</f>
        <v>43142.99861</v>
      </c>
      <c r="H817" s="2">
        <f>IFERROR(__xludf.DUMMYFUNCTION("""COMPUTED_VALUE"""),8072.99)</f>
        <v>8072.99</v>
      </c>
    </row>
    <row r="818">
      <c r="A818" s="3">
        <f>IFERROR(__xludf.DUMMYFUNCTION("""COMPUTED_VALUE"""),43192.66666666667)</f>
        <v>43192.66667</v>
      </c>
      <c r="B818" s="2">
        <f>IFERROR(__xludf.DUMMYFUNCTION("""COMPUTED_VALUE"""),51.14)</f>
        <v>51.14</v>
      </c>
      <c r="D818" s="3">
        <f>IFERROR(__xludf.DUMMYFUNCTION("""COMPUTED_VALUE"""),43192.66666666667)</f>
        <v>43192.66667</v>
      </c>
      <c r="E818" s="2">
        <f>IFERROR(__xludf.DUMMYFUNCTION("""COMPUTED_VALUE"""),55.26)</f>
        <v>55.26</v>
      </c>
      <c r="G818" s="3">
        <f>IFERROR(__xludf.DUMMYFUNCTION("""COMPUTED_VALUE"""),43143.99861111111)</f>
        <v>43143.99861</v>
      </c>
      <c r="H818" s="2">
        <f>IFERROR(__xludf.DUMMYFUNCTION("""COMPUTED_VALUE"""),8872.28)</f>
        <v>8872.28</v>
      </c>
    </row>
    <row r="819">
      <c r="A819" s="3">
        <f>IFERROR(__xludf.DUMMYFUNCTION("""COMPUTED_VALUE"""),43193.66666666667)</f>
        <v>43193.66667</v>
      </c>
      <c r="B819" s="2">
        <f>IFERROR(__xludf.DUMMYFUNCTION("""COMPUTED_VALUE"""),51.63)</f>
        <v>51.63</v>
      </c>
      <c r="D819" s="3">
        <f>IFERROR(__xludf.DUMMYFUNCTION("""COMPUTED_VALUE"""),43193.66666666667)</f>
        <v>43193.66667</v>
      </c>
      <c r="E819" s="2">
        <f>IFERROR(__xludf.DUMMYFUNCTION("""COMPUTED_VALUE"""),56.34)</f>
        <v>56.34</v>
      </c>
      <c r="G819" s="3">
        <f>IFERROR(__xludf.DUMMYFUNCTION("""COMPUTED_VALUE"""),43144.99861111111)</f>
        <v>43144.99861</v>
      </c>
      <c r="H819" s="2">
        <f>IFERROR(__xludf.DUMMYFUNCTION("""COMPUTED_VALUE"""),8520.01)</f>
        <v>8520.01</v>
      </c>
    </row>
    <row r="820">
      <c r="A820" s="3">
        <f>IFERROR(__xludf.DUMMYFUNCTION("""COMPUTED_VALUE"""),43194.66666666667)</f>
        <v>43194.66667</v>
      </c>
      <c r="B820" s="2">
        <f>IFERROR(__xludf.DUMMYFUNCTION("""COMPUTED_VALUE"""),52.02)</f>
        <v>52.02</v>
      </c>
      <c r="D820" s="3">
        <f>IFERROR(__xludf.DUMMYFUNCTION("""COMPUTED_VALUE"""),43194.66666666667)</f>
        <v>43194.66667</v>
      </c>
      <c r="E820" s="2">
        <f>IFERROR(__xludf.DUMMYFUNCTION("""COMPUTED_VALUE"""),56.56)</f>
        <v>56.56</v>
      </c>
      <c r="G820" s="3">
        <f>IFERROR(__xludf.DUMMYFUNCTION("""COMPUTED_VALUE"""),43145.99861111111)</f>
        <v>43145.99861</v>
      </c>
      <c r="H820" s="2">
        <f>IFERROR(__xludf.DUMMYFUNCTION("""COMPUTED_VALUE"""),9472.98)</f>
        <v>9472.98</v>
      </c>
    </row>
    <row r="821">
      <c r="A821" s="3">
        <f>IFERROR(__xludf.DUMMYFUNCTION("""COMPUTED_VALUE"""),43195.66666666667)</f>
        <v>43195.66667</v>
      </c>
      <c r="B821" s="2">
        <f>IFERROR(__xludf.DUMMYFUNCTION("""COMPUTED_VALUE"""),52.05)</f>
        <v>52.05</v>
      </c>
      <c r="D821" s="3">
        <f>IFERROR(__xludf.DUMMYFUNCTION("""COMPUTED_VALUE"""),43195.66666666667)</f>
        <v>43195.66667</v>
      </c>
      <c r="E821" s="2">
        <f>IFERROR(__xludf.DUMMYFUNCTION("""COMPUTED_VALUE"""),55.35)</f>
        <v>55.35</v>
      </c>
      <c r="G821" s="3">
        <f>IFERROR(__xludf.DUMMYFUNCTION("""COMPUTED_VALUE"""),43146.99861111111)</f>
        <v>43146.99861</v>
      </c>
      <c r="H821" s="2">
        <f>IFERROR(__xludf.DUMMYFUNCTION("""COMPUTED_VALUE"""),10031.23)</f>
        <v>10031.23</v>
      </c>
    </row>
    <row r="822">
      <c r="A822" s="3">
        <f>IFERROR(__xludf.DUMMYFUNCTION("""COMPUTED_VALUE"""),43196.66666666667)</f>
        <v>43196.66667</v>
      </c>
      <c r="B822" s="2">
        <f>IFERROR(__xludf.DUMMYFUNCTION("""COMPUTED_VALUE"""),50.57)</f>
        <v>50.57</v>
      </c>
      <c r="D822" s="3">
        <f>IFERROR(__xludf.DUMMYFUNCTION("""COMPUTED_VALUE"""),43196.66666666667)</f>
        <v>43196.66667</v>
      </c>
      <c r="E822" s="2">
        <f>IFERROR(__xludf.DUMMYFUNCTION("""COMPUTED_VALUE"""),53.56)</f>
        <v>53.56</v>
      </c>
      <c r="G822" s="3">
        <f>IFERROR(__xludf.DUMMYFUNCTION("""COMPUTED_VALUE"""),43147.99861111111)</f>
        <v>43147.99861</v>
      </c>
      <c r="H822" s="2">
        <f>IFERROR(__xludf.DUMMYFUNCTION("""COMPUTED_VALUE"""),10167.49)</f>
        <v>10167.49</v>
      </c>
    </row>
    <row r="823">
      <c r="A823" s="3">
        <f>IFERROR(__xludf.DUMMYFUNCTION("""COMPUTED_VALUE"""),43199.66666666667)</f>
        <v>43199.66667</v>
      </c>
      <c r="B823" s="2">
        <f>IFERROR(__xludf.DUMMYFUNCTION("""COMPUTED_VALUE"""),51.29)</f>
        <v>51.29</v>
      </c>
      <c r="D823" s="3">
        <f>IFERROR(__xludf.DUMMYFUNCTION("""COMPUTED_VALUE"""),43199.66666666667)</f>
        <v>43199.66667</v>
      </c>
      <c r="E823" s="2">
        <f>IFERROR(__xludf.DUMMYFUNCTION("""COMPUTED_VALUE"""),53.85)</f>
        <v>53.85</v>
      </c>
      <c r="G823" s="3">
        <f>IFERROR(__xludf.DUMMYFUNCTION("""COMPUTED_VALUE"""),43148.99861111111)</f>
        <v>43148.99861</v>
      </c>
      <c r="H823" s="2">
        <f>IFERROR(__xludf.DUMMYFUNCTION("""COMPUTED_VALUE"""),11121.5)</f>
        <v>11121.5</v>
      </c>
    </row>
    <row r="824">
      <c r="A824" s="3">
        <f>IFERROR(__xludf.DUMMYFUNCTION("""COMPUTED_VALUE"""),43200.66666666667)</f>
        <v>43200.66667</v>
      </c>
      <c r="B824" s="2">
        <f>IFERROR(__xludf.DUMMYFUNCTION("""COMPUTED_VALUE"""),52.83)</f>
        <v>52.83</v>
      </c>
      <c r="D824" s="3">
        <f>IFERROR(__xludf.DUMMYFUNCTION("""COMPUTED_VALUE"""),43200.66666666667)</f>
        <v>43200.66667</v>
      </c>
      <c r="E824" s="2">
        <f>IFERROR(__xludf.DUMMYFUNCTION("""COMPUTED_VALUE"""),56.98)</f>
        <v>56.98</v>
      </c>
      <c r="G824" s="3">
        <f>IFERROR(__xludf.DUMMYFUNCTION("""COMPUTED_VALUE"""),43149.99861111111)</f>
        <v>43149.99861</v>
      </c>
      <c r="H824" s="2">
        <f>IFERROR(__xludf.DUMMYFUNCTION("""COMPUTED_VALUE"""),10380.04)</f>
        <v>10380.04</v>
      </c>
    </row>
    <row r="825">
      <c r="A825" s="3">
        <f>IFERROR(__xludf.DUMMYFUNCTION("""COMPUTED_VALUE"""),43201.66666666667)</f>
        <v>43201.66667</v>
      </c>
      <c r="B825" s="2">
        <f>IFERROR(__xludf.DUMMYFUNCTION("""COMPUTED_VALUE"""),53.11)</f>
        <v>53.11</v>
      </c>
      <c r="D825" s="3">
        <f>IFERROR(__xludf.DUMMYFUNCTION("""COMPUTED_VALUE"""),43201.66666666667)</f>
        <v>43201.66667</v>
      </c>
      <c r="E825" s="2">
        <f>IFERROR(__xludf.DUMMYFUNCTION("""COMPUTED_VALUE"""),56.56)</f>
        <v>56.56</v>
      </c>
      <c r="G825" s="3">
        <f>IFERROR(__xludf.DUMMYFUNCTION("""COMPUTED_VALUE"""),43150.99861111111)</f>
        <v>43150.99861</v>
      </c>
      <c r="H825" s="2">
        <f>IFERROR(__xludf.DUMMYFUNCTION("""COMPUTED_VALUE"""),11140.0)</f>
        <v>11140</v>
      </c>
    </row>
    <row r="826">
      <c r="A826" s="3">
        <f>IFERROR(__xludf.DUMMYFUNCTION("""COMPUTED_VALUE"""),43202.66666666667)</f>
        <v>43202.66667</v>
      </c>
      <c r="B826" s="2">
        <f>IFERROR(__xludf.DUMMYFUNCTION("""COMPUTED_VALUE"""),53.84)</f>
        <v>53.84</v>
      </c>
      <c r="D826" s="3">
        <f>IFERROR(__xludf.DUMMYFUNCTION("""COMPUTED_VALUE"""),43202.66666666667)</f>
        <v>43202.66667</v>
      </c>
      <c r="E826" s="2">
        <f>IFERROR(__xludf.DUMMYFUNCTION("""COMPUTED_VALUE"""),58.65)</f>
        <v>58.65</v>
      </c>
      <c r="G826" s="3">
        <f>IFERROR(__xludf.DUMMYFUNCTION("""COMPUTED_VALUE"""),43151.99861111111)</f>
        <v>43151.99861</v>
      </c>
      <c r="H826" s="2">
        <f>IFERROR(__xludf.DUMMYFUNCTION("""COMPUTED_VALUE"""),11235.57)</f>
        <v>11235.57</v>
      </c>
    </row>
    <row r="827">
      <c r="A827" s="3">
        <f>IFERROR(__xludf.DUMMYFUNCTION("""COMPUTED_VALUE"""),43203.66666666667)</f>
        <v>43203.66667</v>
      </c>
      <c r="B827" s="2">
        <f>IFERROR(__xludf.DUMMYFUNCTION("""COMPUTED_VALUE"""),53.89)</f>
        <v>53.89</v>
      </c>
      <c r="D827" s="3">
        <f>IFERROR(__xludf.DUMMYFUNCTION("""COMPUTED_VALUE"""),43203.66666666667)</f>
        <v>43203.66667</v>
      </c>
      <c r="E827" s="2">
        <f>IFERROR(__xludf.DUMMYFUNCTION("""COMPUTED_VALUE"""),57.88)</f>
        <v>57.88</v>
      </c>
      <c r="G827" s="3">
        <f>IFERROR(__xludf.DUMMYFUNCTION("""COMPUTED_VALUE"""),43152.99861111111)</f>
        <v>43152.99861</v>
      </c>
      <c r="H827" s="2">
        <f>IFERROR(__xludf.DUMMYFUNCTION("""COMPUTED_VALUE"""),10454.27)</f>
        <v>10454.27</v>
      </c>
    </row>
    <row r="828">
      <c r="A828" s="3">
        <f>IFERROR(__xludf.DUMMYFUNCTION("""COMPUTED_VALUE"""),43206.66666666667)</f>
        <v>43206.66667</v>
      </c>
      <c r="B828" s="2">
        <f>IFERROR(__xludf.DUMMYFUNCTION("""COMPUTED_VALUE"""),53.8)</f>
        <v>53.8</v>
      </c>
      <c r="D828" s="3">
        <f>IFERROR(__xludf.DUMMYFUNCTION("""COMPUTED_VALUE"""),43206.66666666667)</f>
        <v>43206.66667</v>
      </c>
      <c r="E828" s="2">
        <f>IFERROR(__xludf.DUMMYFUNCTION("""COMPUTED_VALUE"""),57.87)</f>
        <v>57.87</v>
      </c>
      <c r="G828" s="3">
        <f>IFERROR(__xludf.DUMMYFUNCTION("""COMPUTED_VALUE"""),43153.99861111111)</f>
        <v>43153.99861</v>
      </c>
      <c r="H828" s="2">
        <f>IFERROR(__xludf.DUMMYFUNCTION("""COMPUTED_VALUE"""),9830.0)</f>
        <v>9830</v>
      </c>
    </row>
    <row r="829">
      <c r="A829" s="3">
        <f>IFERROR(__xludf.DUMMYFUNCTION("""COMPUTED_VALUE"""),43207.66666666667)</f>
        <v>43207.66667</v>
      </c>
      <c r="B829" s="2">
        <f>IFERROR(__xludf.DUMMYFUNCTION("""COMPUTED_VALUE"""),54.51)</f>
        <v>54.51</v>
      </c>
      <c r="D829" s="3">
        <f>IFERROR(__xludf.DUMMYFUNCTION("""COMPUTED_VALUE"""),43207.66666666667)</f>
        <v>43207.66667</v>
      </c>
      <c r="E829" s="2">
        <f>IFERROR(__xludf.DUMMYFUNCTION("""COMPUTED_VALUE"""),59.39)</f>
        <v>59.39</v>
      </c>
      <c r="G829" s="3">
        <f>IFERROR(__xludf.DUMMYFUNCTION("""COMPUTED_VALUE"""),43154.99861111111)</f>
        <v>43154.99861</v>
      </c>
      <c r="H829" s="2">
        <f>IFERROR(__xludf.DUMMYFUNCTION("""COMPUTED_VALUE"""),10144.99)</f>
        <v>10144.99</v>
      </c>
    </row>
    <row r="830">
      <c r="A830" s="3">
        <f>IFERROR(__xludf.DUMMYFUNCTION("""COMPUTED_VALUE"""),43208.66666666667)</f>
        <v>43208.66667</v>
      </c>
      <c r="B830" s="2">
        <f>IFERROR(__xludf.DUMMYFUNCTION("""COMPUTED_VALUE"""),54.57)</f>
        <v>54.57</v>
      </c>
      <c r="D830" s="3">
        <f>IFERROR(__xludf.DUMMYFUNCTION("""COMPUTED_VALUE"""),43208.66666666667)</f>
        <v>43208.66667</v>
      </c>
      <c r="E830" s="2">
        <f>IFERROR(__xludf.DUMMYFUNCTION("""COMPUTED_VALUE"""),59.09)</f>
        <v>59.09</v>
      </c>
      <c r="G830" s="3">
        <f>IFERROR(__xludf.DUMMYFUNCTION("""COMPUTED_VALUE"""),43155.99861111111)</f>
        <v>43155.99861</v>
      </c>
      <c r="H830" s="2">
        <f>IFERROR(__xludf.DUMMYFUNCTION("""COMPUTED_VALUE"""),9688.62)</f>
        <v>9688.62</v>
      </c>
    </row>
    <row r="831">
      <c r="A831" s="3">
        <f>IFERROR(__xludf.DUMMYFUNCTION("""COMPUTED_VALUE"""),43209.66666666667)</f>
        <v>43209.66667</v>
      </c>
      <c r="B831" s="2">
        <f>IFERROR(__xludf.DUMMYFUNCTION("""COMPUTED_VALUE"""),54.11)</f>
        <v>54.11</v>
      </c>
      <c r="D831" s="3">
        <f>IFERROR(__xludf.DUMMYFUNCTION("""COMPUTED_VALUE"""),43209.66666666667)</f>
        <v>43209.66667</v>
      </c>
      <c r="E831" s="2">
        <f>IFERROR(__xludf.DUMMYFUNCTION("""COMPUTED_VALUE"""),57.26)</f>
        <v>57.26</v>
      </c>
      <c r="G831" s="3">
        <f>IFERROR(__xludf.DUMMYFUNCTION("""COMPUTED_VALUE"""),43156.99861111111)</f>
        <v>43156.99861</v>
      </c>
      <c r="H831" s="2">
        <f>IFERROR(__xludf.DUMMYFUNCTION("""COMPUTED_VALUE"""),9597.99)</f>
        <v>9597.99</v>
      </c>
    </row>
    <row r="832">
      <c r="A832" s="3">
        <f>IFERROR(__xludf.DUMMYFUNCTION("""COMPUTED_VALUE"""),43210.66666666667)</f>
        <v>43210.66667</v>
      </c>
      <c r="B832" s="2">
        <f>IFERROR(__xludf.DUMMYFUNCTION("""COMPUTED_VALUE"""),53.56)</f>
        <v>53.56</v>
      </c>
      <c r="D832" s="3">
        <f>IFERROR(__xludf.DUMMYFUNCTION("""COMPUTED_VALUE"""),43210.66666666667)</f>
        <v>43210.66667</v>
      </c>
      <c r="E832" s="2">
        <f>IFERROR(__xludf.DUMMYFUNCTION("""COMPUTED_VALUE"""),57.18)</f>
        <v>57.18</v>
      </c>
      <c r="G832" s="3">
        <f>IFERROR(__xludf.DUMMYFUNCTION("""COMPUTED_VALUE"""),43157.99861111111)</f>
        <v>43157.99861</v>
      </c>
      <c r="H832" s="2">
        <f>IFERROR(__xludf.DUMMYFUNCTION("""COMPUTED_VALUE"""),10300.0)</f>
        <v>10300</v>
      </c>
    </row>
    <row r="833">
      <c r="A833" s="3">
        <f>IFERROR(__xludf.DUMMYFUNCTION("""COMPUTED_VALUE"""),43213.66666666667)</f>
        <v>43213.66667</v>
      </c>
      <c r="B833" s="2">
        <f>IFERROR(__xludf.DUMMYFUNCTION("""COMPUTED_VALUE"""),54.23)</f>
        <v>54.23</v>
      </c>
      <c r="D833" s="3">
        <f>IFERROR(__xludf.DUMMYFUNCTION("""COMPUTED_VALUE"""),43213.66666666667)</f>
        <v>43213.66667</v>
      </c>
      <c r="E833" s="2">
        <f>IFERROR(__xludf.DUMMYFUNCTION("""COMPUTED_VALUE"""),55.97)</f>
        <v>55.97</v>
      </c>
      <c r="G833" s="3">
        <f>IFERROR(__xludf.DUMMYFUNCTION("""COMPUTED_VALUE"""),43158.99861111111)</f>
        <v>43158.99861</v>
      </c>
      <c r="H833" s="2">
        <f>IFERROR(__xludf.DUMMYFUNCTION("""COMPUTED_VALUE"""),10566.57)</f>
        <v>10566.57</v>
      </c>
    </row>
    <row r="834">
      <c r="A834" s="3">
        <f>IFERROR(__xludf.DUMMYFUNCTION("""COMPUTED_VALUE"""),43214.66666666667)</f>
        <v>43214.66667</v>
      </c>
      <c r="B834" s="2">
        <f>IFERROR(__xludf.DUMMYFUNCTION("""COMPUTED_VALUE"""),53.61)</f>
        <v>53.61</v>
      </c>
      <c r="D834" s="3">
        <f>IFERROR(__xludf.DUMMYFUNCTION("""COMPUTED_VALUE"""),43214.66666666667)</f>
        <v>43214.66667</v>
      </c>
      <c r="E834" s="2">
        <f>IFERROR(__xludf.DUMMYFUNCTION("""COMPUTED_VALUE"""),55.3)</f>
        <v>55.3</v>
      </c>
      <c r="G834" s="3">
        <f>IFERROR(__xludf.DUMMYFUNCTION("""COMPUTED_VALUE"""),43159.99861111111)</f>
        <v>43159.99861</v>
      </c>
      <c r="H834" s="2">
        <f>IFERROR(__xludf.DUMMYFUNCTION("""COMPUTED_VALUE"""),10307.27)</f>
        <v>10307.27</v>
      </c>
    </row>
    <row r="835">
      <c r="A835" s="3">
        <f>IFERROR(__xludf.DUMMYFUNCTION("""COMPUTED_VALUE"""),43215.66666666667)</f>
        <v>43215.66667</v>
      </c>
      <c r="B835" s="2">
        <f>IFERROR(__xludf.DUMMYFUNCTION("""COMPUTED_VALUE"""),53.53)</f>
        <v>53.53</v>
      </c>
      <c r="D835" s="3">
        <f>IFERROR(__xludf.DUMMYFUNCTION("""COMPUTED_VALUE"""),43215.66666666667)</f>
        <v>43215.66667</v>
      </c>
      <c r="E835" s="2">
        <f>IFERROR(__xludf.DUMMYFUNCTION("""COMPUTED_VALUE"""),54.17)</f>
        <v>54.17</v>
      </c>
      <c r="G835" s="3">
        <f>IFERROR(__xludf.DUMMYFUNCTION("""COMPUTED_VALUE"""),43160.99861111111)</f>
        <v>43160.99861</v>
      </c>
      <c r="H835" s="2">
        <f>IFERROR(__xludf.DUMMYFUNCTION("""COMPUTED_VALUE"""),10895.92)</f>
        <v>10895.92</v>
      </c>
    </row>
    <row r="836">
      <c r="A836" s="3">
        <f>IFERROR(__xludf.DUMMYFUNCTION("""COMPUTED_VALUE"""),43216.66666666667)</f>
        <v>43216.66667</v>
      </c>
      <c r="B836" s="2">
        <f>IFERROR(__xludf.DUMMYFUNCTION("""COMPUTED_VALUE"""),53.79)</f>
        <v>53.79</v>
      </c>
      <c r="D836" s="3">
        <f>IFERROR(__xludf.DUMMYFUNCTION("""COMPUTED_VALUE"""),43216.66666666667)</f>
        <v>43216.66667</v>
      </c>
      <c r="E836" s="2">
        <f>IFERROR(__xludf.DUMMYFUNCTION("""COMPUTED_VALUE"""),56.31)</f>
        <v>56.31</v>
      </c>
      <c r="G836" s="3">
        <f>IFERROR(__xludf.DUMMYFUNCTION("""COMPUTED_VALUE"""),43161.99861111111)</f>
        <v>43161.99861</v>
      </c>
      <c r="H836" s="2">
        <f>IFERROR(__xludf.DUMMYFUNCTION("""COMPUTED_VALUE"""),11000.0)</f>
        <v>11000</v>
      </c>
    </row>
    <row r="837">
      <c r="A837" s="3">
        <f>IFERROR(__xludf.DUMMYFUNCTION("""COMPUTED_VALUE"""),43217.66666666667)</f>
        <v>43217.66667</v>
      </c>
      <c r="B837" s="2">
        <f>IFERROR(__xludf.DUMMYFUNCTION("""COMPUTED_VALUE"""),52.32)</f>
        <v>52.32</v>
      </c>
      <c r="D837" s="3">
        <f>IFERROR(__xludf.DUMMYFUNCTION("""COMPUTED_VALUE"""),43217.66666666667)</f>
        <v>43217.66667</v>
      </c>
      <c r="E837" s="2">
        <f>IFERROR(__xludf.DUMMYFUNCTION("""COMPUTED_VALUE"""),56.58)</f>
        <v>56.58</v>
      </c>
      <c r="G837" s="3">
        <f>IFERROR(__xludf.DUMMYFUNCTION("""COMPUTED_VALUE"""),43162.99861111111)</f>
        <v>43162.99861</v>
      </c>
      <c r="H837" s="2">
        <f>IFERROR(__xludf.DUMMYFUNCTION("""COMPUTED_VALUE"""),11432.5)</f>
        <v>11432.5</v>
      </c>
    </row>
    <row r="838">
      <c r="A838" s="3">
        <f>IFERROR(__xludf.DUMMYFUNCTION("""COMPUTED_VALUE"""),43220.66666666667)</f>
        <v>43220.66667</v>
      </c>
      <c r="B838" s="2">
        <f>IFERROR(__xludf.DUMMYFUNCTION("""COMPUTED_VALUE"""),51.68)</f>
        <v>51.68</v>
      </c>
      <c r="D838" s="3">
        <f>IFERROR(__xludf.DUMMYFUNCTION("""COMPUTED_VALUE"""),43220.66666666667)</f>
        <v>43220.66667</v>
      </c>
      <c r="E838" s="2">
        <f>IFERROR(__xludf.DUMMYFUNCTION("""COMPUTED_VALUE"""),56.23)</f>
        <v>56.23</v>
      </c>
      <c r="G838" s="3">
        <f>IFERROR(__xludf.DUMMYFUNCTION("""COMPUTED_VALUE"""),43163.99861111111)</f>
        <v>43163.99861</v>
      </c>
      <c r="H838" s="2">
        <f>IFERROR(__xludf.DUMMYFUNCTION("""COMPUTED_VALUE"""),11469.9)</f>
        <v>11469.9</v>
      </c>
    </row>
    <row r="839">
      <c r="A839" s="3">
        <f>IFERROR(__xludf.DUMMYFUNCTION("""COMPUTED_VALUE"""),43221.66666666667)</f>
        <v>43221.66667</v>
      </c>
      <c r="B839" s="2">
        <f>IFERROR(__xludf.DUMMYFUNCTION("""COMPUTED_VALUE"""),51.35)</f>
        <v>51.35</v>
      </c>
      <c r="D839" s="3">
        <f>IFERROR(__xludf.DUMMYFUNCTION("""COMPUTED_VALUE"""),43221.66666666667)</f>
        <v>43221.66667</v>
      </c>
      <c r="E839" s="2">
        <f>IFERROR(__xludf.DUMMYFUNCTION("""COMPUTED_VALUE"""),56.79)</f>
        <v>56.79</v>
      </c>
      <c r="G839" s="3">
        <f>IFERROR(__xludf.DUMMYFUNCTION("""COMPUTED_VALUE"""),43164.99861111111)</f>
        <v>43164.99861</v>
      </c>
      <c r="H839" s="2">
        <f>IFERROR(__xludf.DUMMYFUNCTION("""COMPUTED_VALUE"""),11377.54)</f>
        <v>11377.54</v>
      </c>
    </row>
    <row r="840">
      <c r="A840" s="3">
        <f>IFERROR(__xludf.DUMMYFUNCTION("""COMPUTED_VALUE"""),43222.66666666667)</f>
        <v>43222.66667</v>
      </c>
      <c r="B840" s="2">
        <f>IFERROR(__xludf.DUMMYFUNCTION("""COMPUTED_VALUE"""),51.21)</f>
        <v>51.21</v>
      </c>
      <c r="D840" s="3">
        <f>IFERROR(__xludf.DUMMYFUNCTION("""COMPUTED_VALUE"""),43222.66666666667)</f>
        <v>43222.66667</v>
      </c>
      <c r="E840" s="2">
        <f>IFERROR(__xludf.DUMMYFUNCTION("""COMPUTED_VALUE"""),56.58)</f>
        <v>56.58</v>
      </c>
      <c r="G840" s="3">
        <f>IFERROR(__xludf.DUMMYFUNCTION("""COMPUTED_VALUE"""),43165.99861111111)</f>
        <v>43165.99861</v>
      </c>
      <c r="H840" s="2">
        <f>IFERROR(__xludf.DUMMYFUNCTION("""COMPUTED_VALUE"""),10700.0)</f>
        <v>10700</v>
      </c>
    </row>
    <row r="841">
      <c r="A841" s="3">
        <f>IFERROR(__xludf.DUMMYFUNCTION("""COMPUTED_VALUE"""),43223.66666666667)</f>
        <v>43223.66667</v>
      </c>
      <c r="B841" s="2">
        <f>IFERROR(__xludf.DUMMYFUNCTION("""COMPUTED_VALUE"""),51.63)</f>
        <v>51.63</v>
      </c>
      <c r="D841" s="3">
        <f>IFERROR(__xludf.DUMMYFUNCTION("""COMPUTED_VALUE"""),43223.66666666667)</f>
        <v>43223.66667</v>
      </c>
      <c r="E841" s="2">
        <f>IFERROR(__xludf.DUMMYFUNCTION("""COMPUTED_VALUE"""),58.25)</f>
        <v>58.25</v>
      </c>
      <c r="G841" s="3">
        <f>IFERROR(__xludf.DUMMYFUNCTION("""COMPUTED_VALUE"""),43166.99861111111)</f>
        <v>43166.99861</v>
      </c>
      <c r="H841" s="2">
        <f>IFERROR(__xludf.DUMMYFUNCTION("""COMPUTED_VALUE"""),9925.0)</f>
        <v>9925</v>
      </c>
    </row>
    <row r="842">
      <c r="A842" s="3">
        <f>IFERROR(__xludf.DUMMYFUNCTION("""COMPUTED_VALUE"""),43224.66666666667)</f>
        <v>43224.66667</v>
      </c>
      <c r="B842" s="2">
        <f>IFERROR(__xludf.DUMMYFUNCTION("""COMPUTED_VALUE"""),52.43)</f>
        <v>52.43</v>
      </c>
      <c r="D842" s="3">
        <f>IFERROR(__xludf.DUMMYFUNCTION("""COMPUTED_VALUE"""),43224.66666666667)</f>
        <v>43224.66667</v>
      </c>
      <c r="E842" s="2">
        <f>IFERROR(__xludf.DUMMYFUNCTION("""COMPUTED_VALUE"""),59.77)</f>
        <v>59.77</v>
      </c>
      <c r="G842" s="3">
        <f>IFERROR(__xludf.DUMMYFUNCTION("""COMPUTED_VALUE"""),43167.99861111111)</f>
        <v>43167.99861</v>
      </c>
      <c r="H842" s="2">
        <f>IFERROR(__xludf.DUMMYFUNCTION("""COMPUTED_VALUE"""),9304.89)</f>
        <v>9304.89</v>
      </c>
    </row>
    <row r="843">
      <c r="A843" s="3">
        <f>IFERROR(__xludf.DUMMYFUNCTION("""COMPUTED_VALUE"""),43227.66666666667)</f>
        <v>43227.66667</v>
      </c>
      <c r="B843" s="2">
        <f>IFERROR(__xludf.DUMMYFUNCTION("""COMPUTED_VALUE"""),52.24)</f>
        <v>52.24</v>
      </c>
      <c r="D843" s="3">
        <f>IFERROR(__xludf.DUMMYFUNCTION("""COMPUTED_VALUE"""),43227.66666666667)</f>
        <v>43227.66667</v>
      </c>
      <c r="E843" s="2">
        <f>IFERROR(__xludf.DUMMYFUNCTION("""COMPUTED_VALUE"""),62.17)</f>
        <v>62.17</v>
      </c>
      <c r="G843" s="3">
        <f>IFERROR(__xludf.DUMMYFUNCTION("""COMPUTED_VALUE"""),43168.99861111111)</f>
        <v>43168.99861</v>
      </c>
      <c r="H843" s="2">
        <f>IFERROR(__xludf.DUMMYFUNCTION("""COMPUTED_VALUE"""),9255.0)</f>
        <v>9255</v>
      </c>
    </row>
    <row r="844">
      <c r="A844" s="3">
        <f>IFERROR(__xludf.DUMMYFUNCTION("""COMPUTED_VALUE"""),43228.66666666667)</f>
        <v>43228.66667</v>
      </c>
      <c r="B844" s="2">
        <f>IFERROR(__xludf.DUMMYFUNCTION("""COMPUTED_VALUE"""),52.73)</f>
        <v>52.73</v>
      </c>
      <c r="D844" s="3">
        <f>IFERROR(__xludf.DUMMYFUNCTION("""COMPUTED_VALUE"""),43228.66666666667)</f>
        <v>43228.66667</v>
      </c>
      <c r="E844" s="2">
        <f>IFERROR(__xludf.DUMMYFUNCTION("""COMPUTED_VALUE"""),62.6)</f>
        <v>62.6</v>
      </c>
      <c r="G844" s="3">
        <f>IFERROR(__xludf.DUMMYFUNCTION("""COMPUTED_VALUE"""),43169.99861111111)</f>
        <v>43169.99861</v>
      </c>
      <c r="H844" s="2">
        <f>IFERROR(__xludf.DUMMYFUNCTION("""COMPUTED_VALUE"""),8795.44)</f>
        <v>8795.44</v>
      </c>
    </row>
    <row r="845">
      <c r="A845" s="3">
        <f>IFERROR(__xludf.DUMMYFUNCTION("""COMPUTED_VALUE"""),43229.66666666667)</f>
        <v>43229.66667</v>
      </c>
      <c r="B845" s="2">
        <f>IFERROR(__xludf.DUMMYFUNCTION("""COMPUTED_VALUE"""),53.15)</f>
        <v>53.15</v>
      </c>
      <c r="D845" s="3">
        <f>IFERROR(__xludf.DUMMYFUNCTION("""COMPUTED_VALUE"""),43229.66666666667)</f>
        <v>43229.66667</v>
      </c>
      <c r="E845" s="2">
        <f>IFERROR(__xludf.DUMMYFUNCTION("""COMPUTED_VALUE"""),63.95)</f>
        <v>63.95</v>
      </c>
      <c r="G845" s="3">
        <f>IFERROR(__xludf.DUMMYFUNCTION("""COMPUTED_VALUE"""),43170.99861111111)</f>
        <v>43170.99861</v>
      </c>
      <c r="H845" s="2">
        <f>IFERROR(__xludf.DUMMYFUNCTION("""COMPUTED_VALUE"""),9533.88)</f>
        <v>9533.88</v>
      </c>
    </row>
    <row r="846">
      <c r="A846" s="3">
        <f>IFERROR(__xludf.DUMMYFUNCTION("""COMPUTED_VALUE"""),43230.66666666667)</f>
        <v>43230.66667</v>
      </c>
      <c r="B846" s="2">
        <f>IFERROR(__xludf.DUMMYFUNCTION("""COMPUTED_VALUE"""),53.09)</f>
        <v>53.09</v>
      </c>
      <c r="D846" s="3">
        <f>IFERROR(__xludf.DUMMYFUNCTION("""COMPUTED_VALUE"""),43230.66666666667)</f>
        <v>43230.66667</v>
      </c>
      <c r="E846" s="2">
        <f>IFERROR(__xludf.DUMMYFUNCTION("""COMPUTED_VALUE"""),65.03)</f>
        <v>65.03</v>
      </c>
      <c r="G846" s="3">
        <f>IFERROR(__xludf.DUMMYFUNCTION("""COMPUTED_VALUE"""),43171.99861111111)</f>
        <v>43171.99861</v>
      </c>
      <c r="H846" s="2">
        <f>IFERROR(__xludf.DUMMYFUNCTION("""COMPUTED_VALUE"""),9120.0)</f>
        <v>9120</v>
      </c>
    </row>
    <row r="847">
      <c r="A847" s="3">
        <f>IFERROR(__xludf.DUMMYFUNCTION("""COMPUTED_VALUE"""),43231.66666666667)</f>
        <v>43231.66667</v>
      </c>
      <c r="B847" s="2">
        <f>IFERROR(__xludf.DUMMYFUNCTION("""COMPUTED_VALUE"""),53.64)</f>
        <v>53.64</v>
      </c>
      <c r="D847" s="3">
        <f>IFERROR(__xludf.DUMMYFUNCTION("""COMPUTED_VALUE"""),43231.66666666667)</f>
        <v>43231.66667</v>
      </c>
      <c r="E847" s="2">
        <f>IFERROR(__xludf.DUMMYFUNCTION("""COMPUTED_VALUE"""),63.63)</f>
        <v>63.63</v>
      </c>
      <c r="G847" s="3">
        <f>IFERROR(__xludf.DUMMYFUNCTION("""COMPUTED_VALUE"""),43172.99861111111)</f>
        <v>43172.99861</v>
      </c>
      <c r="H847" s="2">
        <f>IFERROR(__xludf.DUMMYFUNCTION("""COMPUTED_VALUE"""),9145.41)</f>
        <v>9145.41</v>
      </c>
    </row>
    <row r="848">
      <c r="A848" s="3">
        <f>IFERROR(__xludf.DUMMYFUNCTION("""COMPUTED_VALUE"""),43234.66666666667)</f>
        <v>43234.66667</v>
      </c>
      <c r="B848" s="2">
        <f>IFERROR(__xludf.DUMMYFUNCTION("""COMPUTED_VALUE"""),53.41)</f>
        <v>53.41</v>
      </c>
      <c r="D848" s="3">
        <f>IFERROR(__xludf.DUMMYFUNCTION("""COMPUTED_VALUE"""),43234.66666666667)</f>
        <v>43234.66667</v>
      </c>
      <c r="E848" s="2">
        <f>IFERROR(__xludf.DUMMYFUNCTION("""COMPUTED_VALUE"""),63.84)</f>
        <v>63.84</v>
      </c>
      <c r="G848" s="3">
        <f>IFERROR(__xludf.DUMMYFUNCTION("""COMPUTED_VALUE"""),43173.99861111111)</f>
        <v>43173.99861</v>
      </c>
      <c r="H848" s="2">
        <f>IFERROR(__xludf.DUMMYFUNCTION("""COMPUTED_VALUE"""),8207.02)</f>
        <v>8207.02</v>
      </c>
    </row>
    <row r="849">
      <c r="A849" s="3">
        <f>IFERROR(__xludf.DUMMYFUNCTION("""COMPUTED_VALUE"""),43235.66666666667)</f>
        <v>43235.66667</v>
      </c>
      <c r="B849" s="2">
        <f>IFERROR(__xludf.DUMMYFUNCTION("""COMPUTED_VALUE"""),53.45)</f>
        <v>53.45</v>
      </c>
      <c r="D849" s="3">
        <f>IFERROR(__xludf.DUMMYFUNCTION("""COMPUTED_VALUE"""),43235.66666666667)</f>
        <v>43235.66667</v>
      </c>
      <c r="E849" s="2">
        <f>IFERROR(__xludf.DUMMYFUNCTION("""COMPUTED_VALUE"""),61.39)</f>
        <v>61.39</v>
      </c>
      <c r="G849" s="3">
        <f>IFERROR(__xludf.DUMMYFUNCTION("""COMPUTED_VALUE"""),43174.99861111111)</f>
        <v>43174.99861</v>
      </c>
      <c r="H849" s="2">
        <f>IFERROR(__xludf.DUMMYFUNCTION("""COMPUTED_VALUE"""),8259.99)</f>
        <v>8259.99</v>
      </c>
    </row>
    <row r="850">
      <c r="A850" s="3">
        <f>IFERROR(__xludf.DUMMYFUNCTION("""COMPUTED_VALUE"""),43236.66666666667)</f>
        <v>43236.66667</v>
      </c>
      <c r="B850" s="2">
        <f>IFERROR(__xludf.DUMMYFUNCTION("""COMPUTED_VALUE"""),53.53)</f>
        <v>53.53</v>
      </c>
      <c r="D850" s="3">
        <f>IFERROR(__xludf.DUMMYFUNCTION("""COMPUTED_VALUE"""),43236.66666666667)</f>
        <v>43236.66667</v>
      </c>
      <c r="E850" s="2">
        <f>IFERROR(__xludf.DUMMYFUNCTION("""COMPUTED_VALUE"""),61.5)</f>
        <v>61.5</v>
      </c>
      <c r="G850" s="3">
        <f>IFERROR(__xludf.DUMMYFUNCTION("""COMPUTED_VALUE"""),43175.99861111111)</f>
        <v>43175.99861</v>
      </c>
      <c r="H850" s="2">
        <f>IFERROR(__xludf.DUMMYFUNCTION("""COMPUTED_VALUE"""),8275.0)</f>
        <v>8275</v>
      </c>
    </row>
    <row r="851">
      <c r="A851" s="3">
        <f>IFERROR(__xludf.DUMMYFUNCTION("""COMPUTED_VALUE"""),43237.66666666667)</f>
        <v>43237.66667</v>
      </c>
      <c r="B851" s="2">
        <f>IFERROR(__xludf.DUMMYFUNCTION("""COMPUTED_VALUE"""),53.76)</f>
        <v>53.76</v>
      </c>
      <c r="D851" s="3">
        <f>IFERROR(__xludf.DUMMYFUNCTION("""COMPUTED_VALUE"""),43237.66666666667)</f>
        <v>43237.66667</v>
      </c>
      <c r="E851" s="2">
        <f>IFERROR(__xludf.DUMMYFUNCTION("""COMPUTED_VALUE"""),61.93)</f>
        <v>61.93</v>
      </c>
      <c r="G851" s="3">
        <f>IFERROR(__xludf.DUMMYFUNCTION("""COMPUTED_VALUE"""),43176.99861111111)</f>
        <v>43176.99861</v>
      </c>
      <c r="H851" s="2">
        <f>IFERROR(__xludf.DUMMYFUNCTION("""COMPUTED_VALUE"""),7857.6)</f>
        <v>7857.6</v>
      </c>
    </row>
    <row r="852">
      <c r="A852" s="3">
        <f>IFERROR(__xludf.DUMMYFUNCTION("""COMPUTED_VALUE"""),43238.66666666667)</f>
        <v>43238.66667</v>
      </c>
      <c r="B852" s="2">
        <f>IFERROR(__xludf.DUMMYFUNCTION("""COMPUTED_VALUE"""),53.76)</f>
        <v>53.76</v>
      </c>
      <c r="D852" s="3">
        <f>IFERROR(__xludf.DUMMYFUNCTION("""COMPUTED_VALUE"""),43238.66666666667)</f>
        <v>43238.66667</v>
      </c>
      <c r="E852" s="2">
        <f>IFERROR(__xludf.DUMMYFUNCTION("""COMPUTED_VALUE"""),61.49)</f>
        <v>61.49</v>
      </c>
      <c r="G852" s="3">
        <f>IFERROR(__xludf.DUMMYFUNCTION("""COMPUTED_VALUE"""),43177.99861111111)</f>
        <v>43177.99861</v>
      </c>
      <c r="H852" s="2">
        <f>IFERROR(__xludf.DUMMYFUNCTION("""COMPUTED_VALUE"""),8192.0)</f>
        <v>8192</v>
      </c>
    </row>
    <row r="853">
      <c r="A853" s="3">
        <f>IFERROR(__xludf.DUMMYFUNCTION("""COMPUTED_VALUE"""),43241.66666666667)</f>
        <v>43241.66667</v>
      </c>
      <c r="B853" s="2">
        <f>IFERROR(__xludf.DUMMYFUNCTION("""COMPUTED_VALUE"""),54.0)</f>
        <v>54</v>
      </c>
      <c r="D853" s="3">
        <f>IFERROR(__xludf.DUMMYFUNCTION("""COMPUTED_VALUE"""),43241.66666666667)</f>
        <v>43241.66667</v>
      </c>
      <c r="E853" s="2">
        <f>IFERROR(__xludf.DUMMYFUNCTION("""COMPUTED_VALUE"""),61.06)</f>
        <v>61.06</v>
      </c>
      <c r="G853" s="3">
        <f>IFERROR(__xludf.DUMMYFUNCTION("""COMPUTED_VALUE"""),43178.99861111111)</f>
        <v>43178.99861</v>
      </c>
      <c r="H853" s="2">
        <f>IFERROR(__xludf.DUMMYFUNCTION("""COMPUTED_VALUE"""),8589.0)</f>
        <v>8589</v>
      </c>
    </row>
    <row r="854">
      <c r="A854" s="3">
        <f>IFERROR(__xludf.DUMMYFUNCTION("""COMPUTED_VALUE"""),43242.66666666667)</f>
        <v>43242.66667</v>
      </c>
      <c r="B854" s="2">
        <f>IFERROR(__xludf.DUMMYFUNCTION("""COMPUTED_VALUE"""),53.83)</f>
        <v>53.83</v>
      </c>
      <c r="D854" s="3">
        <f>IFERROR(__xludf.DUMMYFUNCTION("""COMPUTED_VALUE"""),43242.66666666667)</f>
        <v>43242.66667</v>
      </c>
      <c r="E854" s="2">
        <f>IFERROR(__xludf.DUMMYFUNCTION("""COMPUTED_VALUE"""),60.68)</f>
        <v>60.68</v>
      </c>
      <c r="G854" s="3">
        <f>IFERROR(__xludf.DUMMYFUNCTION("""COMPUTED_VALUE"""),43179.99861111111)</f>
        <v>43179.99861</v>
      </c>
      <c r="H854" s="2">
        <f>IFERROR(__xludf.DUMMYFUNCTION("""COMPUTED_VALUE"""),8900.0)</f>
        <v>8900</v>
      </c>
    </row>
    <row r="855">
      <c r="A855" s="3">
        <f>IFERROR(__xludf.DUMMYFUNCTION("""COMPUTED_VALUE"""),43243.66666666667)</f>
        <v>43243.66667</v>
      </c>
      <c r="B855" s="2">
        <f>IFERROR(__xludf.DUMMYFUNCTION("""COMPUTED_VALUE"""),53.59)</f>
        <v>53.59</v>
      </c>
      <c r="D855" s="3">
        <f>IFERROR(__xludf.DUMMYFUNCTION("""COMPUTED_VALUE"""),43243.66666666667)</f>
        <v>43243.66667</v>
      </c>
      <c r="E855" s="2">
        <f>IFERROR(__xludf.DUMMYFUNCTION("""COMPUTED_VALUE"""),61.89)</f>
        <v>61.89</v>
      </c>
      <c r="G855" s="3">
        <f>IFERROR(__xludf.DUMMYFUNCTION("""COMPUTED_VALUE"""),43180.99861111111)</f>
        <v>43180.99861</v>
      </c>
      <c r="H855" s="2">
        <f>IFERROR(__xludf.DUMMYFUNCTION("""COMPUTED_VALUE"""),8891.81)</f>
        <v>8891.81</v>
      </c>
    </row>
    <row r="856">
      <c r="A856" s="3">
        <f>IFERROR(__xludf.DUMMYFUNCTION("""COMPUTED_VALUE"""),43244.66666666667)</f>
        <v>43244.66667</v>
      </c>
      <c r="B856" s="2">
        <f>IFERROR(__xludf.DUMMYFUNCTION("""COMPUTED_VALUE"""),53.44)</f>
        <v>53.44</v>
      </c>
      <c r="D856" s="3">
        <f>IFERROR(__xludf.DUMMYFUNCTION("""COMPUTED_VALUE"""),43244.66666666667)</f>
        <v>43244.66667</v>
      </c>
      <c r="E856" s="2">
        <f>IFERROR(__xludf.DUMMYFUNCTION("""COMPUTED_VALUE"""),61.92)</f>
        <v>61.92</v>
      </c>
      <c r="G856" s="3">
        <f>IFERROR(__xludf.DUMMYFUNCTION("""COMPUTED_VALUE"""),43181.99861111111)</f>
        <v>43181.99861</v>
      </c>
      <c r="H856" s="2">
        <f>IFERROR(__xludf.DUMMYFUNCTION("""COMPUTED_VALUE"""),8715.09)</f>
        <v>8715.09</v>
      </c>
    </row>
    <row r="857">
      <c r="A857" s="3">
        <f>IFERROR(__xludf.DUMMYFUNCTION("""COMPUTED_VALUE"""),43245.66666666667)</f>
        <v>43245.66667</v>
      </c>
      <c r="B857" s="2">
        <f>IFERROR(__xludf.DUMMYFUNCTION("""COMPUTED_VALUE"""),53.3)</f>
        <v>53.3</v>
      </c>
      <c r="D857" s="3">
        <f>IFERROR(__xludf.DUMMYFUNCTION("""COMPUTED_VALUE"""),43245.66666666667)</f>
        <v>43245.66667</v>
      </c>
      <c r="E857" s="2">
        <f>IFERROR(__xludf.DUMMYFUNCTION("""COMPUTED_VALUE"""),62.32)</f>
        <v>62.32</v>
      </c>
      <c r="G857" s="3">
        <f>IFERROR(__xludf.DUMMYFUNCTION("""COMPUTED_VALUE"""),43182.99861111111)</f>
        <v>43182.99861</v>
      </c>
      <c r="H857" s="2">
        <f>IFERROR(__xludf.DUMMYFUNCTION("""COMPUTED_VALUE"""),8927.1)</f>
        <v>8927.1</v>
      </c>
    </row>
    <row r="858">
      <c r="A858" s="3">
        <f>IFERROR(__xludf.DUMMYFUNCTION("""COMPUTED_VALUE"""),43249.66666666667)</f>
        <v>43249.66667</v>
      </c>
      <c r="B858" s="2">
        <f>IFERROR(__xludf.DUMMYFUNCTION("""COMPUTED_VALUE"""),53.03)</f>
        <v>53.03</v>
      </c>
      <c r="D858" s="3">
        <f>IFERROR(__xludf.DUMMYFUNCTION("""COMPUTED_VALUE"""),43249.66666666667)</f>
        <v>43249.66667</v>
      </c>
      <c r="E858" s="2">
        <f>IFERROR(__xludf.DUMMYFUNCTION("""COMPUTED_VALUE"""),62.15)</f>
        <v>62.15</v>
      </c>
      <c r="G858" s="3">
        <f>IFERROR(__xludf.DUMMYFUNCTION("""COMPUTED_VALUE"""),43183.99861111111)</f>
        <v>43183.99861</v>
      </c>
      <c r="H858" s="2">
        <f>IFERROR(__xludf.DUMMYFUNCTION("""COMPUTED_VALUE"""),8531.34)</f>
        <v>8531.34</v>
      </c>
    </row>
    <row r="859">
      <c r="A859" s="3">
        <f>IFERROR(__xludf.DUMMYFUNCTION("""COMPUTED_VALUE"""),43250.66666666667)</f>
        <v>43250.66667</v>
      </c>
      <c r="B859" s="2">
        <f>IFERROR(__xludf.DUMMYFUNCTION("""COMPUTED_VALUE"""),52.99)</f>
        <v>52.99</v>
      </c>
      <c r="D859" s="3">
        <f>IFERROR(__xludf.DUMMYFUNCTION("""COMPUTED_VALUE"""),43250.66666666667)</f>
        <v>43250.66667</v>
      </c>
      <c r="E859" s="2">
        <f>IFERROR(__xludf.DUMMYFUNCTION("""COMPUTED_VALUE"""),63.25)</f>
        <v>63.25</v>
      </c>
      <c r="G859" s="3">
        <f>IFERROR(__xludf.DUMMYFUNCTION("""COMPUTED_VALUE"""),43184.99861111111)</f>
        <v>43184.99861</v>
      </c>
      <c r="H859" s="2">
        <f>IFERROR(__xludf.DUMMYFUNCTION("""COMPUTED_VALUE"""),8453.0)</f>
        <v>8453</v>
      </c>
    </row>
    <row r="860">
      <c r="A860" s="3">
        <f>IFERROR(__xludf.DUMMYFUNCTION("""COMPUTED_VALUE"""),43251.66666666667)</f>
        <v>43251.66667</v>
      </c>
      <c r="B860" s="2">
        <f>IFERROR(__xludf.DUMMYFUNCTION("""COMPUTED_VALUE"""),58.74)</f>
        <v>58.74</v>
      </c>
      <c r="D860" s="3">
        <f>IFERROR(__xludf.DUMMYFUNCTION("""COMPUTED_VALUE"""),43251.66666666667)</f>
        <v>43251.66667</v>
      </c>
      <c r="E860" s="2">
        <f>IFERROR(__xludf.DUMMYFUNCTION("""COMPUTED_VALUE"""),63.05)</f>
        <v>63.05</v>
      </c>
      <c r="G860" s="3">
        <f>IFERROR(__xludf.DUMMYFUNCTION("""COMPUTED_VALUE"""),43185.99861111111)</f>
        <v>43185.99861</v>
      </c>
      <c r="H860" s="2">
        <f>IFERROR(__xludf.DUMMYFUNCTION("""COMPUTED_VALUE"""),8145.0)</f>
        <v>8145</v>
      </c>
    </row>
    <row r="861">
      <c r="A861" s="3">
        <f>IFERROR(__xludf.DUMMYFUNCTION("""COMPUTED_VALUE"""),43252.66666666667)</f>
        <v>43252.66667</v>
      </c>
      <c r="B861" s="2">
        <f>IFERROR(__xludf.DUMMYFUNCTION("""COMPUTED_VALUE"""),59.81)</f>
        <v>59.81</v>
      </c>
      <c r="D861" s="3">
        <f>IFERROR(__xludf.DUMMYFUNCTION("""COMPUTED_VALUE"""),43252.66666666667)</f>
        <v>43252.66667</v>
      </c>
      <c r="E861" s="2">
        <f>IFERROR(__xludf.DUMMYFUNCTION("""COMPUTED_VALUE"""),64.41)</f>
        <v>64.41</v>
      </c>
      <c r="G861" s="3">
        <f>IFERROR(__xludf.DUMMYFUNCTION("""COMPUTED_VALUE"""),43186.99861111111)</f>
        <v>43186.99861</v>
      </c>
      <c r="H861" s="2">
        <f>IFERROR(__xludf.DUMMYFUNCTION("""COMPUTED_VALUE"""),7793.61)</f>
        <v>7793.61</v>
      </c>
    </row>
    <row r="862">
      <c r="A862" s="3">
        <f>IFERROR(__xludf.DUMMYFUNCTION("""COMPUTED_VALUE"""),43255.66666666667)</f>
        <v>43255.66667</v>
      </c>
      <c r="B862" s="2">
        <f>IFERROR(__xludf.DUMMYFUNCTION("""COMPUTED_VALUE"""),61.11)</f>
        <v>61.11</v>
      </c>
      <c r="D862" s="3">
        <f>IFERROR(__xludf.DUMMYFUNCTION("""COMPUTED_VALUE"""),43255.66666666667)</f>
        <v>43255.66667</v>
      </c>
      <c r="E862" s="2">
        <f>IFERROR(__xludf.DUMMYFUNCTION("""COMPUTED_VALUE"""),66.21)</f>
        <v>66.21</v>
      </c>
      <c r="G862" s="3">
        <f>IFERROR(__xludf.DUMMYFUNCTION("""COMPUTED_VALUE"""),43187.99861111111)</f>
        <v>43187.99861</v>
      </c>
      <c r="H862" s="2">
        <f>IFERROR(__xludf.DUMMYFUNCTION("""COMPUTED_VALUE"""),7942.72)</f>
        <v>7942.72</v>
      </c>
    </row>
    <row r="863">
      <c r="A863" s="3">
        <f>IFERROR(__xludf.DUMMYFUNCTION("""COMPUTED_VALUE"""),43256.66666666667)</f>
        <v>43256.66667</v>
      </c>
      <c r="B863" s="2">
        <f>IFERROR(__xludf.DUMMYFUNCTION("""COMPUTED_VALUE"""),61.36)</f>
        <v>61.36</v>
      </c>
      <c r="D863" s="3">
        <f>IFERROR(__xludf.DUMMYFUNCTION("""COMPUTED_VALUE"""),43256.66666666667)</f>
        <v>43256.66667</v>
      </c>
      <c r="E863" s="2">
        <f>IFERROR(__xludf.DUMMYFUNCTION("""COMPUTED_VALUE"""),66.27)</f>
        <v>66.27</v>
      </c>
      <c r="G863" s="3">
        <f>IFERROR(__xludf.DUMMYFUNCTION("""COMPUTED_VALUE"""),43188.99861111111)</f>
        <v>43188.99861</v>
      </c>
      <c r="H863" s="2">
        <f>IFERROR(__xludf.DUMMYFUNCTION("""COMPUTED_VALUE"""),7080.0)</f>
        <v>7080</v>
      </c>
    </row>
    <row r="864">
      <c r="A864" s="3">
        <f>IFERROR(__xludf.DUMMYFUNCTION("""COMPUTED_VALUE"""),43257.66666666667)</f>
        <v>43257.66667</v>
      </c>
      <c r="B864" s="2">
        <f>IFERROR(__xludf.DUMMYFUNCTION("""COMPUTED_VALUE"""),61.92)</f>
        <v>61.92</v>
      </c>
      <c r="D864" s="3">
        <f>IFERROR(__xludf.DUMMYFUNCTION("""COMPUTED_VALUE"""),43257.66666666667)</f>
        <v>43257.66667</v>
      </c>
      <c r="E864" s="2">
        <f>IFERROR(__xludf.DUMMYFUNCTION("""COMPUTED_VALUE"""),66.29)</f>
        <v>66.29</v>
      </c>
      <c r="G864" s="3">
        <f>IFERROR(__xludf.DUMMYFUNCTION("""COMPUTED_VALUE"""),43189.99861111111)</f>
        <v>43189.99861</v>
      </c>
      <c r="H864" s="2">
        <f>IFERROR(__xludf.DUMMYFUNCTION("""COMPUTED_VALUE"""),6848.01)</f>
        <v>6848.01</v>
      </c>
    </row>
    <row r="865">
      <c r="A865" s="3">
        <f>IFERROR(__xludf.DUMMYFUNCTION("""COMPUTED_VALUE"""),43258.66666666667)</f>
        <v>43258.66667</v>
      </c>
      <c r="B865" s="2">
        <f>IFERROR(__xludf.DUMMYFUNCTION("""COMPUTED_VALUE"""),60.4)</f>
        <v>60.4</v>
      </c>
      <c r="D865" s="3">
        <f>IFERROR(__xludf.DUMMYFUNCTION("""COMPUTED_VALUE"""),43258.66666666667)</f>
        <v>43258.66667</v>
      </c>
      <c r="E865" s="2">
        <f>IFERROR(__xludf.DUMMYFUNCTION("""COMPUTED_VALUE"""),65.72)</f>
        <v>65.72</v>
      </c>
      <c r="G865" s="3">
        <f>IFERROR(__xludf.DUMMYFUNCTION("""COMPUTED_VALUE"""),43190.99861111111)</f>
        <v>43190.99861</v>
      </c>
      <c r="H865" s="2">
        <f>IFERROR(__xludf.DUMMYFUNCTION("""COMPUTED_VALUE"""),6928.5)</f>
        <v>6928.5</v>
      </c>
    </row>
    <row r="866">
      <c r="A866" s="3">
        <f>IFERROR(__xludf.DUMMYFUNCTION("""COMPUTED_VALUE"""),43259.66666666667)</f>
        <v>43259.66667</v>
      </c>
      <c r="B866" s="2">
        <f>IFERROR(__xludf.DUMMYFUNCTION("""COMPUTED_VALUE"""),60.99)</f>
        <v>60.99</v>
      </c>
      <c r="D866" s="3">
        <f>IFERROR(__xludf.DUMMYFUNCTION("""COMPUTED_VALUE"""),43259.66666666667)</f>
        <v>43259.66667</v>
      </c>
      <c r="E866" s="2">
        <f>IFERROR(__xludf.DUMMYFUNCTION("""COMPUTED_VALUE"""),65.57)</f>
        <v>65.57</v>
      </c>
      <c r="G866" s="3">
        <f>IFERROR(__xludf.DUMMYFUNCTION("""COMPUTED_VALUE"""),43191.99861111111)</f>
        <v>43191.99861</v>
      </c>
      <c r="H866" s="2">
        <f>IFERROR(__xludf.DUMMYFUNCTION("""COMPUTED_VALUE"""),6816.01)</f>
        <v>6816.01</v>
      </c>
    </row>
    <row r="867">
      <c r="A867" s="3">
        <f>IFERROR(__xludf.DUMMYFUNCTION("""COMPUTED_VALUE"""),43262.66666666667)</f>
        <v>43262.66667</v>
      </c>
      <c r="B867" s="2">
        <f>IFERROR(__xludf.DUMMYFUNCTION("""COMPUTED_VALUE"""),61.69)</f>
        <v>61.69</v>
      </c>
      <c r="D867" s="3">
        <f>IFERROR(__xludf.DUMMYFUNCTION("""COMPUTED_VALUE"""),43262.66666666667)</f>
        <v>43262.66667</v>
      </c>
      <c r="E867" s="2">
        <f>IFERROR(__xludf.DUMMYFUNCTION("""COMPUTED_VALUE"""),65.16)</f>
        <v>65.16</v>
      </c>
      <c r="G867" s="3">
        <f>IFERROR(__xludf.DUMMYFUNCTION("""COMPUTED_VALUE"""),43192.99861111111)</f>
        <v>43192.99861</v>
      </c>
      <c r="H867" s="2">
        <f>IFERROR(__xludf.DUMMYFUNCTION("""COMPUTED_VALUE"""),7045.01)</f>
        <v>7045.01</v>
      </c>
    </row>
    <row r="868">
      <c r="A868" s="3">
        <f>IFERROR(__xludf.DUMMYFUNCTION("""COMPUTED_VALUE"""),43263.66666666667)</f>
        <v>43263.66667</v>
      </c>
      <c r="B868" s="2">
        <f>IFERROR(__xludf.DUMMYFUNCTION("""COMPUTED_VALUE"""),61.6)</f>
        <v>61.6</v>
      </c>
      <c r="D868" s="3">
        <f>IFERROR(__xludf.DUMMYFUNCTION("""COMPUTED_VALUE"""),43263.66666666667)</f>
        <v>43263.66667</v>
      </c>
      <c r="E868" s="2">
        <f>IFERROR(__xludf.DUMMYFUNCTION("""COMPUTED_VALUE"""),65.65)</f>
        <v>65.65</v>
      </c>
      <c r="G868" s="3">
        <f>IFERROR(__xludf.DUMMYFUNCTION("""COMPUTED_VALUE"""),43193.99861111111)</f>
        <v>43193.99861</v>
      </c>
      <c r="H868" s="2">
        <f>IFERROR(__xludf.DUMMYFUNCTION("""COMPUTED_VALUE"""),7424.9)</f>
        <v>7424.9</v>
      </c>
    </row>
    <row r="869">
      <c r="A869" s="3">
        <f>IFERROR(__xludf.DUMMYFUNCTION("""COMPUTED_VALUE"""),43264.66666666667)</f>
        <v>43264.66667</v>
      </c>
      <c r="B869" s="2">
        <f>IFERROR(__xludf.DUMMYFUNCTION("""COMPUTED_VALUE"""),61.4)</f>
        <v>61.4</v>
      </c>
      <c r="D869" s="3">
        <f>IFERROR(__xludf.DUMMYFUNCTION("""COMPUTED_VALUE"""),43264.66666666667)</f>
        <v>43264.66667</v>
      </c>
      <c r="E869" s="2">
        <f>IFERROR(__xludf.DUMMYFUNCTION("""COMPUTED_VALUE"""),65.6)</f>
        <v>65.6</v>
      </c>
      <c r="G869" s="3">
        <f>IFERROR(__xludf.DUMMYFUNCTION("""COMPUTED_VALUE"""),43194.99861111111)</f>
        <v>43194.99861</v>
      </c>
      <c r="H869" s="2">
        <f>IFERROR(__xludf.DUMMYFUNCTION("""COMPUTED_VALUE"""),6791.68)</f>
        <v>6791.68</v>
      </c>
    </row>
    <row r="870">
      <c r="A870" s="3">
        <f>IFERROR(__xludf.DUMMYFUNCTION("""COMPUTED_VALUE"""),43265.66666666667)</f>
        <v>43265.66667</v>
      </c>
      <c r="B870" s="2">
        <f>IFERROR(__xludf.DUMMYFUNCTION("""COMPUTED_VALUE"""),61.22)</f>
        <v>61.22</v>
      </c>
      <c r="D870" s="3">
        <f>IFERROR(__xludf.DUMMYFUNCTION("""COMPUTED_VALUE"""),43265.66666666667)</f>
        <v>43265.66667</v>
      </c>
      <c r="E870" s="2">
        <f>IFERROR(__xludf.DUMMYFUNCTION("""COMPUTED_VALUE"""),66.73)</f>
        <v>66.73</v>
      </c>
      <c r="G870" s="3">
        <f>IFERROR(__xludf.DUMMYFUNCTION("""COMPUTED_VALUE"""),43195.99861111111)</f>
        <v>43195.99861</v>
      </c>
      <c r="H870" s="2">
        <f>IFERROR(__xludf.DUMMYFUNCTION("""COMPUTED_VALUE"""),6785.85)</f>
        <v>6785.85</v>
      </c>
    </row>
    <row r="871">
      <c r="A871" s="3">
        <f>IFERROR(__xludf.DUMMYFUNCTION("""COMPUTED_VALUE"""),43266.66666666667)</f>
        <v>43266.66667</v>
      </c>
      <c r="B871" s="2">
        <f>IFERROR(__xludf.DUMMYFUNCTION("""COMPUTED_VALUE"""),61.23)</f>
        <v>61.23</v>
      </c>
      <c r="D871" s="3">
        <f>IFERROR(__xludf.DUMMYFUNCTION("""COMPUTED_VALUE"""),43266.66666666667)</f>
        <v>43266.66667</v>
      </c>
      <c r="E871" s="2">
        <f>IFERROR(__xludf.DUMMYFUNCTION("""COMPUTED_VALUE"""),66.32)</f>
        <v>66.32</v>
      </c>
      <c r="G871" s="3">
        <f>IFERROR(__xludf.DUMMYFUNCTION("""COMPUTED_VALUE"""),43196.99861111111)</f>
        <v>43196.99861</v>
      </c>
      <c r="H871" s="2">
        <f>IFERROR(__xludf.DUMMYFUNCTION("""COMPUTED_VALUE"""),6619.01)</f>
        <v>6619.01</v>
      </c>
    </row>
    <row r="872">
      <c r="A872" s="3">
        <f>IFERROR(__xludf.DUMMYFUNCTION("""COMPUTED_VALUE"""),43269.66666666667)</f>
        <v>43269.66667</v>
      </c>
      <c r="B872" s="2">
        <f>IFERROR(__xludf.DUMMYFUNCTION("""COMPUTED_VALUE"""),61.5)</f>
        <v>61.5</v>
      </c>
      <c r="D872" s="3">
        <f>IFERROR(__xludf.DUMMYFUNCTION("""COMPUTED_VALUE"""),43269.66666666667)</f>
        <v>43269.66667</v>
      </c>
      <c r="E872" s="2">
        <f>IFERROR(__xludf.DUMMYFUNCTION("""COMPUTED_VALUE"""),66.27)</f>
        <v>66.27</v>
      </c>
      <c r="G872" s="3">
        <f>IFERROR(__xludf.DUMMYFUNCTION("""COMPUTED_VALUE"""),43197.99861111111)</f>
        <v>43197.99861</v>
      </c>
      <c r="H872" s="2">
        <f>IFERROR(__xludf.DUMMYFUNCTION("""COMPUTED_VALUE"""),6894.01)</f>
        <v>6894.01</v>
      </c>
    </row>
    <row r="873">
      <c r="A873" s="3">
        <f>IFERROR(__xludf.DUMMYFUNCTION("""COMPUTED_VALUE"""),43270.66666666667)</f>
        <v>43270.66667</v>
      </c>
      <c r="B873" s="2">
        <f>IFERROR(__xludf.DUMMYFUNCTION("""COMPUTED_VALUE"""),61.24)</f>
        <v>61.24</v>
      </c>
      <c r="D873" s="3">
        <f>IFERROR(__xludf.DUMMYFUNCTION("""COMPUTED_VALUE"""),43270.66666666667)</f>
        <v>43270.66667</v>
      </c>
      <c r="E873" s="2">
        <f>IFERROR(__xludf.DUMMYFUNCTION("""COMPUTED_VALUE"""),65.04)</f>
        <v>65.04</v>
      </c>
      <c r="G873" s="3">
        <f>IFERROR(__xludf.DUMMYFUNCTION("""COMPUTED_VALUE"""),43198.99861111111)</f>
        <v>43198.99861</v>
      </c>
      <c r="H873" s="2">
        <f>IFERROR(__xludf.DUMMYFUNCTION("""COMPUTED_VALUE"""),7020.01)</f>
        <v>7020.01</v>
      </c>
    </row>
    <row r="874">
      <c r="A874" s="3">
        <f>IFERROR(__xludf.DUMMYFUNCTION("""COMPUTED_VALUE"""),43271.66666666667)</f>
        <v>43271.66667</v>
      </c>
      <c r="B874" s="2">
        <f>IFERROR(__xludf.DUMMYFUNCTION("""COMPUTED_VALUE"""),60.98)</f>
        <v>60.98</v>
      </c>
      <c r="D874" s="3">
        <f>IFERROR(__xludf.DUMMYFUNCTION("""COMPUTED_VALUE"""),43271.66666666667)</f>
        <v>43271.66667</v>
      </c>
      <c r="E874" s="2">
        <f>IFERROR(__xludf.DUMMYFUNCTION("""COMPUTED_VALUE"""),65.58)</f>
        <v>65.58</v>
      </c>
      <c r="G874" s="3">
        <f>IFERROR(__xludf.DUMMYFUNCTION("""COMPUTED_VALUE"""),43199.99861111111)</f>
        <v>43199.99861</v>
      </c>
      <c r="H874" s="2">
        <f>IFERROR(__xludf.DUMMYFUNCTION("""COMPUTED_VALUE"""),6771.13)</f>
        <v>6771.13</v>
      </c>
    </row>
    <row r="875">
      <c r="A875" s="3">
        <f>IFERROR(__xludf.DUMMYFUNCTION("""COMPUTED_VALUE"""),43272.66666666667)</f>
        <v>43272.66667</v>
      </c>
      <c r="B875" s="2">
        <f>IFERROR(__xludf.DUMMYFUNCTION("""COMPUTED_VALUE"""),60.53)</f>
        <v>60.53</v>
      </c>
      <c r="D875" s="3">
        <f>IFERROR(__xludf.DUMMYFUNCTION("""COMPUTED_VALUE"""),43272.66666666667)</f>
        <v>43272.66667</v>
      </c>
      <c r="E875" s="2">
        <f>IFERROR(__xludf.DUMMYFUNCTION("""COMPUTED_VALUE"""),64.28)</f>
        <v>64.28</v>
      </c>
      <c r="G875" s="3">
        <f>IFERROR(__xludf.DUMMYFUNCTION("""COMPUTED_VALUE"""),43200.99861111111)</f>
        <v>43200.99861</v>
      </c>
      <c r="H875" s="2">
        <f>IFERROR(__xludf.DUMMYFUNCTION("""COMPUTED_VALUE"""),6824.99)</f>
        <v>6824.99</v>
      </c>
    </row>
    <row r="876">
      <c r="A876" s="3">
        <f>IFERROR(__xludf.DUMMYFUNCTION("""COMPUTED_VALUE"""),43273.66666666667)</f>
        <v>43273.66667</v>
      </c>
      <c r="B876" s="2">
        <f>IFERROR(__xludf.DUMMYFUNCTION("""COMPUTED_VALUE"""),60.1)</f>
        <v>60.1</v>
      </c>
      <c r="D876" s="3">
        <f>IFERROR(__xludf.DUMMYFUNCTION("""COMPUTED_VALUE"""),43273.66666666667)</f>
        <v>43273.66667</v>
      </c>
      <c r="E876" s="2">
        <f>IFERROR(__xludf.DUMMYFUNCTION("""COMPUTED_VALUE"""),62.74)</f>
        <v>62.74</v>
      </c>
      <c r="G876" s="3">
        <f>IFERROR(__xludf.DUMMYFUNCTION("""COMPUTED_VALUE"""),43201.99861111111)</f>
        <v>43201.99861</v>
      </c>
      <c r="H876" s="2">
        <f>IFERROR(__xludf.DUMMYFUNCTION("""COMPUTED_VALUE"""),6942.99)</f>
        <v>6942.99</v>
      </c>
    </row>
    <row r="877">
      <c r="A877" s="3">
        <f>IFERROR(__xludf.DUMMYFUNCTION("""COMPUTED_VALUE"""),43276.66666666667)</f>
        <v>43276.66667</v>
      </c>
      <c r="B877" s="2">
        <f>IFERROR(__xludf.DUMMYFUNCTION("""COMPUTED_VALUE"""),58.74)</f>
        <v>58.74</v>
      </c>
      <c r="D877" s="3">
        <f>IFERROR(__xludf.DUMMYFUNCTION("""COMPUTED_VALUE"""),43276.66666666667)</f>
        <v>43276.66667</v>
      </c>
      <c r="E877" s="2">
        <f>IFERROR(__xludf.DUMMYFUNCTION("""COMPUTED_VALUE"""),59.78)</f>
        <v>59.78</v>
      </c>
      <c r="G877" s="3">
        <f>IFERROR(__xludf.DUMMYFUNCTION("""COMPUTED_VALUE"""),43202.99861111111)</f>
        <v>43202.99861</v>
      </c>
      <c r="H877" s="2">
        <f>IFERROR(__xludf.DUMMYFUNCTION("""COMPUTED_VALUE"""),7916.0)</f>
        <v>7916</v>
      </c>
    </row>
    <row r="878">
      <c r="A878" s="3">
        <f>IFERROR(__xludf.DUMMYFUNCTION("""COMPUTED_VALUE"""),43277.66666666667)</f>
        <v>43277.66667</v>
      </c>
      <c r="B878" s="2">
        <f>IFERROR(__xludf.DUMMYFUNCTION("""COMPUTED_VALUE"""),59.36)</f>
        <v>59.36</v>
      </c>
      <c r="D878" s="3">
        <f>IFERROR(__xludf.DUMMYFUNCTION("""COMPUTED_VALUE"""),43277.66666666667)</f>
        <v>43277.66667</v>
      </c>
      <c r="E878" s="2">
        <f>IFERROR(__xludf.DUMMYFUNCTION("""COMPUTED_VALUE"""),60.5)</f>
        <v>60.5</v>
      </c>
      <c r="G878" s="3">
        <f>IFERROR(__xludf.DUMMYFUNCTION("""COMPUTED_VALUE"""),43203.99861111111)</f>
        <v>43203.99861</v>
      </c>
      <c r="H878" s="2">
        <f>IFERROR(__xludf.DUMMYFUNCTION("""COMPUTED_VALUE"""),7893.19)</f>
        <v>7893.19</v>
      </c>
    </row>
    <row r="879">
      <c r="A879" s="3">
        <f>IFERROR(__xludf.DUMMYFUNCTION("""COMPUTED_VALUE"""),43278.66666666667)</f>
        <v>43278.66667</v>
      </c>
      <c r="B879" s="2">
        <f>IFERROR(__xludf.DUMMYFUNCTION("""COMPUTED_VALUE"""),58.55)</f>
        <v>58.55</v>
      </c>
      <c r="D879" s="3">
        <f>IFERROR(__xludf.DUMMYFUNCTION("""COMPUTED_VALUE"""),43278.66666666667)</f>
        <v>43278.66667</v>
      </c>
      <c r="E879" s="2">
        <f>IFERROR(__xludf.DUMMYFUNCTION("""COMPUTED_VALUE"""),58.93)</f>
        <v>58.93</v>
      </c>
      <c r="G879" s="3">
        <f>IFERROR(__xludf.DUMMYFUNCTION("""COMPUTED_VALUE"""),43204.99861111111)</f>
        <v>43204.99861</v>
      </c>
      <c r="H879" s="2">
        <f>IFERROR(__xludf.DUMMYFUNCTION("""COMPUTED_VALUE"""),8003.11)</f>
        <v>8003.11</v>
      </c>
    </row>
    <row r="880">
      <c r="A880" s="3">
        <f>IFERROR(__xludf.DUMMYFUNCTION("""COMPUTED_VALUE"""),43279.66666666667)</f>
        <v>43279.66667</v>
      </c>
      <c r="B880" s="2">
        <f>IFERROR(__xludf.DUMMYFUNCTION("""COMPUTED_VALUE"""),59.07)</f>
        <v>59.07</v>
      </c>
      <c r="D880" s="3">
        <f>IFERROR(__xludf.DUMMYFUNCTION("""COMPUTED_VALUE"""),43279.66666666667)</f>
        <v>43279.66667</v>
      </c>
      <c r="E880" s="2">
        <f>IFERROR(__xludf.DUMMYFUNCTION("""COMPUTED_VALUE"""),60.22)</f>
        <v>60.22</v>
      </c>
      <c r="G880" s="3">
        <f>IFERROR(__xludf.DUMMYFUNCTION("""COMPUTED_VALUE"""),43205.99861111111)</f>
        <v>43205.99861</v>
      </c>
      <c r="H880" s="2">
        <f>IFERROR(__xludf.DUMMYFUNCTION("""COMPUTED_VALUE"""),8355.25)</f>
        <v>8355.25</v>
      </c>
    </row>
    <row r="881">
      <c r="A881" s="3">
        <f>IFERROR(__xludf.DUMMYFUNCTION("""COMPUTED_VALUE"""),43280.66666666667)</f>
        <v>43280.66667</v>
      </c>
      <c r="B881" s="2">
        <f>IFERROR(__xludf.DUMMYFUNCTION("""COMPUTED_VALUE"""),59.03)</f>
        <v>59.03</v>
      </c>
      <c r="D881" s="3">
        <f>IFERROR(__xludf.DUMMYFUNCTION("""COMPUTED_VALUE"""),43280.66666666667)</f>
        <v>43280.66667</v>
      </c>
      <c r="E881" s="2">
        <f>IFERROR(__xludf.DUMMYFUNCTION("""COMPUTED_VALUE"""),59.23)</f>
        <v>59.23</v>
      </c>
      <c r="G881" s="3">
        <f>IFERROR(__xludf.DUMMYFUNCTION("""COMPUTED_VALUE"""),43206.99861111111)</f>
        <v>43206.99861</v>
      </c>
      <c r="H881" s="2">
        <f>IFERROR(__xludf.DUMMYFUNCTION("""COMPUTED_VALUE"""),8048.93)</f>
        <v>8048.93</v>
      </c>
    </row>
    <row r="882">
      <c r="A882" s="3">
        <f>IFERROR(__xludf.DUMMYFUNCTION("""COMPUTED_VALUE"""),43283.66666666667)</f>
        <v>43283.66667</v>
      </c>
      <c r="B882" s="2">
        <f>IFERROR(__xludf.DUMMYFUNCTION("""COMPUTED_VALUE"""),59.68)</f>
        <v>59.68</v>
      </c>
      <c r="D882" s="3">
        <f>IFERROR(__xludf.DUMMYFUNCTION("""COMPUTED_VALUE"""),43283.66666666667)</f>
        <v>43283.66667</v>
      </c>
      <c r="E882" s="2">
        <f>IFERROR(__xludf.DUMMYFUNCTION("""COMPUTED_VALUE"""),60.56)</f>
        <v>60.56</v>
      </c>
      <c r="G882" s="3">
        <f>IFERROR(__xludf.DUMMYFUNCTION("""COMPUTED_VALUE"""),43207.99861111111)</f>
        <v>43207.99861</v>
      </c>
      <c r="H882" s="2">
        <f>IFERROR(__xludf.DUMMYFUNCTION("""COMPUTED_VALUE"""),7892.1)</f>
        <v>7892.1</v>
      </c>
    </row>
    <row r="883">
      <c r="A883" s="3">
        <f>IFERROR(__xludf.DUMMYFUNCTION("""COMPUTED_VALUE"""),43284.54166666667)</f>
        <v>43284.54167</v>
      </c>
      <c r="B883" s="2">
        <f>IFERROR(__xludf.DUMMYFUNCTION("""COMPUTED_VALUE"""),59.45)</f>
        <v>59.45</v>
      </c>
      <c r="D883" s="3">
        <f>IFERROR(__xludf.DUMMYFUNCTION("""COMPUTED_VALUE"""),43284.54166666667)</f>
        <v>43284.54167</v>
      </c>
      <c r="E883" s="2">
        <f>IFERROR(__xludf.DUMMYFUNCTION("""COMPUTED_VALUE"""),59.21)</f>
        <v>59.21</v>
      </c>
      <c r="G883" s="3">
        <f>IFERROR(__xludf.DUMMYFUNCTION("""COMPUTED_VALUE"""),43208.99861111111)</f>
        <v>43208.99861</v>
      </c>
      <c r="H883" s="2">
        <f>IFERROR(__xludf.DUMMYFUNCTION("""COMPUTED_VALUE"""),8152.05)</f>
        <v>8152.05</v>
      </c>
    </row>
    <row r="884">
      <c r="A884" s="3">
        <f>IFERROR(__xludf.DUMMYFUNCTION("""COMPUTED_VALUE"""),43286.66666666667)</f>
        <v>43286.66667</v>
      </c>
      <c r="B884" s="2">
        <f>IFERROR(__xludf.DUMMYFUNCTION("""COMPUTED_VALUE"""),59.5)</f>
        <v>59.5</v>
      </c>
      <c r="D884" s="3">
        <f>IFERROR(__xludf.DUMMYFUNCTION("""COMPUTED_VALUE"""),43286.66666666667)</f>
        <v>43286.66667</v>
      </c>
      <c r="E884" s="2">
        <f>IFERROR(__xludf.DUMMYFUNCTION("""COMPUTED_VALUE"""),60.68)</f>
        <v>60.68</v>
      </c>
      <c r="G884" s="3">
        <f>IFERROR(__xludf.DUMMYFUNCTION("""COMPUTED_VALUE"""),43209.99861111111)</f>
        <v>43209.99861</v>
      </c>
      <c r="H884" s="2">
        <f>IFERROR(__xludf.DUMMYFUNCTION("""COMPUTED_VALUE"""),8274.0)</f>
        <v>8274</v>
      </c>
    </row>
    <row r="885">
      <c r="A885" s="3">
        <f>IFERROR(__xludf.DUMMYFUNCTION("""COMPUTED_VALUE"""),43287.66666666667)</f>
        <v>43287.66667</v>
      </c>
      <c r="B885" s="2">
        <f>IFERROR(__xludf.DUMMYFUNCTION("""COMPUTED_VALUE"""),59.83)</f>
        <v>59.83</v>
      </c>
      <c r="D885" s="3">
        <f>IFERROR(__xludf.DUMMYFUNCTION("""COMPUTED_VALUE"""),43287.66666666667)</f>
        <v>43287.66667</v>
      </c>
      <c r="E885" s="2">
        <f>IFERROR(__xludf.DUMMYFUNCTION("""COMPUTED_VALUE"""),61.83)</f>
        <v>61.83</v>
      </c>
      <c r="G885" s="3">
        <f>IFERROR(__xludf.DUMMYFUNCTION("""COMPUTED_VALUE"""),43210.99861111111)</f>
        <v>43210.99861</v>
      </c>
      <c r="H885" s="2">
        <f>IFERROR(__xludf.DUMMYFUNCTION("""COMPUTED_VALUE"""),8866.27)</f>
        <v>8866.27</v>
      </c>
    </row>
    <row r="886">
      <c r="A886" s="3">
        <f>IFERROR(__xludf.DUMMYFUNCTION("""COMPUTED_VALUE"""),43290.66666666667)</f>
        <v>43290.66667</v>
      </c>
      <c r="B886" s="2">
        <f>IFERROR(__xludf.DUMMYFUNCTION("""COMPUTED_VALUE"""),60.14)</f>
        <v>60.14</v>
      </c>
      <c r="D886" s="3">
        <f>IFERROR(__xludf.DUMMYFUNCTION("""COMPUTED_VALUE"""),43290.66666666667)</f>
        <v>43290.66667</v>
      </c>
      <c r="E886" s="2">
        <f>IFERROR(__xludf.DUMMYFUNCTION("""COMPUTED_VALUE"""),62.31)</f>
        <v>62.31</v>
      </c>
      <c r="G886" s="3">
        <f>IFERROR(__xludf.DUMMYFUNCTION("""COMPUTED_VALUE"""),43211.99861111111)</f>
        <v>43211.99861</v>
      </c>
      <c r="H886" s="2">
        <f>IFERROR(__xludf.DUMMYFUNCTION("""COMPUTED_VALUE"""),8915.42)</f>
        <v>8915.42</v>
      </c>
    </row>
    <row r="887">
      <c r="A887" s="3">
        <f>IFERROR(__xludf.DUMMYFUNCTION("""COMPUTED_VALUE"""),43291.66666666667)</f>
        <v>43291.66667</v>
      </c>
      <c r="B887" s="2">
        <f>IFERROR(__xludf.DUMMYFUNCTION("""COMPUTED_VALUE"""),60.42)</f>
        <v>60.42</v>
      </c>
      <c r="D887" s="3">
        <f>IFERROR(__xludf.DUMMYFUNCTION("""COMPUTED_VALUE"""),43291.66666666667)</f>
        <v>43291.66667</v>
      </c>
      <c r="E887" s="2">
        <f>IFERROR(__xludf.DUMMYFUNCTION("""COMPUTED_VALUE"""),63.31)</f>
        <v>63.31</v>
      </c>
      <c r="G887" s="3">
        <f>IFERROR(__xludf.DUMMYFUNCTION("""COMPUTED_VALUE"""),43212.99861111111)</f>
        <v>43212.99861</v>
      </c>
      <c r="H887" s="2">
        <f>IFERROR(__xludf.DUMMYFUNCTION("""COMPUTED_VALUE"""),8795.01)</f>
        <v>8795.01</v>
      </c>
    </row>
    <row r="888">
      <c r="A888" s="3">
        <f>IFERROR(__xludf.DUMMYFUNCTION("""COMPUTED_VALUE"""),43292.66666666667)</f>
        <v>43292.66667</v>
      </c>
      <c r="B888" s="2">
        <f>IFERROR(__xludf.DUMMYFUNCTION("""COMPUTED_VALUE"""),59.74)</f>
        <v>59.74</v>
      </c>
      <c r="D888" s="3">
        <f>IFERROR(__xludf.DUMMYFUNCTION("""COMPUTED_VALUE"""),43292.66666666667)</f>
        <v>43292.66667</v>
      </c>
      <c r="E888" s="2">
        <f>IFERROR(__xludf.DUMMYFUNCTION("""COMPUTED_VALUE"""),61.88)</f>
        <v>61.88</v>
      </c>
      <c r="G888" s="3">
        <f>IFERROR(__xludf.DUMMYFUNCTION("""COMPUTED_VALUE"""),43213.99861111111)</f>
        <v>43213.99861</v>
      </c>
      <c r="H888" s="2">
        <f>IFERROR(__xludf.DUMMYFUNCTION("""COMPUTED_VALUE"""),8931.3)</f>
        <v>8931.3</v>
      </c>
    </row>
    <row r="889">
      <c r="A889" s="3">
        <f>IFERROR(__xludf.DUMMYFUNCTION("""COMPUTED_VALUE"""),43293.66666666667)</f>
        <v>43293.66667</v>
      </c>
      <c r="B889" s="2">
        <f>IFERROR(__xludf.DUMMYFUNCTION("""COMPUTED_VALUE"""),60.08)</f>
        <v>60.08</v>
      </c>
      <c r="D889" s="3">
        <f>IFERROR(__xludf.DUMMYFUNCTION("""COMPUTED_VALUE"""),43293.66666666667)</f>
        <v>43293.66667</v>
      </c>
      <c r="E889" s="2">
        <f>IFERROR(__xludf.DUMMYFUNCTION("""COMPUTED_VALUE"""),62.81)</f>
        <v>62.81</v>
      </c>
      <c r="G889" s="3">
        <f>IFERROR(__xludf.DUMMYFUNCTION("""COMPUTED_VALUE"""),43214.99861111111)</f>
        <v>43214.99861</v>
      </c>
      <c r="H889" s="2">
        <f>IFERROR(__xludf.DUMMYFUNCTION("""COMPUTED_VALUE"""),9645.1)</f>
        <v>9645.1</v>
      </c>
    </row>
    <row r="890">
      <c r="A890" s="3">
        <f>IFERROR(__xludf.DUMMYFUNCTION("""COMPUTED_VALUE"""),43294.66666666667)</f>
        <v>43294.66667</v>
      </c>
      <c r="B890" s="2">
        <f>IFERROR(__xludf.DUMMYFUNCTION("""COMPUTED_VALUE"""),59.97)</f>
        <v>59.97</v>
      </c>
      <c r="D890" s="3">
        <f>IFERROR(__xludf.DUMMYFUNCTION("""COMPUTED_VALUE"""),43294.66666666667)</f>
        <v>43294.66667</v>
      </c>
      <c r="E890" s="2">
        <f>IFERROR(__xludf.DUMMYFUNCTION("""COMPUTED_VALUE"""),62.33)</f>
        <v>62.33</v>
      </c>
      <c r="G890" s="3">
        <f>IFERROR(__xludf.DUMMYFUNCTION("""COMPUTED_VALUE"""),43215.99861111111)</f>
        <v>43215.99861</v>
      </c>
      <c r="H890" s="2">
        <f>IFERROR(__xludf.DUMMYFUNCTION("""COMPUTED_VALUE"""),8865.98)</f>
        <v>8865.98</v>
      </c>
    </row>
    <row r="891">
      <c r="A891" s="3">
        <f>IFERROR(__xludf.DUMMYFUNCTION("""COMPUTED_VALUE"""),43297.66666666667)</f>
        <v>43297.66667</v>
      </c>
      <c r="B891" s="2">
        <f>IFERROR(__xludf.DUMMYFUNCTION("""COMPUTED_VALUE"""),59.62)</f>
        <v>59.62</v>
      </c>
      <c r="D891" s="3">
        <f>IFERROR(__xludf.DUMMYFUNCTION("""COMPUTED_VALUE"""),43297.66666666667)</f>
        <v>43297.66667</v>
      </c>
      <c r="E891" s="2">
        <f>IFERROR(__xludf.DUMMYFUNCTION("""COMPUTED_VALUE"""),62.05)</f>
        <v>62.05</v>
      </c>
      <c r="G891" s="3">
        <f>IFERROR(__xludf.DUMMYFUNCTION("""COMPUTED_VALUE"""),43216.99861111111)</f>
        <v>43216.99861</v>
      </c>
      <c r="H891" s="2">
        <f>IFERROR(__xludf.DUMMYFUNCTION("""COMPUTED_VALUE"""),9272.11)</f>
        <v>9272.11</v>
      </c>
    </row>
    <row r="892">
      <c r="A892" s="3">
        <f>IFERROR(__xludf.DUMMYFUNCTION("""COMPUTED_VALUE"""),43298.66666666667)</f>
        <v>43298.66667</v>
      </c>
      <c r="B892" s="2">
        <f>IFERROR(__xludf.DUMMYFUNCTION("""COMPUTED_VALUE"""),60.3)</f>
        <v>60.3</v>
      </c>
      <c r="D892" s="3">
        <f>IFERROR(__xludf.DUMMYFUNCTION("""COMPUTED_VALUE"""),43298.66666666667)</f>
        <v>43298.66667</v>
      </c>
      <c r="E892" s="2">
        <f>IFERROR(__xludf.DUMMYFUNCTION("""COMPUTED_VALUE"""),63.42)</f>
        <v>63.42</v>
      </c>
      <c r="G892" s="3">
        <f>IFERROR(__xludf.DUMMYFUNCTION("""COMPUTED_VALUE"""),43217.99861111111)</f>
        <v>43217.99861</v>
      </c>
      <c r="H892" s="2">
        <f>IFERROR(__xludf.DUMMYFUNCTION("""COMPUTED_VALUE"""),8922.55)</f>
        <v>8922.55</v>
      </c>
    </row>
    <row r="893">
      <c r="A893" s="3">
        <f>IFERROR(__xludf.DUMMYFUNCTION("""COMPUTED_VALUE"""),43299.66666666667)</f>
        <v>43299.66667</v>
      </c>
      <c r="B893" s="2">
        <f>IFERROR(__xludf.DUMMYFUNCTION("""COMPUTED_VALUE"""),60.71)</f>
        <v>60.71</v>
      </c>
      <c r="D893" s="3">
        <f>IFERROR(__xludf.DUMMYFUNCTION("""COMPUTED_VALUE"""),43299.66666666667)</f>
        <v>43299.66667</v>
      </c>
      <c r="E893" s="2">
        <f>IFERROR(__xludf.DUMMYFUNCTION("""COMPUTED_VALUE"""),62.93)</f>
        <v>62.93</v>
      </c>
      <c r="G893" s="3">
        <f>IFERROR(__xludf.DUMMYFUNCTION("""COMPUTED_VALUE"""),43218.99861111111)</f>
        <v>43218.99861</v>
      </c>
      <c r="H893" s="2">
        <f>IFERROR(__xludf.DUMMYFUNCTION("""COMPUTED_VALUE"""),9329.99)</f>
        <v>9329.99</v>
      </c>
    </row>
    <row r="894">
      <c r="A894" s="3">
        <f>IFERROR(__xludf.DUMMYFUNCTION("""COMPUTED_VALUE"""),43300.66666666667)</f>
        <v>43300.66667</v>
      </c>
      <c r="B894" s="2">
        <f>IFERROR(__xludf.DUMMYFUNCTION("""COMPUTED_VALUE"""),60.92)</f>
        <v>60.92</v>
      </c>
      <c r="D894" s="3">
        <f>IFERROR(__xludf.DUMMYFUNCTION("""COMPUTED_VALUE"""),43300.66666666667)</f>
        <v>43300.66667</v>
      </c>
      <c r="E894" s="2">
        <f>IFERROR(__xludf.DUMMYFUNCTION("""COMPUTED_VALUE"""),63.01)</f>
        <v>63.01</v>
      </c>
      <c r="G894" s="3">
        <f>IFERROR(__xludf.DUMMYFUNCTION("""COMPUTED_VALUE"""),43219.99861111111)</f>
        <v>43219.99861</v>
      </c>
      <c r="H894" s="2">
        <f>IFERROR(__xludf.DUMMYFUNCTION("""COMPUTED_VALUE"""),9389.01)</f>
        <v>9389.01</v>
      </c>
    </row>
    <row r="895">
      <c r="A895" s="3">
        <f>IFERROR(__xludf.DUMMYFUNCTION("""COMPUTED_VALUE"""),43301.66666666667)</f>
        <v>43301.66667</v>
      </c>
      <c r="B895" s="2">
        <f>IFERROR(__xludf.DUMMYFUNCTION("""COMPUTED_VALUE"""),60.59)</f>
        <v>60.59</v>
      </c>
      <c r="D895" s="3">
        <f>IFERROR(__xludf.DUMMYFUNCTION("""COMPUTED_VALUE"""),43301.66666666667)</f>
        <v>43301.66667</v>
      </c>
      <c r="E895" s="2">
        <f>IFERROR(__xludf.DUMMYFUNCTION("""COMPUTED_VALUE"""),62.72)</f>
        <v>62.72</v>
      </c>
      <c r="G895" s="3">
        <f>IFERROR(__xludf.DUMMYFUNCTION("""COMPUTED_VALUE"""),43220.99861111111)</f>
        <v>43220.99861</v>
      </c>
      <c r="H895" s="2">
        <f>IFERROR(__xludf.DUMMYFUNCTION("""COMPUTED_VALUE"""),9243.83)</f>
        <v>9243.83</v>
      </c>
    </row>
    <row r="896">
      <c r="A896" s="3">
        <f>IFERROR(__xludf.DUMMYFUNCTION("""COMPUTED_VALUE"""),43304.66666666667)</f>
        <v>43304.66667</v>
      </c>
      <c r="B896" s="2">
        <f>IFERROR(__xludf.DUMMYFUNCTION("""COMPUTED_VALUE"""),59.61)</f>
        <v>59.61</v>
      </c>
      <c r="D896" s="3">
        <f>IFERROR(__xludf.DUMMYFUNCTION("""COMPUTED_VALUE"""),43304.66666666667)</f>
        <v>43304.66667</v>
      </c>
      <c r="E896" s="2">
        <f>IFERROR(__xludf.DUMMYFUNCTION("""COMPUTED_VALUE"""),62.35)</f>
        <v>62.35</v>
      </c>
      <c r="G896" s="3">
        <f>IFERROR(__xludf.DUMMYFUNCTION("""COMPUTED_VALUE"""),43221.99861111111)</f>
        <v>43221.99861</v>
      </c>
      <c r="H896" s="2">
        <f>IFERROR(__xludf.DUMMYFUNCTION("""COMPUTED_VALUE"""),9072.29)</f>
        <v>9072.29</v>
      </c>
    </row>
    <row r="897">
      <c r="A897" s="3">
        <f>IFERROR(__xludf.DUMMYFUNCTION("""COMPUTED_VALUE"""),43305.66666666667)</f>
        <v>43305.66667</v>
      </c>
      <c r="B897" s="2">
        <f>IFERROR(__xludf.DUMMYFUNCTION("""COMPUTED_VALUE"""),59.16)</f>
        <v>59.16</v>
      </c>
      <c r="D897" s="3">
        <f>IFERROR(__xludf.DUMMYFUNCTION("""COMPUTED_VALUE"""),43305.66666666667)</f>
        <v>43305.66667</v>
      </c>
      <c r="E897" s="2">
        <f>IFERROR(__xludf.DUMMYFUNCTION("""COMPUTED_VALUE"""),62.18)</f>
        <v>62.18</v>
      </c>
      <c r="G897" s="3">
        <f>IFERROR(__xludf.DUMMYFUNCTION("""COMPUTED_VALUE"""),43222.99861111111)</f>
        <v>43222.99861</v>
      </c>
      <c r="H897" s="2">
        <f>IFERROR(__xludf.DUMMYFUNCTION("""COMPUTED_VALUE"""),9190.48)</f>
        <v>9190.48</v>
      </c>
    </row>
    <row r="898">
      <c r="A898" s="3">
        <f>IFERROR(__xludf.DUMMYFUNCTION("""COMPUTED_VALUE"""),43306.66666666667)</f>
        <v>43306.66667</v>
      </c>
      <c r="B898" s="2">
        <f>IFERROR(__xludf.DUMMYFUNCTION("""COMPUTED_VALUE"""),59.63)</f>
        <v>59.63</v>
      </c>
      <c r="D898" s="3">
        <f>IFERROR(__xludf.DUMMYFUNCTION("""COMPUTED_VALUE"""),43306.66666666667)</f>
        <v>43306.66667</v>
      </c>
      <c r="E898" s="2">
        <f>IFERROR(__xludf.DUMMYFUNCTION("""COMPUTED_VALUE"""),62.97)</f>
        <v>62.97</v>
      </c>
      <c r="G898" s="3">
        <f>IFERROR(__xludf.DUMMYFUNCTION("""COMPUTED_VALUE"""),43223.99861111111)</f>
        <v>43223.99861</v>
      </c>
      <c r="H898" s="2">
        <f>IFERROR(__xludf.DUMMYFUNCTION("""COMPUTED_VALUE"""),9725.74)</f>
        <v>9725.74</v>
      </c>
    </row>
    <row r="899">
      <c r="A899" s="3">
        <f>IFERROR(__xludf.DUMMYFUNCTION("""COMPUTED_VALUE"""),43307.66666666667)</f>
        <v>43307.66667</v>
      </c>
      <c r="B899" s="2">
        <f>IFERROR(__xludf.DUMMYFUNCTION("""COMPUTED_VALUE"""),60.41)</f>
        <v>60.41</v>
      </c>
      <c r="D899" s="3">
        <f>IFERROR(__xludf.DUMMYFUNCTION("""COMPUTED_VALUE"""),43307.66666666667)</f>
        <v>43307.66667</v>
      </c>
      <c r="E899" s="2">
        <f>IFERROR(__xludf.DUMMYFUNCTION("""COMPUTED_VALUE"""),63.71)</f>
        <v>63.71</v>
      </c>
      <c r="G899" s="3">
        <f>IFERROR(__xludf.DUMMYFUNCTION("""COMPUTED_VALUE"""),43224.99861111111)</f>
        <v>43224.99861</v>
      </c>
      <c r="H899" s="2">
        <f>IFERROR(__xludf.DUMMYFUNCTION("""COMPUTED_VALUE"""),9685.0)</f>
        <v>9685</v>
      </c>
    </row>
    <row r="900">
      <c r="A900" s="3">
        <f>IFERROR(__xludf.DUMMYFUNCTION("""COMPUTED_VALUE"""),43308.66666666667)</f>
        <v>43308.66667</v>
      </c>
      <c r="B900" s="2">
        <f>IFERROR(__xludf.DUMMYFUNCTION("""COMPUTED_VALUE"""),59.16)</f>
        <v>59.16</v>
      </c>
      <c r="D900" s="3">
        <f>IFERROR(__xludf.DUMMYFUNCTION("""COMPUTED_VALUE"""),43308.66666666667)</f>
        <v>43308.66667</v>
      </c>
      <c r="E900" s="2">
        <f>IFERROR(__xludf.DUMMYFUNCTION("""COMPUTED_VALUE"""),63.01)</f>
        <v>63.01</v>
      </c>
      <c r="G900" s="3">
        <f>IFERROR(__xludf.DUMMYFUNCTION("""COMPUTED_VALUE"""),43225.99861111111)</f>
        <v>43225.99861</v>
      </c>
      <c r="H900" s="2">
        <f>IFERROR(__xludf.DUMMYFUNCTION("""COMPUTED_VALUE"""),9800.0)</f>
        <v>9800</v>
      </c>
    </row>
    <row r="901">
      <c r="A901" s="3">
        <f>IFERROR(__xludf.DUMMYFUNCTION("""COMPUTED_VALUE"""),43311.66666666667)</f>
        <v>43311.66667</v>
      </c>
      <c r="B901" s="2">
        <f>IFERROR(__xludf.DUMMYFUNCTION("""COMPUTED_VALUE"""),57.46)</f>
        <v>57.46</v>
      </c>
      <c r="D901" s="3">
        <f>IFERROR(__xludf.DUMMYFUNCTION("""COMPUTED_VALUE"""),43311.66666666667)</f>
        <v>43311.66667</v>
      </c>
      <c r="E901" s="2">
        <f>IFERROR(__xludf.DUMMYFUNCTION("""COMPUTED_VALUE"""),61.03)</f>
        <v>61.03</v>
      </c>
      <c r="G901" s="3">
        <f>IFERROR(__xludf.DUMMYFUNCTION("""COMPUTED_VALUE"""),43226.99861111111)</f>
        <v>43226.99861</v>
      </c>
      <c r="H901" s="2">
        <f>IFERROR(__xludf.DUMMYFUNCTION("""COMPUTED_VALUE"""),9600.0)</f>
        <v>9600</v>
      </c>
    </row>
    <row r="902">
      <c r="A902" s="3">
        <f>IFERROR(__xludf.DUMMYFUNCTION("""COMPUTED_VALUE"""),43312.66666666667)</f>
        <v>43312.66667</v>
      </c>
      <c r="B902" s="2">
        <f>IFERROR(__xludf.DUMMYFUNCTION("""COMPUTED_VALUE"""),58.0)</f>
        <v>58</v>
      </c>
      <c r="D902" s="3">
        <f>IFERROR(__xludf.DUMMYFUNCTION("""COMPUTED_VALUE"""),43312.66666666667)</f>
        <v>43312.66667</v>
      </c>
      <c r="E902" s="2">
        <f>IFERROR(__xludf.DUMMYFUNCTION("""COMPUTED_VALUE"""),61.22)</f>
        <v>61.22</v>
      </c>
      <c r="G902" s="3">
        <f>IFERROR(__xludf.DUMMYFUNCTION("""COMPUTED_VALUE"""),43227.99861111111)</f>
        <v>43227.99861</v>
      </c>
      <c r="H902" s="2">
        <f>IFERROR(__xludf.DUMMYFUNCTION("""COMPUTED_VALUE"""),9353.0)</f>
        <v>9353</v>
      </c>
    </row>
    <row r="903">
      <c r="A903" s="3">
        <f>IFERROR(__xludf.DUMMYFUNCTION("""COMPUTED_VALUE"""),43313.66666666667)</f>
        <v>43313.66667</v>
      </c>
      <c r="B903" s="2">
        <f>IFERROR(__xludf.DUMMYFUNCTION("""COMPUTED_VALUE"""),58.74)</f>
        <v>58.74</v>
      </c>
      <c r="D903" s="3">
        <f>IFERROR(__xludf.DUMMYFUNCTION("""COMPUTED_VALUE"""),43313.66666666667)</f>
        <v>43313.66667</v>
      </c>
      <c r="E903" s="2">
        <f>IFERROR(__xludf.DUMMYFUNCTION("""COMPUTED_VALUE"""),61.62)</f>
        <v>61.62</v>
      </c>
      <c r="G903" s="3">
        <f>IFERROR(__xludf.DUMMYFUNCTION("""COMPUTED_VALUE"""),43228.99861111111)</f>
        <v>43228.99861</v>
      </c>
      <c r="H903" s="2">
        <f>IFERROR(__xludf.DUMMYFUNCTION("""COMPUTED_VALUE"""),9177.82)</f>
        <v>9177.82</v>
      </c>
    </row>
    <row r="904">
      <c r="A904" s="3">
        <f>IFERROR(__xludf.DUMMYFUNCTION("""COMPUTED_VALUE"""),43314.66666666667)</f>
        <v>43314.66667</v>
      </c>
      <c r="B904" s="2">
        <f>IFERROR(__xludf.DUMMYFUNCTION("""COMPUTED_VALUE"""),59.69)</f>
        <v>59.69</v>
      </c>
      <c r="D904" s="3">
        <f>IFERROR(__xludf.DUMMYFUNCTION("""COMPUTED_VALUE"""),43314.66666666667)</f>
        <v>43314.66667</v>
      </c>
      <c r="E904" s="2">
        <f>IFERROR(__xludf.DUMMYFUNCTION("""COMPUTED_VALUE"""),62.66)</f>
        <v>62.66</v>
      </c>
      <c r="G904" s="3">
        <f>IFERROR(__xludf.DUMMYFUNCTION("""COMPUTED_VALUE"""),43229.99861111111)</f>
        <v>43229.99861</v>
      </c>
      <c r="H904" s="2">
        <f>IFERROR(__xludf.DUMMYFUNCTION("""COMPUTED_VALUE"""),9300.08)</f>
        <v>9300.08</v>
      </c>
    </row>
    <row r="905">
      <c r="A905" s="3">
        <f>IFERROR(__xludf.DUMMYFUNCTION("""COMPUTED_VALUE"""),43315.66666666667)</f>
        <v>43315.66667</v>
      </c>
      <c r="B905" s="2">
        <f>IFERROR(__xludf.DUMMYFUNCTION("""COMPUTED_VALUE"""),59.31)</f>
        <v>59.31</v>
      </c>
      <c r="D905" s="3">
        <f>IFERROR(__xludf.DUMMYFUNCTION("""COMPUTED_VALUE"""),43315.66666666667)</f>
        <v>43315.66667</v>
      </c>
      <c r="E905" s="2">
        <f>IFERROR(__xludf.DUMMYFUNCTION("""COMPUTED_VALUE"""),63.03)</f>
        <v>63.03</v>
      </c>
      <c r="G905" s="3">
        <f>IFERROR(__xludf.DUMMYFUNCTION("""COMPUTED_VALUE"""),43230.99861111111)</f>
        <v>43230.99861</v>
      </c>
      <c r="H905" s="2">
        <f>IFERROR(__xludf.DUMMYFUNCTION("""COMPUTED_VALUE"""),9010.51)</f>
        <v>9010.51</v>
      </c>
    </row>
    <row r="906">
      <c r="A906" s="3">
        <f>IFERROR(__xludf.DUMMYFUNCTION("""COMPUTED_VALUE"""),43318.66666666667)</f>
        <v>43318.66667</v>
      </c>
      <c r="B906" s="2">
        <f>IFERROR(__xludf.DUMMYFUNCTION("""COMPUTED_VALUE"""),60.13)</f>
        <v>60.13</v>
      </c>
      <c r="D906" s="3">
        <f>IFERROR(__xludf.DUMMYFUNCTION("""COMPUTED_VALUE"""),43318.66666666667)</f>
        <v>43318.66667</v>
      </c>
      <c r="E906" s="2">
        <f>IFERROR(__xludf.DUMMYFUNCTION("""COMPUTED_VALUE"""),63.51)</f>
        <v>63.51</v>
      </c>
      <c r="G906" s="3">
        <f>IFERROR(__xludf.DUMMYFUNCTION("""COMPUTED_VALUE"""),43231.99861111111)</f>
        <v>43231.99861</v>
      </c>
      <c r="H906" s="2">
        <f>IFERROR(__xludf.DUMMYFUNCTION("""COMPUTED_VALUE"""),8403.33)</f>
        <v>8403.33</v>
      </c>
    </row>
    <row r="907">
      <c r="A907" s="3">
        <f>IFERROR(__xludf.DUMMYFUNCTION("""COMPUTED_VALUE"""),43319.66666666667)</f>
        <v>43319.66667</v>
      </c>
      <c r="B907" s="2">
        <f>IFERROR(__xludf.DUMMYFUNCTION("""COMPUTED_VALUE"""),60.39)</f>
        <v>60.39</v>
      </c>
      <c r="D907" s="3">
        <f>IFERROR(__xludf.DUMMYFUNCTION("""COMPUTED_VALUE"""),43319.66666666667)</f>
        <v>43319.66667</v>
      </c>
      <c r="E907" s="2">
        <f>IFERROR(__xludf.DUMMYFUNCTION("""COMPUTED_VALUE"""),64.24)</f>
        <v>64.24</v>
      </c>
      <c r="G907" s="3">
        <f>IFERROR(__xludf.DUMMYFUNCTION("""COMPUTED_VALUE"""),43232.99861111111)</f>
        <v>43232.99861</v>
      </c>
      <c r="H907" s="2">
        <f>IFERROR(__xludf.DUMMYFUNCTION("""COMPUTED_VALUE"""),8475.0)</f>
        <v>8475</v>
      </c>
    </row>
    <row r="908">
      <c r="A908" s="3">
        <f>IFERROR(__xludf.DUMMYFUNCTION("""COMPUTED_VALUE"""),43320.66666666667)</f>
        <v>43320.66667</v>
      </c>
      <c r="B908" s="2">
        <f>IFERROR(__xludf.DUMMYFUNCTION("""COMPUTED_VALUE"""),60.46)</f>
        <v>60.46</v>
      </c>
      <c r="D908" s="3">
        <f>IFERROR(__xludf.DUMMYFUNCTION("""COMPUTED_VALUE"""),43320.66666666667)</f>
        <v>43320.66667</v>
      </c>
      <c r="E908" s="2">
        <f>IFERROR(__xludf.DUMMYFUNCTION("""COMPUTED_VALUE"""),64.61)</f>
        <v>64.61</v>
      </c>
      <c r="G908" s="3">
        <f>IFERROR(__xludf.DUMMYFUNCTION("""COMPUTED_VALUE"""),43233.99861111111)</f>
        <v>43233.99861</v>
      </c>
      <c r="H908" s="2">
        <f>IFERROR(__xludf.DUMMYFUNCTION("""COMPUTED_VALUE"""),8686.1)</f>
        <v>8686.1</v>
      </c>
    </row>
    <row r="909">
      <c r="A909" s="3">
        <f>IFERROR(__xludf.DUMMYFUNCTION("""COMPUTED_VALUE"""),43321.66666666667)</f>
        <v>43321.66667</v>
      </c>
      <c r="B909" s="2">
        <f>IFERROR(__xludf.DUMMYFUNCTION("""COMPUTED_VALUE"""),60.25)</f>
        <v>60.25</v>
      </c>
      <c r="D909" s="3">
        <f>IFERROR(__xludf.DUMMYFUNCTION("""COMPUTED_VALUE"""),43321.66666666667)</f>
        <v>43321.66667</v>
      </c>
      <c r="E909" s="2">
        <f>IFERROR(__xludf.DUMMYFUNCTION("""COMPUTED_VALUE"""),64.11)</f>
        <v>64.11</v>
      </c>
      <c r="G909" s="3">
        <f>IFERROR(__xludf.DUMMYFUNCTION("""COMPUTED_VALUE"""),43234.99861111111)</f>
        <v>43234.99861</v>
      </c>
      <c r="H909" s="2">
        <f>IFERROR(__xludf.DUMMYFUNCTION("""COMPUTED_VALUE"""),8670.0)</f>
        <v>8670</v>
      </c>
    </row>
    <row r="910">
      <c r="A910" s="3">
        <f>IFERROR(__xludf.DUMMYFUNCTION("""COMPUTED_VALUE"""),43322.66666666667)</f>
        <v>43322.66667</v>
      </c>
      <c r="B910" s="2">
        <f>IFERROR(__xludf.DUMMYFUNCTION("""COMPUTED_VALUE"""),59.93)</f>
        <v>59.93</v>
      </c>
      <c r="D910" s="3">
        <f>IFERROR(__xludf.DUMMYFUNCTION("""COMPUTED_VALUE"""),43322.66666666667)</f>
        <v>43322.66667</v>
      </c>
      <c r="E910" s="2">
        <f>IFERROR(__xludf.DUMMYFUNCTION("""COMPUTED_VALUE"""),63.7)</f>
        <v>63.7</v>
      </c>
      <c r="G910" s="3">
        <f>IFERROR(__xludf.DUMMYFUNCTION("""COMPUTED_VALUE"""),43235.99861111111)</f>
        <v>43235.99861</v>
      </c>
      <c r="H910" s="2">
        <f>IFERROR(__xludf.DUMMYFUNCTION("""COMPUTED_VALUE"""),8477.46)</f>
        <v>8477.46</v>
      </c>
    </row>
    <row r="911">
      <c r="A911" s="3">
        <f>IFERROR(__xludf.DUMMYFUNCTION("""COMPUTED_VALUE"""),43325.66666666667)</f>
        <v>43325.66667</v>
      </c>
      <c r="B911" s="2">
        <f>IFERROR(__xludf.DUMMYFUNCTION("""COMPUTED_VALUE"""),59.79)</f>
        <v>59.79</v>
      </c>
      <c r="D911" s="3">
        <f>IFERROR(__xludf.DUMMYFUNCTION("""COMPUTED_VALUE"""),43325.66666666667)</f>
        <v>43325.66667</v>
      </c>
      <c r="E911" s="2">
        <f>IFERROR(__xludf.DUMMYFUNCTION("""COMPUTED_VALUE"""),64.03)</f>
        <v>64.03</v>
      </c>
      <c r="G911" s="3">
        <f>IFERROR(__xludf.DUMMYFUNCTION("""COMPUTED_VALUE"""),43236.99861111111)</f>
        <v>43236.99861</v>
      </c>
      <c r="H911" s="2">
        <f>IFERROR(__xludf.DUMMYFUNCTION("""COMPUTED_VALUE"""),8344.0)</f>
        <v>8344</v>
      </c>
    </row>
    <row r="912">
      <c r="A912" s="3">
        <f>IFERROR(__xludf.DUMMYFUNCTION("""COMPUTED_VALUE"""),43326.66666666667)</f>
        <v>43326.66667</v>
      </c>
      <c r="B912" s="2">
        <f>IFERROR(__xludf.DUMMYFUNCTION("""COMPUTED_VALUE"""),60.49)</f>
        <v>60.49</v>
      </c>
      <c r="D912" s="3">
        <f>IFERROR(__xludf.DUMMYFUNCTION("""COMPUTED_VALUE"""),43326.66666666667)</f>
        <v>43326.66667</v>
      </c>
      <c r="E912" s="2">
        <f>IFERROR(__xludf.DUMMYFUNCTION("""COMPUTED_VALUE"""),65.36)</f>
        <v>65.36</v>
      </c>
      <c r="G912" s="3">
        <f>IFERROR(__xludf.DUMMYFUNCTION("""COMPUTED_VALUE"""),43237.99861111111)</f>
        <v>43237.99861</v>
      </c>
      <c r="H912" s="2">
        <f>IFERROR(__xludf.DUMMYFUNCTION("""COMPUTED_VALUE"""),8059.0)</f>
        <v>8059</v>
      </c>
    </row>
    <row r="913">
      <c r="A913" s="3">
        <f>IFERROR(__xludf.DUMMYFUNCTION("""COMPUTED_VALUE"""),43327.66666666667)</f>
        <v>43327.66667</v>
      </c>
      <c r="B913" s="2">
        <f>IFERROR(__xludf.DUMMYFUNCTION("""COMPUTED_VALUE"""),58.93)</f>
        <v>58.93</v>
      </c>
      <c r="D913" s="3">
        <f>IFERROR(__xludf.DUMMYFUNCTION("""COMPUTED_VALUE"""),43327.66666666667)</f>
        <v>43327.66667</v>
      </c>
      <c r="E913" s="2">
        <f>IFERROR(__xludf.DUMMYFUNCTION("""COMPUTED_VALUE"""),64.77)</f>
        <v>64.77</v>
      </c>
      <c r="G913" s="3">
        <f>IFERROR(__xludf.DUMMYFUNCTION("""COMPUTED_VALUE"""),43238.99861111111)</f>
        <v>43238.99861</v>
      </c>
      <c r="H913" s="2">
        <f>IFERROR(__xludf.DUMMYFUNCTION("""COMPUTED_VALUE"""),8238.51)</f>
        <v>8238.51</v>
      </c>
    </row>
    <row r="914">
      <c r="A914" s="3">
        <f>IFERROR(__xludf.DUMMYFUNCTION("""COMPUTED_VALUE"""),43328.66666666667)</f>
        <v>43328.66667</v>
      </c>
      <c r="B914" s="2">
        <f>IFERROR(__xludf.DUMMYFUNCTION("""COMPUTED_VALUE"""),59.64)</f>
        <v>59.64</v>
      </c>
      <c r="D914" s="3">
        <f>IFERROR(__xludf.DUMMYFUNCTION("""COMPUTED_VALUE"""),43328.66666666667)</f>
        <v>43328.66667</v>
      </c>
      <c r="E914" s="2">
        <f>IFERROR(__xludf.DUMMYFUNCTION("""COMPUTED_VALUE"""),64.36)</f>
        <v>64.36</v>
      </c>
      <c r="G914" s="3">
        <f>IFERROR(__xludf.DUMMYFUNCTION("""COMPUTED_VALUE"""),43239.99861111111)</f>
        <v>43239.99861</v>
      </c>
      <c r="H914" s="2">
        <f>IFERROR(__xludf.DUMMYFUNCTION("""COMPUTED_VALUE"""),8235.6)</f>
        <v>8235.6</v>
      </c>
    </row>
    <row r="915">
      <c r="A915" s="3">
        <f>IFERROR(__xludf.DUMMYFUNCTION("""COMPUTED_VALUE"""),43329.66666666667)</f>
        <v>43329.66667</v>
      </c>
      <c r="B915" s="2">
        <f>IFERROR(__xludf.DUMMYFUNCTION("""COMPUTED_VALUE"""),59.82)</f>
        <v>59.82</v>
      </c>
      <c r="D915" s="3">
        <f>IFERROR(__xludf.DUMMYFUNCTION("""COMPUTED_VALUE"""),43329.66666666667)</f>
        <v>43329.66667</v>
      </c>
      <c r="E915" s="2">
        <f>IFERROR(__xludf.DUMMYFUNCTION("""COMPUTED_VALUE"""),61.21)</f>
        <v>61.21</v>
      </c>
      <c r="G915" s="3">
        <f>IFERROR(__xludf.DUMMYFUNCTION("""COMPUTED_VALUE"""),43240.99861111111)</f>
        <v>43240.99861</v>
      </c>
      <c r="H915" s="2">
        <f>IFERROR(__xludf.DUMMYFUNCTION("""COMPUTED_VALUE"""),8516.86)</f>
        <v>8516.86</v>
      </c>
    </row>
    <row r="916">
      <c r="A916" s="3">
        <f>IFERROR(__xludf.DUMMYFUNCTION("""COMPUTED_VALUE"""),43332.66666666667)</f>
        <v>43332.66667</v>
      </c>
      <c r="B916" s="2">
        <f>IFERROR(__xludf.DUMMYFUNCTION("""COMPUTED_VALUE"""),60.19)</f>
        <v>60.19</v>
      </c>
      <c r="D916" s="3">
        <f>IFERROR(__xludf.DUMMYFUNCTION("""COMPUTED_VALUE"""),43332.66666666667)</f>
        <v>43332.66667</v>
      </c>
      <c r="E916" s="2">
        <f>IFERROR(__xludf.DUMMYFUNCTION("""COMPUTED_VALUE"""),61.96)</f>
        <v>61.96</v>
      </c>
      <c r="G916" s="3">
        <f>IFERROR(__xludf.DUMMYFUNCTION("""COMPUTED_VALUE"""),43241.99861111111)</f>
        <v>43241.99861</v>
      </c>
      <c r="H916" s="2">
        <f>IFERROR(__xludf.DUMMYFUNCTION("""COMPUTED_VALUE"""),8393.44)</f>
        <v>8393.44</v>
      </c>
    </row>
    <row r="917">
      <c r="A917" s="3">
        <f>IFERROR(__xludf.DUMMYFUNCTION("""COMPUTED_VALUE"""),43333.66666666667)</f>
        <v>43333.66667</v>
      </c>
      <c r="B917" s="2">
        <f>IFERROR(__xludf.DUMMYFUNCTION("""COMPUTED_VALUE"""),60.44)</f>
        <v>60.44</v>
      </c>
      <c r="D917" s="3">
        <f>IFERROR(__xludf.DUMMYFUNCTION("""COMPUTED_VALUE"""),43333.66666666667)</f>
        <v>43333.66667</v>
      </c>
      <c r="E917" s="2">
        <f>IFERROR(__xludf.DUMMYFUNCTION("""COMPUTED_VALUE"""),63.33)</f>
        <v>63.33</v>
      </c>
      <c r="G917" s="3">
        <f>IFERROR(__xludf.DUMMYFUNCTION("""COMPUTED_VALUE"""),43242.99861111111)</f>
        <v>43242.99861</v>
      </c>
      <c r="H917" s="2">
        <f>IFERROR(__xludf.DUMMYFUNCTION("""COMPUTED_VALUE"""),7987.7)</f>
        <v>7987.7</v>
      </c>
    </row>
    <row r="918">
      <c r="A918" s="3">
        <f>IFERROR(__xludf.DUMMYFUNCTION("""COMPUTED_VALUE"""),43334.66666666667)</f>
        <v>43334.66667</v>
      </c>
      <c r="B918" s="2">
        <f>IFERROR(__xludf.DUMMYFUNCTION("""COMPUTED_VALUE"""),64.17)</f>
        <v>64.17</v>
      </c>
      <c r="D918" s="3">
        <f>IFERROR(__xludf.DUMMYFUNCTION("""COMPUTED_VALUE"""),43334.66666666667)</f>
        <v>43334.66667</v>
      </c>
      <c r="E918" s="2">
        <f>IFERROR(__xludf.DUMMYFUNCTION("""COMPUTED_VALUE"""),65.71)</f>
        <v>65.71</v>
      </c>
      <c r="G918" s="3">
        <f>IFERROR(__xludf.DUMMYFUNCTION("""COMPUTED_VALUE"""),43243.99861111111)</f>
        <v>43243.99861</v>
      </c>
      <c r="H918" s="2">
        <f>IFERROR(__xludf.DUMMYFUNCTION("""COMPUTED_VALUE"""),7505.0)</f>
        <v>7505</v>
      </c>
    </row>
    <row r="919">
      <c r="A919" s="3">
        <f>IFERROR(__xludf.DUMMYFUNCTION("""COMPUTED_VALUE"""),43335.66666666667)</f>
        <v>43335.66667</v>
      </c>
      <c r="B919" s="2">
        <f>IFERROR(__xludf.DUMMYFUNCTION("""COMPUTED_VALUE"""),62.97)</f>
        <v>62.97</v>
      </c>
      <c r="D919" s="3">
        <f>IFERROR(__xludf.DUMMYFUNCTION("""COMPUTED_VALUE"""),43335.66666666667)</f>
        <v>43335.66667</v>
      </c>
      <c r="E919" s="2">
        <f>IFERROR(__xludf.DUMMYFUNCTION("""COMPUTED_VALUE"""),66.71)</f>
        <v>66.71</v>
      </c>
      <c r="G919" s="3">
        <f>IFERROR(__xludf.DUMMYFUNCTION("""COMPUTED_VALUE"""),43244.99861111111)</f>
        <v>43244.99861</v>
      </c>
      <c r="H919" s="2">
        <f>IFERROR(__xludf.DUMMYFUNCTION("""COMPUTED_VALUE"""),7584.15)</f>
        <v>7584.15</v>
      </c>
    </row>
    <row r="920">
      <c r="A920" s="3">
        <f>IFERROR(__xludf.DUMMYFUNCTION("""COMPUTED_VALUE"""),43336.66666666667)</f>
        <v>43336.66667</v>
      </c>
      <c r="B920" s="2">
        <f>IFERROR(__xludf.DUMMYFUNCTION("""COMPUTED_VALUE"""),62.89)</f>
        <v>62.89</v>
      </c>
      <c r="D920" s="3">
        <f>IFERROR(__xludf.DUMMYFUNCTION("""COMPUTED_VALUE"""),43336.66666666667)</f>
        <v>43336.66667</v>
      </c>
      <c r="E920" s="2">
        <f>IFERROR(__xludf.DUMMYFUNCTION("""COMPUTED_VALUE"""),68.06)</f>
        <v>68.06</v>
      </c>
      <c r="G920" s="3">
        <f>IFERROR(__xludf.DUMMYFUNCTION("""COMPUTED_VALUE"""),43245.99861111111)</f>
        <v>43245.99861</v>
      </c>
      <c r="H920" s="2">
        <f>IFERROR(__xludf.DUMMYFUNCTION("""COMPUTED_VALUE"""),7459.11)</f>
        <v>7459.11</v>
      </c>
    </row>
    <row r="921">
      <c r="A921" s="3">
        <f>IFERROR(__xludf.DUMMYFUNCTION("""COMPUTED_VALUE"""),43339.66666666667)</f>
        <v>43339.66667</v>
      </c>
      <c r="B921" s="2">
        <f>IFERROR(__xludf.DUMMYFUNCTION("""COMPUTED_VALUE"""),64.52)</f>
        <v>64.52</v>
      </c>
      <c r="D921" s="3">
        <f>IFERROR(__xludf.DUMMYFUNCTION("""COMPUTED_VALUE"""),43339.66666666667)</f>
        <v>43339.66667</v>
      </c>
      <c r="E921" s="2">
        <f>IFERROR(__xludf.DUMMYFUNCTION("""COMPUTED_VALUE"""),68.97)</f>
        <v>68.97</v>
      </c>
      <c r="G921" s="3">
        <f>IFERROR(__xludf.DUMMYFUNCTION("""COMPUTED_VALUE"""),43246.99861111111)</f>
        <v>43246.99861</v>
      </c>
      <c r="H921" s="2">
        <f>IFERROR(__xludf.DUMMYFUNCTION("""COMPUTED_VALUE"""),7337.95)</f>
        <v>7337.95</v>
      </c>
    </row>
    <row r="922">
      <c r="A922" s="3">
        <f>IFERROR(__xludf.DUMMYFUNCTION("""COMPUTED_VALUE"""),43340.66666666667)</f>
        <v>43340.66667</v>
      </c>
      <c r="B922" s="2">
        <f>IFERROR(__xludf.DUMMYFUNCTION("""COMPUTED_VALUE"""),64.11)</f>
        <v>64.11</v>
      </c>
      <c r="D922" s="3">
        <f>IFERROR(__xludf.DUMMYFUNCTION("""COMPUTED_VALUE"""),43340.66666666667)</f>
        <v>43340.66667</v>
      </c>
      <c r="E922" s="2">
        <f>IFERROR(__xludf.DUMMYFUNCTION("""COMPUTED_VALUE"""),68.6)</f>
        <v>68.6</v>
      </c>
      <c r="G922" s="3">
        <f>IFERROR(__xludf.DUMMYFUNCTION("""COMPUTED_VALUE"""),43247.99861111111)</f>
        <v>43247.99861</v>
      </c>
      <c r="H922" s="2">
        <f>IFERROR(__xludf.DUMMYFUNCTION("""COMPUTED_VALUE"""),7346.64)</f>
        <v>7346.64</v>
      </c>
    </row>
    <row r="923">
      <c r="A923" s="3">
        <f>IFERROR(__xludf.DUMMYFUNCTION("""COMPUTED_VALUE"""),43341.66666666667)</f>
        <v>43341.66667</v>
      </c>
      <c r="B923" s="2">
        <f>IFERROR(__xludf.DUMMYFUNCTION("""COMPUTED_VALUE"""),64.45)</f>
        <v>64.45</v>
      </c>
      <c r="D923" s="3">
        <f>IFERROR(__xludf.DUMMYFUNCTION("""COMPUTED_VALUE"""),43341.66666666667)</f>
        <v>43341.66667</v>
      </c>
      <c r="E923" s="2">
        <f>IFERROR(__xludf.DUMMYFUNCTION("""COMPUTED_VALUE"""),69.62)</f>
        <v>69.62</v>
      </c>
      <c r="G923" s="3">
        <f>IFERROR(__xludf.DUMMYFUNCTION("""COMPUTED_VALUE"""),43248.99861111111)</f>
        <v>43248.99861</v>
      </c>
      <c r="H923" s="2">
        <f>IFERROR(__xludf.DUMMYFUNCTION("""COMPUTED_VALUE"""),7107.94)</f>
        <v>7107.94</v>
      </c>
    </row>
    <row r="924">
      <c r="A924" s="3">
        <f>IFERROR(__xludf.DUMMYFUNCTION("""COMPUTED_VALUE"""),43342.66666666667)</f>
        <v>43342.66667</v>
      </c>
      <c r="B924" s="2">
        <f>IFERROR(__xludf.DUMMYFUNCTION("""COMPUTED_VALUE"""),64.32)</f>
        <v>64.32</v>
      </c>
      <c r="D924" s="3">
        <f>IFERROR(__xludf.DUMMYFUNCTION("""COMPUTED_VALUE"""),43342.66666666667)</f>
        <v>43342.66667</v>
      </c>
      <c r="E924" s="2">
        <f>IFERROR(__xludf.DUMMYFUNCTION("""COMPUTED_VALUE"""),69.45)</f>
        <v>69.45</v>
      </c>
      <c r="G924" s="3">
        <f>IFERROR(__xludf.DUMMYFUNCTION("""COMPUTED_VALUE"""),43249.99861111111)</f>
        <v>43249.99861</v>
      </c>
      <c r="H924" s="2">
        <f>IFERROR(__xludf.DUMMYFUNCTION("""COMPUTED_VALUE"""),7460.0)</f>
        <v>7460</v>
      </c>
    </row>
    <row r="925">
      <c r="A925" s="3">
        <f>IFERROR(__xludf.DUMMYFUNCTION("""COMPUTED_VALUE"""),43343.66666666667)</f>
        <v>43343.66667</v>
      </c>
      <c r="B925" s="2">
        <f>IFERROR(__xludf.DUMMYFUNCTION("""COMPUTED_VALUE"""),64.89)</f>
        <v>64.89</v>
      </c>
      <c r="D925" s="3">
        <f>IFERROR(__xludf.DUMMYFUNCTION("""COMPUTED_VALUE"""),43343.66666666667)</f>
        <v>43343.66667</v>
      </c>
      <c r="E925" s="2">
        <f>IFERROR(__xludf.DUMMYFUNCTION("""COMPUTED_VALUE"""),70.17)</f>
        <v>70.17</v>
      </c>
      <c r="G925" s="3">
        <f>IFERROR(__xludf.DUMMYFUNCTION("""COMPUTED_VALUE"""),43250.99861111111)</f>
        <v>43250.99861</v>
      </c>
      <c r="H925" s="2">
        <f>IFERROR(__xludf.DUMMYFUNCTION("""COMPUTED_VALUE"""),7380.01)</f>
        <v>7380.01</v>
      </c>
    </row>
    <row r="926">
      <c r="A926" s="3">
        <f>IFERROR(__xludf.DUMMYFUNCTION("""COMPUTED_VALUE"""),43347.66666666667)</f>
        <v>43347.66667</v>
      </c>
      <c r="B926" s="2">
        <f>IFERROR(__xludf.DUMMYFUNCTION("""COMPUTED_VALUE"""),65.48)</f>
        <v>65.48</v>
      </c>
      <c r="D926" s="3">
        <f>IFERROR(__xludf.DUMMYFUNCTION("""COMPUTED_VALUE"""),43347.66666666667)</f>
        <v>43347.66667</v>
      </c>
      <c r="E926" s="2">
        <f>IFERROR(__xludf.DUMMYFUNCTION("""COMPUTED_VALUE"""),70.93)</f>
        <v>70.93</v>
      </c>
      <c r="G926" s="3">
        <f>IFERROR(__xludf.DUMMYFUNCTION("""COMPUTED_VALUE"""),43251.99861111111)</f>
        <v>43251.99861</v>
      </c>
      <c r="H926" s="2">
        <f>IFERROR(__xludf.DUMMYFUNCTION("""COMPUTED_VALUE"""),7485.0)</f>
        <v>7485</v>
      </c>
    </row>
    <row r="927">
      <c r="A927" s="3">
        <f>IFERROR(__xludf.DUMMYFUNCTION("""COMPUTED_VALUE"""),43348.66666666667)</f>
        <v>43348.66667</v>
      </c>
      <c r="B927" s="2">
        <f>IFERROR(__xludf.DUMMYFUNCTION("""COMPUTED_VALUE"""),65.55)</f>
        <v>65.55</v>
      </c>
      <c r="D927" s="3">
        <f>IFERROR(__xludf.DUMMYFUNCTION("""COMPUTED_VALUE"""),43348.66666666667)</f>
        <v>43348.66667</v>
      </c>
      <c r="E927" s="2">
        <f>IFERROR(__xludf.DUMMYFUNCTION("""COMPUTED_VALUE"""),69.61)</f>
        <v>69.61</v>
      </c>
      <c r="G927" s="3">
        <f>IFERROR(__xludf.DUMMYFUNCTION("""COMPUTED_VALUE"""),43252.99861111111)</f>
        <v>43252.99861</v>
      </c>
      <c r="H927" s="2">
        <f>IFERROR(__xludf.DUMMYFUNCTION("""COMPUTED_VALUE"""),7514.32)</f>
        <v>7514.32</v>
      </c>
    </row>
    <row r="928">
      <c r="A928" s="3">
        <f>IFERROR(__xludf.DUMMYFUNCTION("""COMPUTED_VALUE"""),43349.66666666667)</f>
        <v>43349.66667</v>
      </c>
      <c r="B928" s="2">
        <f>IFERROR(__xludf.DUMMYFUNCTION("""COMPUTED_VALUE"""),65.74)</f>
        <v>65.74</v>
      </c>
      <c r="D928" s="3">
        <f>IFERROR(__xludf.DUMMYFUNCTION("""COMPUTED_VALUE"""),43349.66666666667)</f>
        <v>43349.66667</v>
      </c>
      <c r="E928" s="2">
        <f>IFERROR(__xludf.DUMMYFUNCTION("""COMPUTED_VALUE"""),68.18)</f>
        <v>68.18</v>
      </c>
      <c r="G928" s="3">
        <f>IFERROR(__xludf.DUMMYFUNCTION("""COMPUTED_VALUE"""),43253.99861111111)</f>
        <v>43253.99861</v>
      </c>
      <c r="H928" s="2">
        <f>IFERROR(__xludf.DUMMYFUNCTION("""COMPUTED_VALUE"""),7636.42)</f>
        <v>7636.42</v>
      </c>
    </row>
    <row r="929">
      <c r="A929" s="3">
        <f>IFERROR(__xludf.DUMMYFUNCTION("""COMPUTED_VALUE"""),43350.66666666667)</f>
        <v>43350.66667</v>
      </c>
      <c r="B929" s="2">
        <f>IFERROR(__xludf.DUMMYFUNCTION("""COMPUTED_VALUE"""),65.65)</f>
        <v>65.65</v>
      </c>
      <c r="D929" s="3">
        <f>IFERROR(__xludf.DUMMYFUNCTION("""COMPUTED_VALUE"""),43350.66666666667)</f>
        <v>43350.66667</v>
      </c>
      <c r="E929" s="2">
        <f>IFERROR(__xludf.DUMMYFUNCTION("""COMPUTED_VALUE"""),67.97)</f>
        <v>67.97</v>
      </c>
      <c r="G929" s="3">
        <f>IFERROR(__xludf.DUMMYFUNCTION("""COMPUTED_VALUE"""),43254.99861111111)</f>
        <v>43254.99861</v>
      </c>
      <c r="H929" s="2">
        <f>IFERROR(__xludf.DUMMYFUNCTION("""COMPUTED_VALUE"""),7706.37)</f>
        <v>7706.37</v>
      </c>
    </row>
    <row r="930">
      <c r="A930" s="3">
        <f>IFERROR(__xludf.DUMMYFUNCTION("""COMPUTED_VALUE"""),43353.66666666667)</f>
        <v>43353.66667</v>
      </c>
      <c r="B930" s="2">
        <f>IFERROR(__xludf.DUMMYFUNCTION("""COMPUTED_VALUE"""),66.09)</f>
        <v>66.09</v>
      </c>
      <c r="D930" s="3">
        <f>IFERROR(__xludf.DUMMYFUNCTION("""COMPUTED_VALUE"""),43353.66666666667)</f>
        <v>43353.66667</v>
      </c>
      <c r="E930" s="2">
        <f>IFERROR(__xludf.DUMMYFUNCTION("""COMPUTED_VALUE"""),68.68)</f>
        <v>68.68</v>
      </c>
      <c r="G930" s="3">
        <f>IFERROR(__xludf.DUMMYFUNCTION("""COMPUTED_VALUE"""),43255.99861111111)</f>
        <v>43255.99861</v>
      </c>
      <c r="H930" s="2">
        <f>IFERROR(__xludf.DUMMYFUNCTION("""COMPUTED_VALUE"""),7487.37)</f>
        <v>7487.37</v>
      </c>
    </row>
    <row r="931">
      <c r="A931" s="3">
        <f>IFERROR(__xludf.DUMMYFUNCTION("""COMPUTED_VALUE"""),43354.66666666667)</f>
        <v>43354.66667</v>
      </c>
      <c r="B931" s="2">
        <f>IFERROR(__xludf.DUMMYFUNCTION("""COMPUTED_VALUE"""),66.5)</f>
        <v>66.5</v>
      </c>
      <c r="D931" s="3">
        <f>IFERROR(__xludf.DUMMYFUNCTION("""COMPUTED_VALUE"""),43354.66666666667)</f>
        <v>43354.66667</v>
      </c>
      <c r="E931" s="2">
        <f>IFERROR(__xludf.DUMMYFUNCTION("""COMPUTED_VALUE"""),68.2)</f>
        <v>68.2</v>
      </c>
      <c r="G931" s="3">
        <f>IFERROR(__xludf.DUMMYFUNCTION("""COMPUTED_VALUE"""),43256.99861111111)</f>
        <v>43256.99861</v>
      </c>
      <c r="H931" s="2">
        <f>IFERROR(__xludf.DUMMYFUNCTION("""COMPUTED_VALUE"""),7612.51)</f>
        <v>7612.51</v>
      </c>
    </row>
    <row r="932">
      <c r="A932" s="3">
        <f>IFERROR(__xludf.DUMMYFUNCTION("""COMPUTED_VALUE"""),43355.66666666667)</f>
        <v>43355.66667</v>
      </c>
      <c r="B932" s="2">
        <f>IFERROR(__xludf.DUMMYFUNCTION("""COMPUTED_VALUE"""),66.13)</f>
        <v>66.13</v>
      </c>
      <c r="D932" s="3">
        <f>IFERROR(__xludf.DUMMYFUNCTION("""COMPUTED_VALUE"""),43355.66666666667)</f>
        <v>43355.66667</v>
      </c>
      <c r="E932" s="2">
        <f>IFERROR(__xludf.DUMMYFUNCTION("""COMPUTED_VALUE"""),67.05)</f>
        <v>67.05</v>
      </c>
      <c r="G932" s="3">
        <f>IFERROR(__xludf.DUMMYFUNCTION("""COMPUTED_VALUE"""),43257.99861111111)</f>
        <v>43257.99861</v>
      </c>
      <c r="H932" s="2">
        <f>IFERROR(__xludf.DUMMYFUNCTION("""COMPUTED_VALUE"""),7655.0)</f>
        <v>7655</v>
      </c>
    </row>
    <row r="933">
      <c r="A933" s="3">
        <f>IFERROR(__xludf.DUMMYFUNCTION("""COMPUTED_VALUE"""),43356.66666666667)</f>
        <v>43356.66667</v>
      </c>
      <c r="B933" s="2">
        <f>IFERROR(__xludf.DUMMYFUNCTION("""COMPUTED_VALUE"""),66.4)</f>
        <v>66.4</v>
      </c>
      <c r="D933" s="3">
        <f>IFERROR(__xludf.DUMMYFUNCTION("""COMPUTED_VALUE"""),43356.66666666667)</f>
        <v>43356.66667</v>
      </c>
      <c r="E933" s="2">
        <f>IFERROR(__xludf.DUMMYFUNCTION("""COMPUTED_VALUE"""),67.83)</f>
        <v>67.83</v>
      </c>
      <c r="G933" s="3">
        <f>IFERROR(__xludf.DUMMYFUNCTION("""COMPUTED_VALUE"""),43258.99861111111)</f>
        <v>43258.99861</v>
      </c>
      <c r="H933" s="2">
        <f>IFERROR(__xludf.DUMMYFUNCTION("""COMPUTED_VALUE"""),7684.93)</f>
        <v>7684.93</v>
      </c>
    </row>
    <row r="934">
      <c r="A934" s="3">
        <f>IFERROR(__xludf.DUMMYFUNCTION("""COMPUTED_VALUE"""),43357.66666666667)</f>
        <v>43357.66667</v>
      </c>
      <c r="B934" s="2">
        <f>IFERROR(__xludf.DUMMYFUNCTION("""COMPUTED_VALUE"""),65.8)</f>
        <v>65.8</v>
      </c>
      <c r="D934" s="3">
        <f>IFERROR(__xludf.DUMMYFUNCTION("""COMPUTED_VALUE"""),43357.66666666667)</f>
        <v>43357.66667</v>
      </c>
      <c r="E934" s="2">
        <f>IFERROR(__xludf.DUMMYFUNCTION("""COMPUTED_VALUE"""),69.11)</f>
        <v>69.11</v>
      </c>
      <c r="G934" s="3">
        <f>IFERROR(__xludf.DUMMYFUNCTION("""COMPUTED_VALUE"""),43259.99861111111)</f>
        <v>43259.99861</v>
      </c>
      <c r="H934" s="2">
        <f>IFERROR(__xludf.DUMMYFUNCTION("""COMPUTED_VALUE"""),7618.8)</f>
        <v>7618.8</v>
      </c>
    </row>
    <row r="935">
      <c r="A935" s="3">
        <f>IFERROR(__xludf.DUMMYFUNCTION("""COMPUTED_VALUE"""),43360.66666666667)</f>
        <v>43360.66667</v>
      </c>
      <c r="B935" s="2">
        <f>IFERROR(__xludf.DUMMYFUNCTION("""COMPUTED_VALUE"""),64.14)</f>
        <v>64.14</v>
      </c>
      <c r="D935" s="3">
        <f>IFERROR(__xludf.DUMMYFUNCTION("""COMPUTED_VALUE"""),43360.66666666667)</f>
        <v>43360.66667</v>
      </c>
      <c r="E935" s="2">
        <f>IFERROR(__xludf.DUMMYFUNCTION("""COMPUTED_VALUE"""),68.48)</f>
        <v>68.48</v>
      </c>
      <c r="G935" s="3">
        <f>IFERROR(__xludf.DUMMYFUNCTION("""COMPUTED_VALUE"""),43260.99861111111)</f>
        <v>43260.99861</v>
      </c>
      <c r="H935" s="2">
        <f>IFERROR(__xludf.DUMMYFUNCTION("""COMPUTED_VALUE"""),7496.4)</f>
        <v>7496.4</v>
      </c>
    </row>
    <row r="936">
      <c r="A936" s="3">
        <f>IFERROR(__xludf.DUMMYFUNCTION("""COMPUTED_VALUE"""),43361.66666666667)</f>
        <v>43361.66667</v>
      </c>
      <c r="B936" s="2">
        <f>IFERROR(__xludf.DUMMYFUNCTION("""COMPUTED_VALUE"""),65.2)</f>
        <v>65.2</v>
      </c>
      <c r="D936" s="3">
        <f>IFERROR(__xludf.DUMMYFUNCTION("""COMPUTED_VALUE"""),43361.66666666667)</f>
        <v>43361.66667</v>
      </c>
      <c r="E936" s="2">
        <f>IFERROR(__xludf.DUMMYFUNCTION("""COMPUTED_VALUE"""),67.76)</f>
        <v>67.76</v>
      </c>
      <c r="G936" s="3">
        <f>IFERROR(__xludf.DUMMYFUNCTION("""COMPUTED_VALUE"""),43261.99861111111)</f>
        <v>43261.99861</v>
      </c>
      <c r="H936" s="2">
        <f>IFERROR(__xludf.DUMMYFUNCTION("""COMPUTED_VALUE"""),6770.31)</f>
        <v>6770.31</v>
      </c>
    </row>
    <row r="937">
      <c r="A937" s="3">
        <f>IFERROR(__xludf.DUMMYFUNCTION("""COMPUTED_VALUE"""),43362.66666666667)</f>
        <v>43362.66667</v>
      </c>
      <c r="B937" s="2">
        <f>IFERROR(__xludf.DUMMYFUNCTION("""COMPUTED_VALUE"""),64.93)</f>
        <v>64.93</v>
      </c>
      <c r="D937" s="3">
        <f>IFERROR(__xludf.DUMMYFUNCTION("""COMPUTED_VALUE"""),43362.66666666667)</f>
        <v>43362.66667</v>
      </c>
      <c r="E937" s="2">
        <f>IFERROR(__xludf.DUMMYFUNCTION("""COMPUTED_VALUE"""),68.0)</f>
        <v>68</v>
      </c>
      <c r="G937" s="3">
        <f>IFERROR(__xludf.DUMMYFUNCTION("""COMPUTED_VALUE"""),43262.99861111111)</f>
        <v>43262.99861</v>
      </c>
      <c r="H937" s="2">
        <f>IFERROR(__xludf.DUMMYFUNCTION("""COMPUTED_VALUE"""),6881.0)</f>
        <v>6881</v>
      </c>
    </row>
    <row r="938">
      <c r="A938" s="3">
        <f>IFERROR(__xludf.DUMMYFUNCTION("""COMPUTED_VALUE"""),43363.66666666667)</f>
        <v>43363.66667</v>
      </c>
      <c r="B938" s="2">
        <f>IFERROR(__xludf.DUMMYFUNCTION("""COMPUTED_VALUE"""),64.86)</f>
        <v>64.86</v>
      </c>
      <c r="D938" s="3">
        <f>IFERROR(__xludf.DUMMYFUNCTION("""COMPUTED_VALUE"""),43363.66666666667)</f>
        <v>43363.66667</v>
      </c>
      <c r="E938" s="2">
        <f>IFERROR(__xludf.DUMMYFUNCTION("""COMPUTED_VALUE"""),66.57)</f>
        <v>66.57</v>
      </c>
      <c r="G938" s="3">
        <f>IFERROR(__xludf.DUMMYFUNCTION("""COMPUTED_VALUE"""),43263.99861111111)</f>
        <v>43263.99861</v>
      </c>
      <c r="H938" s="2">
        <f>IFERROR(__xludf.DUMMYFUNCTION("""COMPUTED_VALUE"""),6545.0)</f>
        <v>6545</v>
      </c>
    </row>
    <row r="939">
      <c r="A939" s="3">
        <f>IFERROR(__xludf.DUMMYFUNCTION("""COMPUTED_VALUE"""),43364.66666666667)</f>
        <v>43364.66667</v>
      </c>
      <c r="B939" s="2">
        <f>IFERROR(__xludf.DUMMYFUNCTION("""COMPUTED_VALUE"""),64.63)</f>
        <v>64.63</v>
      </c>
      <c r="D939" s="3">
        <f>IFERROR(__xludf.DUMMYFUNCTION("""COMPUTED_VALUE"""),43364.66666666667)</f>
        <v>43364.66667</v>
      </c>
      <c r="E939" s="2">
        <f>IFERROR(__xludf.DUMMYFUNCTION("""COMPUTED_VALUE"""),65.86)</f>
        <v>65.86</v>
      </c>
      <c r="G939" s="3">
        <f>IFERROR(__xludf.DUMMYFUNCTION("""COMPUTED_VALUE"""),43264.99861111111)</f>
        <v>43264.99861</v>
      </c>
      <c r="H939" s="2">
        <f>IFERROR(__xludf.DUMMYFUNCTION("""COMPUTED_VALUE"""),6302.31)</f>
        <v>6302.31</v>
      </c>
    </row>
    <row r="940">
      <c r="A940" s="3">
        <f>IFERROR(__xludf.DUMMYFUNCTION("""COMPUTED_VALUE"""),43367.66666666667)</f>
        <v>43367.66667</v>
      </c>
      <c r="B940" s="2">
        <f>IFERROR(__xludf.DUMMYFUNCTION("""COMPUTED_VALUE"""),64.91)</f>
        <v>64.91</v>
      </c>
      <c r="D940" s="3">
        <f>IFERROR(__xludf.DUMMYFUNCTION("""COMPUTED_VALUE"""),43367.66666666667)</f>
        <v>43367.66667</v>
      </c>
      <c r="E940" s="2">
        <f>IFERROR(__xludf.DUMMYFUNCTION("""COMPUTED_VALUE"""),66.43)</f>
        <v>66.43</v>
      </c>
      <c r="G940" s="3">
        <f>IFERROR(__xludf.DUMMYFUNCTION("""COMPUTED_VALUE"""),43265.99861111111)</f>
        <v>43265.99861</v>
      </c>
      <c r="H940" s="2">
        <f>IFERROR(__xludf.DUMMYFUNCTION("""COMPUTED_VALUE"""),6638.49)</f>
        <v>6638.49</v>
      </c>
    </row>
    <row r="941">
      <c r="A941" s="3">
        <f>IFERROR(__xludf.DUMMYFUNCTION("""COMPUTED_VALUE"""),43368.66666666667)</f>
        <v>43368.66667</v>
      </c>
      <c r="B941" s="2">
        <f>IFERROR(__xludf.DUMMYFUNCTION("""COMPUTED_VALUE"""),65.51)</f>
        <v>65.51</v>
      </c>
      <c r="D941" s="3">
        <f>IFERROR(__xludf.DUMMYFUNCTION("""COMPUTED_VALUE"""),43368.66666666667)</f>
        <v>43368.66667</v>
      </c>
      <c r="E941" s="2">
        <f>IFERROR(__xludf.DUMMYFUNCTION("""COMPUTED_VALUE"""),67.1)</f>
        <v>67.1</v>
      </c>
      <c r="G941" s="3">
        <f>IFERROR(__xludf.DUMMYFUNCTION("""COMPUTED_VALUE"""),43266.99861111111)</f>
        <v>43266.99861</v>
      </c>
      <c r="H941" s="2">
        <f>IFERROR(__xludf.DUMMYFUNCTION("""COMPUTED_VALUE"""),6391.22)</f>
        <v>6391.22</v>
      </c>
    </row>
    <row r="942">
      <c r="A942" s="3">
        <f>IFERROR(__xludf.DUMMYFUNCTION("""COMPUTED_VALUE"""),43369.66666666667)</f>
        <v>43369.66667</v>
      </c>
      <c r="B942" s="2">
        <f>IFERROR(__xludf.DUMMYFUNCTION("""COMPUTED_VALUE"""),64.95)</f>
        <v>64.95</v>
      </c>
      <c r="D942" s="3">
        <f>IFERROR(__xludf.DUMMYFUNCTION("""COMPUTED_VALUE"""),43369.66666666667)</f>
        <v>43369.66667</v>
      </c>
      <c r="E942" s="2">
        <f>IFERROR(__xludf.DUMMYFUNCTION("""COMPUTED_VALUE"""),66.73)</f>
        <v>66.73</v>
      </c>
      <c r="G942" s="3">
        <f>IFERROR(__xludf.DUMMYFUNCTION("""COMPUTED_VALUE"""),43267.99861111111)</f>
        <v>43267.99861</v>
      </c>
      <c r="H942" s="2">
        <f>IFERROR(__xludf.DUMMYFUNCTION("""COMPUTED_VALUE"""),6484.29)</f>
        <v>6484.29</v>
      </c>
    </row>
    <row r="943">
      <c r="A943" s="3">
        <f>IFERROR(__xludf.DUMMYFUNCTION("""COMPUTED_VALUE"""),43370.66666666667)</f>
        <v>43370.66667</v>
      </c>
      <c r="B943" s="2">
        <f>IFERROR(__xludf.DUMMYFUNCTION("""COMPUTED_VALUE"""),65.65)</f>
        <v>65.65</v>
      </c>
      <c r="D943" s="3">
        <f>IFERROR(__xludf.DUMMYFUNCTION("""COMPUTED_VALUE"""),43370.66666666667)</f>
        <v>43370.66667</v>
      </c>
      <c r="E943" s="2">
        <f>IFERROR(__xludf.DUMMYFUNCTION("""COMPUTED_VALUE"""),66.85)</f>
        <v>66.85</v>
      </c>
      <c r="G943" s="3">
        <f>IFERROR(__xludf.DUMMYFUNCTION("""COMPUTED_VALUE"""),43268.99861111111)</f>
        <v>43268.99861</v>
      </c>
      <c r="H943" s="2">
        <f>IFERROR(__xludf.DUMMYFUNCTION("""COMPUTED_VALUE"""),6447.16)</f>
        <v>6447.16</v>
      </c>
    </row>
    <row r="944">
      <c r="A944" s="3">
        <f>IFERROR(__xludf.DUMMYFUNCTION("""COMPUTED_VALUE"""),43371.66666666667)</f>
        <v>43371.66667</v>
      </c>
      <c r="B944" s="2">
        <f>IFERROR(__xludf.DUMMYFUNCTION("""COMPUTED_VALUE"""),66.28)</f>
        <v>66.28</v>
      </c>
      <c r="D944" s="3">
        <f>IFERROR(__xludf.DUMMYFUNCTION("""COMPUTED_VALUE"""),43371.66666666667)</f>
        <v>43371.66667</v>
      </c>
      <c r="E944" s="2">
        <f>IFERROR(__xludf.DUMMYFUNCTION("""COMPUTED_VALUE"""),70.26)</f>
        <v>70.26</v>
      </c>
      <c r="G944" s="3">
        <f>IFERROR(__xludf.DUMMYFUNCTION("""COMPUTED_VALUE"""),43269.99861111111)</f>
        <v>43269.99861</v>
      </c>
      <c r="H944" s="2">
        <f>IFERROR(__xludf.DUMMYFUNCTION("""COMPUTED_VALUE"""),6709.02)</f>
        <v>6709.02</v>
      </c>
    </row>
    <row r="945">
      <c r="A945" s="3">
        <f>IFERROR(__xludf.DUMMYFUNCTION("""COMPUTED_VALUE"""),43374.66666666667)</f>
        <v>43374.66667</v>
      </c>
      <c r="B945" s="2">
        <f>IFERROR(__xludf.DUMMYFUNCTION("""COMPUTED_VALUE"""),66.11)</f>
        <v>66.11</v>
      </c>
      <c r="D945" s="3">
        <f>IFERROR(__xludf.DUMMYFUNCTION("""COMPUTED_VALUE"""),43374.66666666667)</f>
        <v>43374.66667</v>
      </c>
      <c r="E945" s="2">
        <f>IFERROR(__xludf.DUMMYFUNCTION("""COMPUTED_VALUE"""),72.34)</f>
        <v>72.34</v>
      </c>
      <c r="G945" s="3">
        <f>IFERROR(__xludf.DUMMYFUNCTION("""COMPUTED_VALUE"""),43270.99861111111)</f>
        <v>43270.99861</v>
      </c>
      <c r="H945" s="2">
        <f>IFERROR(__xludf.DUMMYFUNCTION("""COMPUTED_VALUE"""),6736.41)</f>
        <v>6736.41</v>
      </c>
    </row>
    <row r="946">
      <c r="A946" s="3">
        <f>IFERROR(__xludf.DUMMYFUNCTION("""COMPUTED_VALUE"""),43375.66666666667)</f>
        <v>43375.66667</v>
      </c>
      <c r="B946" s="2">
        <f>IFERROR(__xludf.DUMMYFUNCTION("""COMPUTED_VALUE"""),65.79)</f>
        <v>65.79</v>
      </c>
      <c r="D946" s="3">
        <f>IFERROR(__xludf.DUMMYFUNCTION("""COMPUTED_VALUE"""),43375.66666666667)</f>
        <v>43375.66667</v>
      </c>
      <c r="E946" s="2">
        <f>IFERROR(__xludf.DUMMYFUNCTION("""COMPUTED_VALUE"""),71.62)</f>
        <v>71.62</v>
      </c>
      <c r="G946" s="3">
        <f>IFERROR(__xludf.DUMMYFUNCTION("""COMPUTED_VALUE"""),43271.99861111111)</f>
        <v>43271.99861</v>
      </c>
      <c r="H946" s="2">
        <f>IFERROR(__xludf.DUMMYFUNCTION("""COMPUTED_VALUE"""),6759.18)</f>
        <v>6759.18</v>
      </c>
    </row>
    <row r="947">
      <c r="A947" s="3">
        <f>IFERROR(__xludf.DUMMYFUNCTION("""COMPUTED_VALUE"""),43376.66666666667)</f>
        <v>43376.66667</v>
      </c>
      <c r="B947" s="2">
        <f>IFERROR(__xludf.DUMMYFUNCTION("""COMPUTED_VALUE"""),66.11)</f>
        <v>66.11</v>
      </c>
      <c r="D947" s="3">
        <f>IFERROR(__xludf.DUMMYFUNCTION("""COMPUTED_VALUE"""),43376.66666666667)</f>
        <v>43376.66667</v>
      </c>
      <c r="E947" s="2">
        <f>IFERROR(__xludf.DUMMYFUNCTION("""COMPUTED_VALUE"""),71.68)</f>
        <v>71.68</v>
      </c>
      <c r="G947" s="3">
        <f>IFERROR(__xludf.DUMMYFUNCTION("""COMPUTED_VALUE"""),43272.99861111111)</f>
        <v>43272.99861</v>
      </c>
      <c r="H947" s="2">
        <f>IFERROR(__xludf.DUMMYFUNCTION("""COMPUTED_VALUE"""),6719.01)</f>
        <v>6719.01</v>
      </c>
    </row>
    <row r="948">
      <c r="A948" s="3">
        <f>IFERROR(__xludf.DUMMYFUNCTION("""COMPUTED_VALUE"""),43377.66666666667)</f>
        <v>43377.66667</v>
      </c>
      <c r="B948" s="2">
        <f>IFERROR(__xludf.DUMMYFUNCTION("""COMPUTED_VALUE"""),65.49)</f>
        <v>65.49</v>
      </c>
      <c r="D948" s="3">
        <f>IFERROR(__xludf.DUMMYFUNCTION("""COMPUTED_VALUE"""),43377.66666666667)</f>
        <v>43377.66667</v>
      </c>
      <c r="E948" s="2">
        <f>IFERROR(__xludf.DUMMYFUNCTION("""COMPUTED_VALUE"""),69.82)</f>
        <v>69.82</v>
      </c>
      <c r="G948" s="3">
        <f>IFERROR(__xludf.DUMMYFUNCTION("""COMPUTED_VALUE"""),43273.99861111111)</f>
        <v>43273.99861</v>
      </c>
      <c r="H948" s="2">
        <f>IFERROR(__xludf.DUMMYFUNCTION("""COMPUTED_VALUE"""),6059.82)</f>
        <v>6059.82</v>
      </c>
    </row>
    <row r="949">
      <c r="A949" s="3">
        <f>IFERROR(__xludf.DUMMYFUNCTION("""COMPUTED_VALUE"""),43378.66666666667)</f>
        <v>43378.66667</v>
      </c>
      <c r="B949" s="2">
        <f>IFERROR(__xludf.DUMMYFUNCTION("""COMPUTED_VALUE"""),65.2)</f>
        <v>65.2</v>
      </c>
      <c r="D949" s="3">
        <f>IFERROR(__xludf.DUMMYFUNCTION("""COMPUTED_VALUE"""),43378.66666666667)</f>
        <v>43378.66667</v>
      </c>
      <c r="E949" s="2">
        <f>IFERROR(__xludf.DUMMYFUNCTION("""COMPUTED_VALUE"""),67.47)</f>
        <v>67.47</v>
      </c>
      <c r="G949" s="3">
        <f>IFERROR(__xludf.DUMMYFUNCTION("""COMPUTED_VALUE"""),43274.99861111111)</f>
        <v>43274.99861</v>
      </c>
      <c r="H949" s="2">
        <f>IFERROR(__xludf.DUMMYFUNCTION("""COMPUTED_VALUE"""),6178.29)</f>
        <v>6178.29</v>
      </c>
    </row>
    <row r="950">
      <c r="A950" s="3">
        <f>IFERROR(__xludf.DUMMYFUNCTION("""COMPUTED_VALUE"""),43381.66666666667)</f>
        <v>43381.66667</v>
      </c>
      <c r="B950" s="2">
        <f>IFERROR(__xludf.DUMMYFUNCTION("""COMPUTED_VALUE"""),63.97)</f>
        <v>63.97</v>
      </c>
      <c r="D950" s="3">
        <f>IFERROR(__xludf.DUMMYFUNCTION("""COMPUTED_VALUE"""),43381.66666666667)</f>
        <v>43381.66667</v>
      </c>
      <c r="E950" s="2">
        <f>IFERROR(__xludf.DUMMYFUNCTION("""COMPUTED_VALUE"""),66.44)</f>
        <v>66.44</v>
      </c>
      <c r="G950" s="3">
        <f>IFERROR(__xludf.DUMMYFUNCTION("""COMPUTED_VALUE"""),43275.99861111111)</f>
        <v>43275.99861</v>
      </c>
      <c r="H950" s="2">
        <f>IFERROR(__xludf.DUMMYFUNCTION("""COMPUTED_VALUE"""),6149.99)</f>
        <v>6149.99</v>
      </c>
    </row>
    <row r="951">
      <c r="A951" s="3">
        <f>IFERROR(__xludf.DUMMYFUNCTION("""COMPUTED_VALUE"""),43382.66666666667)</f>
        <v>43382.66667</v>
      </c>
      <c r="B951" s="2">
        <f>IFERROR(__xludf.DUMMYFUNCTION("""COMPUTED_VALUE"""),64.46)</f>
        <v>64.46</v>
      </c>
      <c r="D951" s="3">
        <f>IFERROR(__xludf.DUMMYFUNCTION("""COMPUTED_VALUE"""),43382.66666666667)</f>
        <v>43382.66667</v>
      </c>
      <c r="E951" s="2">
        <f>IFERROR(__xludf.DUMMYFUNCTION("""COMPUTED_VALUE"""),66.39)</f>
        <v>66.39</v>
      </c>
      <c r="G951" s="3">
        <f>IFERROR(__xludf.DUMMYFUNCTION("""COMPUTED_VALUE"""),43276.99861111111)</f>
        <v>43276.99861</v>
      </c>
      <c r="H951" s="2">
        <f>IFERROR(__xludf.DUMMYFUNCTION("""COMPUTED_VALUE"""),6246.01)</f>
        <v>6246.01</v>
      </c>
    </row>
    <row r="952">
      <c r="A952" s="3">
        <f>IFERROR(__xludf.DUMMYFUNCTION("""COMPUTED_VALUE"""),43383.66666666667)</f>
        <v>43383.66667</v>
      </c>
      <c r="B952" s="2">
        <f>IFERROR(__xludf.DUMMYFUNCTION("""COMPUTED_VALUE"""),61.39)</f>
        <v>61.39</v>
      </c>
      <c r="D952" s="3">
        <f>IFERROR(__xludf.DUMMYFUNCTION("""COMPUTED_VALUE"""),43383.66666666667)</f>
        <v>43383.66667</v>
      </c>
      <c r="E952" s="2">
        <f>IFERROR(__xludf.DUMMYFUNCTION("""COMPUTED_VALUE"""),61.42)</f>
        <v>61.42</v>
      </c>
      <c r="G952" s="3">
        <f>IFERROR(__xludf.DUMMYFUNCTION("""COMPUTED_VALUE"""),43277.99861111111)</f>
        <v>43277.99861</v>
      </c>
      <c r="H952" s="2">
        <f>IFERROR(__xludf.DUMMYFUNCTION("""COMPUTED_VALUE"""),6074.0)</f>
        <v>6074</v>
      </c>
    </row>
    <row r="953">
      <c r="A953" s="3">
        <f>IFERROR(__xludf.DUMMYFUNCTION("""COMPUTED_VALUE"""),43384.66666666667)</f>
        <v>43384.66667</v>
      </c>
      <c r="B953" s="2">
        <f>IFERROR(__xludf.DUMMYFUNCTION("""COMPUTED_VALUE"""),60.44)</f>
        <v>60.44</v>
      </c>
      <c r="D953" s="3">
        <f>IFERROR(__xludf.DUMMYFUNCTION("""COMPUTED_VALUE"""),43384.66666666667)</f>
        <v>43384.66667</v>
      </c>
      <c r="E953" s="2">
        <f>IFERROR(__xludf.DUMMYFUNCTION("""COMPUTED_VALUE"""),58.78)</f>
        <v>58.78</v>
      </c>
      <c r="G953" s="3">
        <f>IFERROR(__xludf.DUMMYFUNCTION("""COMPUTED_VALUE"""),43278.99861111111)</f>
        <v>43278.99861</v>
      </c>
      <c r="H953" s="2">
        <f>IFERROR(__xludf.DUMMYFUNCTION("""COMPUTED_VALUE"""),6132.17)</f>
        <v>6132.17</v>
      </c>
    </row>
    <row r="954">
      <c r="A954" s="3">
        <f>IFERROR(__xludf.DUMMYFUNCTION("""COMPUTED_VALUE"""),43385.66666666667)</f>
        <v>43385.66667</v>
      </c>
      <c r="B954" s="2">
        <f>IFERROR(__xludf.DUMMYFUNCTION("""COMPUTED_VALUE"""),62.02)</f>
        <v>62.02</v>
      </c>
      <c r="D954" s="3">
        <f>IFERROR(__xludf.DUMMYFUNCTION("""COMPUTED_VALUE"""),43385.66666666667)</f>
        <v>43385.66667</v>
      </c>
      <c r="E954" s="2">
        <f>IFERROR(__xludf.DUMMYFUNCTION("""COMPUTED_VALUE"""),61.64)</f>
        <v>61.64</v>
      </c>
      <c r="G954" s="3">
        <f>IFERROR(__xludf.DUMMYFUNCTION("""COMPUTED_VALUE"""),43279.99861111111)</f>
        <v>43279.99861</v>
      </c>
      <c r="H954" s="2">
        <f>IFERROR(__xludf.DUMMYFUNCTION("""COMPUTED_VALUE"""),5851.66)</f>
        <v>5851.66</v>
      </c>
    </row>
    <row r="955">
      <c r="A955" s="3">
        <f>IFERROR(__xludf.DUMMYFUNCTION("""COMPUTED_VALUE"""),43388.66666666667)</f>
        <v>43388.66667</v>
      </c>
      <c r="B955" s="2">
        <f>IFERROR(__xludf.DUMMYFUNCTION("""COMPUTED_VALUE"""),61.47)</f>
        <v>61.47</v>
      </c>
      <c r="D955" s="3">
        <f>IFERROR(__xludf.DUMMYFUNCTION("""COMPUTED_VALUE"""),43388.66666666667)</f>
        <v>43388.66667</v>
      </c>
      <c r="E955" s="2">
        <f>IFERROR(__xludf.DUMMYFUNCTION("""COMPUTED_VALUE"""),58.85)</f>
        <v>58.85</v>
      </c>
      <c r="G955" s="3">
        <f>IFERROR(__xludf.DUMMYFUNCTION("""COMPUTED_VALUE"""),43280.99861111111)</f>
        <v>43280.99861</v>
      </c>
      <c r="H955" s="2">
        <f>IFERROR(__xludf.DUMMYFUNCTION("""COMPUTED_VALUE"""),6202.36)</f>
        <v>6202.36</v>
      </c>
    </row>
    <row r="956">
      <c r="A956" s="3">
        <f>IFERROR(__xludf.DUMMYFUNCTION("""COMPUTED_VALUE"""),43389.66666666667)</f>
        <v>43389.66667</v>
      </c>
      <c r="B956" s="2">
        <f>IFERROR(__xludf.DUMMYFUNCTION("""COMPUTED_VALUE"""),63.08)</f>
        <v>63.08</v>
      </c>
      <c r="D956" s="3">
        <f>IFERROR(__xludf.DUMMYFUNCTION("""COMPUTED_VALUE"""),43389.66666666667)</f>
        <v>43389.66667</v>
      </c>
      <c r="E956" s="2">
        <f>IFERROR(__xludf.DUMMYFUNCTION("""COMPUTED_VALUE"""),61.46)</f>
        <v>61.46</v>
      </c>
      <c r="G956" s="3">
        <f>IFERROR(__xludf.DUMMYFUNCTION("""COMPUTED_VALUE"""),43281.99861111111)</f>
        <v>43281.99861</v>
      </c>
      <c r="H956" s="2">
        <f>IFERROR(__xludf.DUMMYFUNCTION("""COMPUTED_VALUE"""),6383.19)</f>
        <v>6383.19</v>
      </c>
    </row>
    <row r="957">
      <c r="A957" s="3">
        <f>IFERROR(__xludf.DUMMYFUNCTION("""COMPUTED_VALUE"""),43390.66666666667)</f>
        <v>43390.66667</v>
      </c>
      <c r="B957" s="2">
        <f>IFERROR(__xludf.DUMMYFUNCTION("""COMPUTED_VALUE"""),63.23)</f>
        <v>63.23</v>
      </c>
      <c r="D957" s="3">
        <f>IFERROR(__xludf.DUMMYFUNCTION("""COMPUTED_VALUE"""),43390.66666666667)</f>
        <v>43390.66667</v>
      </c>
      <c r="E957" s="2">
        <f>IFERROR(__xludf.DUMMYFUNCTION("""COMPUTED_VALUE"""),60.77)</f>
        <v>60.77</v>
      </c>
      <c r="G957" s="3">
        <f>IFERROR(__xludf.DUMMYFUNCTION("""COMPUTED_VALUE"""),43282.99861111111)</f>
        <v>43282.99861</v>
      </c>
      <c r="H957" s="2">
        <f>IFERROR(__xludf.DUMMYFUNCTION("""COMPUTED_VALUE"""),6349.5)</f>
        <v>6349.5</v>
      </c>
    </row>
    <row r="958">
      <c r="A958" s="3">
        <f>IFERROR(__xludf.DUMMYFUNCTION("""COMPUTED_VALUE"""),43391.66666666667)</f>
        <v>43391.66667</v>
      </c>
      <c r="B958" s="2">
        <f>IFERROR(__xludf.DUMMYFUNCTION("""COMPUTED_VALUE"""),63.07)</f>
        <v>63.07</v>
      </c>
      <c r="D958" s="3">
        <f>IFERROR(__xludf.DUMMYFUNCTION("""COMPUTED_VALUE"""),43391.66666666667)</f>
        <v>43391.66667</v>
      </c>
      <c r="E958" s="2">
        <f>IFERROR(__xludf.DUMMYFUNCTION("""COMPUTED_VALUE"""),59.88)</f>
        <v>59.88</v>
      </c>
      <c r="G958" s="3">
        <f>IFERROR(__xludf.DUMMYFUNCTION("""COMPUTED_VALUE"""),43283.99861111111)</f>
        <v>43283.99861</v>
      </c>
      <c r="H958" s="2">
        <f>IFERROR(__xludf.DUMMYFUNCTION("""COMPUTED_VALUE"""),6611.79)</f>
        <v>6611.79</v>
      </c>
    </row>
    <row r="959">
      <c r="A959" s="3">
        <f>IFERROR(__xludf.DUMMYFUNCTION("""COMPUTED_VALUE"""),43392.66666666667)</f>
        <v>43392.66667</v>
      </c>
      <c r="B959" s="2">
        <f>IFERROR(__xludf.DUMMYFUNCTION("""COMPUTED_VALUE"""),61.78)</f>
        <v>61.78</v>
      </c>
      <c r="D959" s="3">
        <f>IFERROR(__xludf.DUMMYFUNCTION("""COMPUTED_VALUE"""),43392.66666666667)</f>
        <v>43392.66667</v>
      </c>
      <c r="E959" s="2">
        <f>IFERROR(__xludf.DUMMYFUNCTION("""COMPUTED_VALUE"""),57.29)</f>
        <v>57.29</v>
      </c>
      <c r="G959" s="3">
        <f>IFERROR(__xludf.DUMMYFUNCTION("""COMPUTED_VALUE"""),43284.99861111111)</f>
        <v>43284.99861</v>
      </c>
      <c r="H959" s="2">
        <f>IFERROR(__xludf.DUMMYFUNCTION("""COMPUTED_VALUE"""),6502.62)</f>
        <v>6502.62</v>
      </c>
    </row>
    <row r="960">
      <c r="A960" s="3">
        <f>IFERROR(__xludf.DUMMYFUNCTION("""COMPUTED_VALUE"""),43395.66666666667)</f>
        <v>43395.66667</v>
      </c>
      <c r="B960" s="2">
        <f>IFERROR(__xludf.DUMMYFUNCTION("""COMPUTED_VALUE"""),61.94)</f>
        <v>61.94</v>
      </c>
      <c r="D960" s="3">
        <f>IFERROR(__xludf.DUMMYFUNCTION("""COMPUTED_VALUE"""),43395.66666666667)</f>
        <v>43395.66667</v>
      </c>
      <c r="E960" s="2">
        <f>IFERROR(__xludf.DUMMYFUNCTION("""COMPUTED_VALUE"""),57.81)</f>
        <v>57.81</v>
      </c>
      <c r="G960" s="3">
        <f>IFERROR(__xludf.DUMMYFUNCTION("""COMPUTED_VALUE"""),43285.99861111111)</f>
        <v>43285.99861</v>
      </c>
      <c r="H960" s="2">
        <f>IFERROR(__xludf.DUMMYFUNCTION("""COMPUTED_VALUE"""),6587.47)</f>
        <v>6587.47</v>
      </c>
    </row>
    <row r="961">
      <c r="A961" s="3">
        <f>IFERROR(__xludf.DUMMYFUNCTION("""COMPUTED_VALUE"""),43396.66666666667)</f>
        <v>43396.66667</v>
      </c>
      <c r="B961" s="2">
        <f>IFERROR(__xludf.DUMMYFUNCTION("""COMPUTED_VALUE"""),61.61)</f>
        <v>61.61</v>
      </c>
      <c r="D961" s="3">
        <f>IFERROR(__xludf.DUMMYFUNCTION("""COMPUTED_VALUE"""),43396.66666666667)</f>
        <v>43396.66667</v>
      </c>
      <c r="E961" s="2">
        <f>IFERROR(__xludf.DUMMYFUNCTION("""COMPUTED_VALUE"""),55.27)</f>
        <v>55.27</v>
      </c>
      <c r="G961" s="3">
        <f>IFERROR(__xludf.DUMMYFUNCTION("""COMPUTED_VALUE"""),43286.99861111111)</f>
        <v>43286.99861</v>
      </c>
      <c r="H961" s="2">
        <f>IFERROR(__xludf.DUMMYFUNCTION("""COMPUTED_VALUE"""),6532.95)</f>
        <v>6532.95</v>
      </c>
    </row>
    <row r="962">
      <c r="A962" s="3">
        <f>IFERROR(__xludf.DUMMYFUNCTION("""COMPUTED_VALUE"""),43397.66666666667)</f>
        <v>43397.66667</v>
      </c>
      <c r="B962" s="2">
        <f>IFERROR(__xludf.DUMMYFUNCTION("""COMPUTED_VALUE"""),58.49)</f>
        <v>58.49</v>
      </c>
      <c r="D962" s="3">
        <f>IFERROR(__xludf.DUMMYFUNCTION("""COMPUTED_VALUE"""),43397.66666666667)</f>
        <v>43397.66667</v>
      </c>
      <c r="E962" s="2">
        <f>IFERROR(__xludf.DUMMYFUNCTION("""COMPUTED_VALUE"""),49.85)</f>
        <v>49.85</v>
      </c>
      <c r="G962" s="3">
        <f>IFERROR(__xludf.DUMMYFUNCTION("""COMPUTED_VALUE"""),43287.99861111111)</f>
        <v>43287.99861</v>
      </c>
      <c r="H962" s="2">
        <f>IFERROR(__xludf.DUMMYFUNCTION("""COMPUTED_VALUE"""),6600.0)</f>
        <v>6600</v>
      </c>
    </row>
    <row r="963">
      <c r="A963" s="3">
        <f>IFERROR(__xludf.DUMMYFUNCTION("""COMPUTED_VALUE"""),43398.66666666667)</f>
        <v>43398.66667</v>
      </c>
      <c r="B963" s="2">
        <f>IFERROR(__xludf.DUMMYFUNCTION("""COMPUTED_VALUE"""),59.38)</f>
        <v>59.38</v>
      </c>
      <c r="D963" s="3">
        <f>IFERROR(__xludf.DUMMYFUNCTION("""COMPUTED_VALUE"""),43398.66666666667)</f>
        <v>43398.66667</v>
      </c>
      <c r="E963" s="2">
        <f>IFERROR(__xludf.DUMMYFUNCTION("""COMPUTED_VALUE"""),51.96)</f>
        <v>51.96</v>
      </c>
      <c r="G963" s="3">
        <f>IFERROR(__xludf.DUMMYFUNCTION("""COMPUTED_VALUE"""),43288.99861111111)</f>
        <v>43288.99861</v>
      </c>
      <c r="H963" s="2">
        <f>IFERROR(__xludf.DUMMYFUNCTION("""COMPUTED_VALUE"""),6753.28)</f>
        <v>6753.28</v>
      </c>
    </row>
    <row r="964">
      <c r="A964" s="3">
        <f>IFERROR(__xludf.DUMMYFUNCTION("""COMPUTED_VALUE"""),43399.66666666667)</f>
        <v>43399.66667</v>
      </c>
      <c r="B964" s="2">
        <f>IFERROR(__xludf.DUMMYFUNCTION("""COMPUTED_VALUE"""),58.53)</f>
        <v>58.53</v>
      </c>
      <c r="D964" s="3">
        <f>IFERROR(__xludf.DUMMYFUNCTION("""COMPUTED_VALUE"""),43399.66666666667)</f>
        <v>43399.66667</v>
      </c>
      <c r="E964" s="2">
        <f>IFERROR(__xludf.DUMMYFUNCTION("""COMPUTED_VALUE"""),49.57)</f>
        <v>49.57</v>
      </c>
      <c r="G964" s="3">
        <f>IFERROR(__xludf.DUMMYFUNCTION("""COMPUTED_VALUE"""),43289.99861111111)</f>
        <v>43289.99861</v>
      </c>
      <c r="H964" s="2">
        <f>IFERROR(__xludf.DUMMYFUNCTION("""COMPUTED_VALUE"""),6701.97)</f>
        <v>6701.97</v>
      </c>
    </row>
    <row r="965">
      <c r="A965" s="3">
        <f>IFERROR(__xludf.DUMMYFUNCTION("""COMPUTED_VALUE"""),43402.66666666667)</f>
        <v>43402.66667</v>
      </c>
      <c r="B965" s="2">
        <f>IFERROR(__xludf.DUMMYFUNCTION("""COMPUTED_VALUE"""),56.51)</f>
        <v>56.51</v>
      </c>
      <c r="D965" s="3">
        <f>IFERROR(__xludf.DUMMYFUNCTION("""COMPUTED_VALUE"""),43402.66666666667)</f>
        <v>43402.66667</v>
      </c>
      <c r="E965" s="2">
        <f>IFERROR(__xludf.DUMMYFUNCTION("""COMPUTED_VALUE"""),46.41)</f>
        <v>46.41</v>
      </c>
      <c r="G965" s="3">
        <f>IFERROR(__xludf.DUMMYFUNCTION("""COMPUTED_VALUE"""),43290.99861111111)</f>
        <v>43290.99861</v>
      </c>
      <c r="H965" s="2">
        <f>IFERROR(__xludf.DUMMYFUNCTION("""COMPUTED_VALUE"""),6664.01)</f>
        <v>6664.01</v>
      </c>
    </row>
    <row r="966">
      <c r="A966" s="3">
        <f>IFERROR(__xludf.DUMMYFUNCTION("""COMPUTED_VALUE"""),43403.66666666667)</f>
        <v>43403.66667</v>
      </c>
      <c r="B966" s="2">
        <f>IFERROR(__xludf.DUMMYFUNCTION("""COMPUTED_VALUE"""),57.13)</f>
        <v>57.13</v>
      </c>
      <c r="D966" s="3">
        <f>IFERROR(__xludf.DUMMYFUNCTION("""COMPUTED_VALUE"""),43403.66666666667)</f>
        <v>43403.66667</v>
      </c>
      <c r="E966" s="2">
        <f>IFERROR(__xludf.DUMMYFUNCTION("""COMPUTED_VALUE"""),50.75)</f>
        <v>50.75</v>
      </c>
      <c r="G966" s="3">
        <f>IFERROR(__xludf.DUMMYFUNCTION("""COMPUTED_VALUE"""),43291.99861111111)</f>
        <v>43291.99861</v>
      </c>
      <c r="H966" s="2">
        <f>IFERROR(__xludf.DUMMYFUNCTION("""COMPUTED_VALUE"""),6303.7)</f>
        <v>6303.7</v>
      </c>
    </row>
    <row r="967">
      <c r="A967" s="3">
        <f>IFERROR(__xludf.DUMMYFUNCTION("""COMPUTED_VALUE"""),43404.66666666667)</f>
        <v>43404.66667</v>
      </c>
      <c r="B967" s="2">
        <f>IFERROR(__xludf.DUMMYFUNCTION("""COMPUTED_VALUE"""),57.08)</f>
        <v>57.08</v>
      </c>
      <c r="D967" s="3">
        <f>IFERROR(__xludf.DUMMYFUNCTION("""COMPUTED_VALUE"""),43404.66666666667)</f>
        <v>43404.66667</v>
      </c>
      <c r="E967" s="2">
        <f>IFERROR(__xludf.DUMMYFUNCTION("""COMPUTED_VALUE"""),52.71)</f>
        <v>52.71</v>
      </c>
      <c r="G967" s="3">
        <f>IFERROR(__xludf.DUMMYFUNCTION("""COMPUTED_VALUE"""),43292.99861111111)</f>
        <v>43292.99861</v>
      </c>
      <c r="H967" s="2">
        <f>IFERROR(__xludf.DUMMYFUNCTION("""COMPUTED_VALUE"""),6390.04)</f>
        <v>6390.04</v>
      </c>
    </row>
    <row r="968">
      <c r="A968" s="3">
        <f>IFERROR(__xludf.DUMMYFUNCTION("""COMPUTED_VALUE"""),43405.66666666667)</f>
        <v>43405.66667</v>
      </c>
      <c r="B968" s="2">
        <f>IFERROR(__xludf.DUMMYFUNCTION("""COMPUTED_VALUE"""),57.56)</f>
        <v>57.56</v>
      </c>
      <c r="D968" s="3">
        <f>IFERROR(__xludf.DUMMYFUNCTION("""COMPUTED_VALUE"""),43405.66666666667)</f>
        <v>43405.66667</v>
      </c>
      <c r="E968" s="2">
        <f>IFERROR(__xludf.DUMMYFUNCTION("""COMPUTED_VALUE"""),54.53)</f>
        <v>54.53</v>
      </c>
      <c r="G968" s="3">
        <f>IFERROR(__xludf.DUMMYFUNCTION("""COMPUTED_VALUE"""),43293.99861111111)</f>
        <v>43293.99861</v>
      </c>
      <c r="H968" s="2">
        <f>IFERROR(__xludf.DUMMYFUNCTION("""COMPUTED_VALUE"""),6249.75)</f>
        <v>6249.75</v>
      </c>
    </row>
    <row r="969">
      <c r="A969" s="3">
        <f>IFERROR(__xludf.DUMMYFUNCTION("""COMPUTED_VALUE"""),43406.66666666667)</f>
        <v>43406.66667</v>
      </c>
      <c r="B969" s="2">
        <f>IFERROR(__xludf.DUMMYFUNCTION("""COMPUTED_VALUE"""),57.18)</f>
        <v>57.18</v>
      </c>
      <c r="D969" s="3">
        <f>IFERROR(__xludf.DUMMYFUNCTION("""COMPUTED_VALUE"""),43406.66666666667)</f>
        <v>43406.66667</v>
      </c>
      <c r="E969" s="2">
        <f>IFERROR(__xludf.DUMMYFUNCTION("""COMPUTED_VALUE"""),53.73)</f>
        <v>53.73</v>
      </c>
      <c r="G969" s="3">
        <f>IFERROR(__xludf.DUMMYFUNCTION("""COMPUTED_VALUE"""),43294.99861111111)</f>
        <v>43294.99861</v>
      </c>
      <c r="H969" s="2">
        <f>IFERROR(__xludf.DUMMYFUNCTION("""COMPUTED_VALUE"""),6216.29)</f>
        <v>6216.29</v>
      </c>
    </row>
    <row r="970">
      <c r="A970" s="3">
        <f>IFERROR(__xludf.DUMMYFUNCTION("""COMPUTED_VALUE"""),43409.66666666667)</f>
        <v>43409.66667</v>
      </c>
      <c r="B970" s="2">
        <f>IFERROR(__xludf.DUMMYFUNCTION("""COMPUTED_VALUE"""),58.34)</f>
        <v>58.34</v>
      </c>
      <c r="D970" s="3">
        <f>IFERROR(__xludf.DUMMYFUNCTION("""COMPUTED_VALUE"""),43409.66666666667)</f>
        <v>43409.66667</v>
      </c>
      <c r="E970" s="2">
        <f>IFERROR(__xludf.DUMMYFUNCTION("""COMPUTED_VALUE"""),52.94)</f>
        <v>52.94</v>
      </c>
      <c r="G970" s="3">
        <f>IFERROR(__xludf.DUMMYFUNCTION("""COMPUTED_VALUE"""),43295.99861111111)</f>
        <v>43295.99861</v>
      </c>
      <c r="H970" s="2">
        <f>IFERROR(__xludf.DUMMYFUNCTION("""COMPUTED_VALUE"""),6248.65)</f>
        <v>6248.65</v>
      </c>
    </row>
    <row r="971">
      <c r="A971" s="3">
        <f>IFERROR(__xludf.DUMMYFUNCTION("""COMPUTED_VALUE"""),43410.66666666667)</f>
        <v>43410.66667</v>
      </c>
      <c r="B971" s="2">
        <f>IFERROR(__xludf.DUMMYFUNCTION("""COMPUTED_VALUE"""),58.7)</f>
        <v>58.7</v>
      </c>
      <c r="D971" s="3">
        <f>IFERROR(__xludf.DUMMYFUNCTION("""COMPUTED_VALUE"""),43410.66666666667)</f>
        <v>43410.66667</v>
      </c>
      <c r="E971" s="2">
        <f>IFERROR(__xludf.DUMMYFUNCTION("""COMPUTED_VALUE"""),52.77)</f>
        <v>52.77</v>
      </c>
      <c r="G971" s="3">
        <f>IFERROR(__xludf.DUMMYFUNCTION("""COMPUTED_VALUE"""),43296.99861111111)</f>
        <v>43296.99861</v>
      </c>
      <c r="H971" s="2">
        <f>IFERROR(__xludf.DUMMYFUNCTION("""COMPUTED_VALUE"""),6348.73)</f>
        <v>6348.73</v>
      </c>
    </row>
    <row r="972">
      <c r="A972" s="3">
        <f>IFERROR(__xludf.DUMMYFUNCTION("""COMPUTED_VALUE"""),43411.66666666667)</f>
        <v>43411.66667</v>
      </c>
      <c r="B972" s="2">
        <f>IFERROR(__xludf.DUMMYFUNCTION("""COMPUTED_VALUE"""),60.67)</f>
        <v>60.67</v>
      </c>
      <c r="D972" s="3">
        <f>IFERROR(__xludf.DUMMYFUNCTION("""COMPUTED_VALUE"""),43411.66666666667)</f>
        <v>43411.66667</v>
      </c>
      <c r="E972" s="2">
        <f>IFERROR(__xludf.DUMMYFUNCTION("""COMPUTED_VALUE"""),53.45)</f>
        <v>53.45</v>
      </c>
      <c r="G972" s="3">
        <f>IFERROR(__xludf.DUMMYFUNCTION("""COMPUTED_VALUE"""),43297.99861111111)</f>
        <v>43297.99861</v>
      </c>
      <c r="H972" s="2">
        <f>IFERROR(__xludf.DUMMYFUNCTION("""COMPUTED_VALUE"""),6728.81)</f>
        <v>6728.81</v>
      </c>
    </row>
    <row r="973">
      <c r="A973" s="3">
        <f>IFERROR(__xludf.DUMMYFUNCTION("""COMPUTED_VALUE"""),43412.66666666667)</f>
        <v>43412.66667</v>
      </c>
      <c r="B973" s="2">
        <f>IFERROR(__xludf.DUMMYFUNCTION("""COMPUTED_VALUE"""),60.81)</f>
        <v>60.81</v>
      </c>
      <c r="D973" s="3">
        <f>IFERROR(__xludf.DUMMYFUNCTION("""COMPUTED_VALUE"""),43412.66666666667)</f>
        <v>43412.66667</v>
      </c>
      <c r="E973" s="2">
        <f>IFERROR(__xludf.DUMMYFUNCTION("""COMPUTED_VALUE"""),51.5)</f>
        <v>51.5</v>
      </c>
      <c r="G973" s="3">
        <f>IFERROR(__xludf.DUMMYFUNCTION("""COMPUTED_VALUE"""),43298.99861111111)</f>
        <v>43298.99861</v>
      </c>
      <c r="H973" s="2">
        <f>IFERROR(__xludf.DUMMYFUNCTION("""COMPUTED_VALUE"""),7315.01)</f>
        <v>7315.01</v>
      </c>
    </row>
    <row r="974">
      <c r="A974" s="3">
        <f>IFERROR(__xludf.DUMMYFUNCTION("""COMPUTED_VALUE"""),43413.66666666667)</f>
        <v>43413.66667</v>
      </c>
      <c r="B974" s="2">
        <f>IFERROR(__xludf.DUMMYFUNCTION("""COMPUTED_VALUE"""),59.19)</f>
        <v>59.19</v>
      </c>
      <c r="D974" s="3">
        <f>IFERROR(__xludf.DUMMYFUNCTION("""COMPUTED_VALUE"""),43413.66666666667)</f>
        <v>43413.66667</v>
      </c>
      <c r="E974" s="2">
        <f>IFERROR(__xludf.DUMMYFUNCTION("""COMPUTED_VALUE"""),51.42)</f>
        <v>51.42</v>
      </c>
      <c r="G974" s="3">
        <f>IFERROR(__xludf.DUMMYFUNCTION("""COMPUTED_VALUE"""),43299.99861111111)</f>
        <v>43299.99861</v>
      </c>
      <c r="H974" s="2">
        <f>IFERROR(__xludf.DUMMYFUNCTION("""COMPUTED_VALUE"""),7378.99)</f>
        <v>7378.99</v>
      </c>
    </row>
    <row r="975">
      <c r="A975" s="3">
        <f>IFERROR(__xludf.DUMMYFUNCTION("""COMPUTED_VALUE"""),43416.66666666667)</f>
        <v>43416.66667</v>
      </c>
      <c r="B975" s="2">
        <f>IFERROR(__xludf.DUMMYFUNCTION("""COMPUTED_VALUE"""),58.15)</f>
        <v>58.15</v>
      </c>
      <c r="D975" s="3">
        <f>IFERROR(__xludf.DUMMYFUNCTION("""COMPUTED_VALUE"""),43416.66666666667)</f>
        <v>43416.66667</v>
      </c>
      <c r="E975" s="2">
        <f>IFERROR(__xludf.DUMMYFUNCTION("""COMPUTED_VALUE"""),47.39)</f>
        <v>47.39</v>
      </c>
      <c r="G975" s="3">
        <f>IFERROR(__xludf.DUMMYFUNCTION("""COMPUTED_VALUE"""),43300.99861111111)</f>
        <v>43300.99861</v>
      </c>
      <c r="H975" s="2">
        <f>IFERROR(__xludf.DUMMYFUNCTION("""COMPUTED_VALUE"""),7470.01)</f>
        <v>7470.01</v>
      </c>
    </row>
    <row r="976">
      <c r="A976" s="3">
        <f>IFERROR(__xludf.DUMMYFUNCTION("""COMPUTED_VALUE"""),43417.66666666667)</f>
        <v>43417.66667</v>
      </c>
      <c r="B976" s="2">
        <f>IFERROR(__xludf.DUMMYFUNCTION("""COMPUTED_VALUE"""),57.85)</f>
        <v>57.85</v>
      </c>
      <c r="D976" s="3">
        <f>IFERROR(__xludf.DUMMYFUNCTION("""COMPUTED_VALUE"""),43417.66666666667)</f>
        <v>43417.66667</v>
      </c>
      <c r="E976" s="2">
        <f>IFERROR(__xludf.DUMMYFUNCTION("""COMPUTED_VALUE"""),49.83)</f>
        <v>49.83</v>
      </c>
      <c r="G976" s="3">
        <f>IFERROR(__xludf.DUMMYFUNCTION("""COMPUTED_VALUE"""),43301.99861111111)</f>
        <v>43301.99861</v>
      </c>
      <c r="H976" s="2">
        <f>IFERROR(__xludf.DUMMYFUNCTION("""COMPUTED_VALUE"""),7334.46)</f>
        <v>7334.46</v>
      </c>
    </row>
    <row r="977">
      <c r="A977" s="3">
        <f>IFERROR(__xludf.DUMMYFUNCTION("""COMPUTED_VALUE"""),43418.66666666667)</f>
        <v>43418.66667</v>
      </c>
      <c r="B977" s="2">
        <f>IFERROR(__xludf.DUMMYFUNCTION("""COMPUTED_VALUE"""),57.46)</f>
        <v>57.46</v>
      </c>
      <c r="D977" s="3">
        <f>IFERROR(__xludf.DUMMYFUNCTION("""COMPUTED_VALUE"""),43418.66666666667)</f>
        <v>43418.66667</v>
      </c>
      <c r="E977" s="2">
        <f>IFERROR(__xludf.DUMMYFUNCTION("""COMPUTED_VALUE"""),49.3)</f>
        <v>49.3</v>
      </c>
      <c r="G977" s="3">
        <f>IFERROR(__xludf.DUMMYFUNCTION("""COMPUTED_VALUE"""),43302.99861111111)</f>
        <v>43302.99861</v>
      </c>
      <c r="H977" s="2">
        <f>IFERROR(__xludf.DUMMYFUNCTION("""COMPUTED_VALUE"""),7408.0)</f>
        <v>7408</v>
      </c>
    </row>
    <row r="978">
      <c r="A978" s="3">
        <f>IFERROR(__xludf.DUMMYFUNCTION("""COMPUTED_VALUE"""),43419.66666666667)</f>
        <v>43419.66667</v>
      </c>
      <c r="B978" s="2">
        <f>IFERROR(__xludf.DUMMYFUNCTION("""COMPUTED_VALUE"""),58.73)</f>
        <v>58.73</v>
      </c>
      <c r="D978" s="3">
        <f>IFERROR(__xludf.DUMMYFUNCTION("""COMPUTED_VALUE"""),43419.66666666667)</f>
        <v>43419.66667</v>
      </c>
      <c r="E978" s="2">
        <f>IFERROR(__xludf.DUMMYFUNCTION("""COMPUTED_VALUE"""),50.6)</f>
        <v>50.6</v>
      </c>
      <c r="G978" s="3">
        <f>IFERROR(__xludf.DUMMYFUNCTION("""COMPUTED_VALUE"""),43303.99861111111)</f>
        <v>43303.99861</v>
      </c>
      <c r="H978" s="2">
        <f>IFERROR(__xludf.DUMMYFUNCTION("""COMPUTED_VALUE"""),7397.8)</f>
        <v>7397.8</v>
      </c>
    </row>
    <row r="979">
      <c r="A979" s="3">
        <f>IFERROR(__xludf.DUMMYFUNCTION("""COMPUTED_VALUE"""),43420.66666666667)</f>
        <v>43420.66667</v>
      </c>
      <c r="B979" s="2">
        <f>IFERROR(__xludf.DUMMYFUNCTION("""COMPUTED_VALUE"""),57.99)</f>
        <v>57.99</v>
      </c>
      <c r="D979" s="3">
        <f>IFERROR(__xludf.DUMMYFUNCTION("""COMPUTED_VALUE"""),43420.66666666667)</f>
        <v>43420.66667</v>
      </c>
      <c r="E979" s="2">
        <f>IFERROR(__xludf.DUMMYFUNCTION("""COMPUTED_VALUE"""),41.11)</f>
        <v>41.11</v>
      </c>
      <c r="G979" s="3">
        <f>IFERROR(__xludf.DUMMYFUNCTION("""COMPUTED_VALUE"""),43304.99861111111)</f>
        <v>43304.99861</v>
      </c>
      <c r="H979" s="2">
        <f>IFERROR(__xludf.DUMMYFUNCTION("""COMPUTED_VALUE"""),7720.09)</f>
        <v>7720.09</v>
      </c>
    </row>
    <row r="980">
      <c r="A980" s="3">
        <f>IFERROR(__xludf.DUMMYFUNCTION("""COMPUTED_VALUE"""),43423.66666666667)</f>
        <v>43423.66667</v>
      </c>
      <c r="B980" s="2">
        <f>IFERROR(__xludf.DUMMYFUNCTION("""COMPUTED_VALUE"""),55.57)</f>
        <v>55.57</v>
      </c>
      <c r="D980" s="3">
        <f>IFERROR(__xludf.DUMMYFUNCTION("""COMPUTED_VALUE"""),43423.66666666667)</f>
        <v>43423.66667</v>
      </c>
      <c r="E980" s="2">
        <f>IFERROR(__xludf.DUMMYFUNCTION("""COMPUTED_VALUE"""),36.17)</f>
        <v>36.17</v>
      </c>
      <c r="G980" s="3">
        <f>IFERROR(__xludf.DUMMYFUNCTION("""COMPUTED_VALUE"""),43305.99861111111)</f>
        <v>43305.99861</v>
      </c>
      <c r="H980" s="2">
        <f>IFERROR(__xludf.DUMMYFUNCTION("""COMPUTED_VALUE"""),8385.5)</f>
        <v>8385.5</v>
      </c>
    </row>
    <row r="981">
      <c r="A981" s="3">
        <f>IFERROR(__xludf.DUMMYFUNCTION("""COMPUTED_VALUE"""),43424.66666666667)</f>
        <v>43424.66667</v>
      </c>
      <c r="B981" s="2">
        <f>IFERROR(__xludf.DUMMYFUNCTION("""COMPUTED_VALUE"""),54.35)</f>
        <v>54.35</v>
      </c>
      <c r="D981" s="3">
        <f>IFERROR(__xludf.DUMMYFUNCTION("""COMPUTED_VALUE"""),43424.66666666667)</f>
        <v>43424.66667</v>
      </c>
      <c r="E981" s="2">
        <f>IFERROR(__xludf.DUMMYFUNCTION("""COMPUTED_VALUE"""),37.27)</f>
        <v>37.27</v>
      </c>
      <c r="G981" s="3">
        <f>IFERROR(__xludf.DUMMYFUNCTION("""COMPUTED_VALUE"""),43306.99861111111)</f>
        <v>43306.99861</v>
      </c>
      <c r="H981" s="2">
        <f>IFERROR(__xludf.DUMMYFUNCTION("""COMPUTED_VALUE"""),8157.15)</f>
        <v>8157.15</v>
      </c>
    </row>
    <row r="982">
      <c r="A982" s="3">
        <f>IFERROR(__xludf.DUMMYFUNCTION("""COMPUTED_VALUE"""),43425.66666666667)</f>
        <v>43425.66667</v>
      </c>
      <c r="B982" s="2">
        <f>IFERROR(__xludf.DUMMYFUNCTION("""COMPUTED_VALUE"""),57.33)</f>
        <v>57.33</v>
      </c>
      <c r="D982" s="3">
        <f>IFERROR(__xludf.DUMMYFUNCTION("""COMPUTED_VALUE"""),43425.66666666667)</f>
        <v>43425.66667</v>
      </c>
      <c r="E982" s="2">
        <f>IFERROR(__xludf.DUMMYFUNCTION("""COMPUTED_VALUE"""),36.18)</f>
        <v>36.18</v>
      </c>
      <c r="G982" s="3">
        <f>IFERROR(__xludf.DUMMYFUNCTION("""COMPUTED_VALUE"""),43307.99861111111)</f>
        <v>43307.99861</v>
      </c>
      <c r="H982" s="2">
        <f>IFERROR(__xludf.DUMMYFUNCTION("""COMPUTED_VALUE"""),7931.99)</f>
        <v>7931.99</v>
      </c>
    </row>
    <row r="983">
      <c r="A983" s="3">
        <f>IFERROR(__xludf.DUMMYFUNCTION("""COMPUTED_VALUE"""),43427.54166666667)</f>
        <v>43427.54167</v>
      </c>
      <c r="B983" s="2">
        <f>IFERROR(__xludf.DUMMYFUNCTION("""COMPUTED_VALUE"""),56.58)</f>
        <v>56.58</v>
      </c>
      <c r="D983" s="3">
        <f>IFERROR(__xludf.DUMMYFUNCTION("""COMPUTED_VALUE"""),43427.54166666667)</f>
        <v>43427.54167</v>
      </c>
      <c r="E983" s="2">
        <f>IFERROR(__xludf.DUMMYFUNCTION("""COMPUTED_VALUE"""),36.25)</f>
        <v>36.25</v>
      </c>
      <c r="G983" s="3">
        <f>IFERROR(__xludf.DUMMYFUNCTION("""COMPUTED_VALUE"""),43308.99861111111)</f>
        <v>43308.99861</v>
      </c>
      <c r="H983" s="2">
        <f>IFERROR(__xludf.DUMMYFUNCTION("""COMPUTED_VALUE"""),8184.21)</f>
        <v>8184.21</v>
      </c>
    </row>
    <row r="984">
      <c r="A984" s="3">
        <f>IFERROR(__xludf.DUMMYFUNCTION("""COMPUTED_VALUE"""),43430.66666666667)</f>
        <v>43430.66667</v>
      </c>
      <c r="B984" s="2">
        <f>IFERROR(__xludf.DUMMYFUNCTION("""COMPUTED_VALUE"""),58.53)</f>
        <v>58.53</v>
      </c>
      <c r="D984" s="3">
        <f>IFERROR(__xludf.DUMMYFUNCTION("""COMPUTED_VALUE"""),43430.66666666667)</f>
        <v>43430.66667</v>
      </c>
      <c r="E984" s="2">
        <f>IFERROR(__xludf.DUMMYFUNCTION("""COMPUTED_VALUE"""),38.26)</f>
        <v>38.26</v>
      </c>
      <c r="G984" s="3">
        <f>IFERROR(__xludf.DUMMYFUNCTION("""COMPUTED_VALUE"""),43309.99861111111)</f>
        <v>43309.99861</v>
      </c>
      <c r="H984" s="2">
        <f>IFERROR(__xludf.DUMMYFUNCTION("""COMPUTED_VALUE"""),8228.9)</f>
        <v>8228.9</v>
      </c>
    </row>
    <row r="985">
      <c r="A985" s="3">
        <f>IFERROR(__xludf.DUMMYFUNCTION("""COMPUTED_VALUE"""),43431.66666666667)</f>
        <v>43431.66667</v>
      </c>
      <c r="B985" s="2">
        <f>IFERROR(__xludf.DUMMYFUNCTION("""COMPUTED_VALUE"""),59.4)</f>
        <v>59.4</v>
      </c>
      <c r="D985" s="3">
        <f>IFERROR(__xludf.DUMMYFUNCTION("""COMPUTED_VALUE"""),43431.66666666667)</f>
        <v>43431.66667</v>
      </c>
      <c r="E985" s="2">
        <f>IFERROR(__xludf.DUMMYFUNCTION("""COMPUTED_VALUE"""),38.43)</f>
        <v>38.43</v>
      </c>
      <c r="G985" s="3">
        <f>IFERROR(__xludf.DUMMYFUNCTION("""COMPUTED_VALUE"""),43310.99861111111)</f>
        <v>43310.99861</v>
      </c>
      <c r="H985" s="2">
        <f>IFERROR(__xludf.DUMMYFUNCTION("""COMPUTED_VALUE"""),8216.34)</f>
        <v>8216.34</v>
      </c>
    </row>
    <row r="986">
      <c r="A986" s="3">
        <f>IFERROR(__xludf.DUMMYFUNCTION("""COMPUTED_VALUE"""),43432.66666666667)</f>
        <v>43432.66667</v>
      </c>
      <c r="B986" s="2">
        <f>IFERROR(__xludf.DUMMYFUNCTION("""COMPUTED_VALUE"""),61.5)</f>
        <v>61.5</v>
      </c>
      <c r="D986" s="3">
        <f>IFERROR(__xludf.DUMMYFUNCTION("""COMPUTED_VALUE"""),43432.66666666667)</f>
        <v>43432.66667</v>
      </c>
      <c r="E986" s="2">
        <f>IFERROR(__xludf.DUMMYFUNCTION("""COMPUTED_VALUE"""),40.02)</f>
        <v>40.02</v>
      </c>
      <c r="G986" s="3">
        <f>IFERROR(__xludf.DUMMYFUNCTION("""COMPUTED_VALUE"""),43311.99861111111)</f>
        <v>43311.99861</v>
      </c>
      <c r="H986" s="2">
        <f>IFERROR(__xludf.DUMMYFUNCTION("""COMPUTED_VALUE"""),8170.01)</f>
        <v>8170.01</v>
      </c>
    </row>
    <row r="987">
      <c r="A987" s="3">
        <f>IFERROR(__xludf.DUMMYFUNCTION("""COMPUTED_VALUE"""),43433.66666666667)</f>
        <v>43433.66667</v>
      </c>
      <c r="B987" s="2">
        <f>IFERROR(__xludf.DUMMYFUNCTION("""COMPUTED_VALUE"""),61.52)</f>
        <v>61.52</v>
      </c>
      <c r="D987" s="3">
        <f>IFERROR(__xludf.DUMMYFUNCTION("""COMPUTED_VALUE"""),43433.66666666667)</f>
        <v>43433.66667</v>
      </c>
      <c r="E987" s="2">
        <f>IFERROR(__xludf.DUMMYFUNCTION("""COMPUTED_VALUE"""),39.34)</f>
        <v>39.34</v>
      </c>
      <c r="G987" s="3">
        <f>IFERROR(__xludf.DUMMYFUNCTION("""COMPUTED_VALUE"""),43312.99861111111)</f>
        <v>43312.99861</v>
      </c>
      <c r="H987" s="2">
        <f>IFERROR(__xludf.DUMMYFUNCTION("""COMPUTED_VALUE"""),7727.27)</f>
        <v>7727.27</v>
      </c>
    </row>
    <row r="988">
      <c r="A988" s="3">
        <f>IFERROR(__xludf.DUMMYFUNCTION("""COMPUTED_VALUE"""),43434.66666666667)</f>
        <v>43434.66667</v>
      </c>
      <c r="B988" s="2">
        <f>IFERROR(__xludf.DUMMYFUNCTION("""COMPUTED_VALUE"""),61.82)</f>
        <v>61.82</v>
      </c>
      <c r="D988" s="3">
        <f>IFERROR(__xludf.DUMMYFUNCTION("""COMPUTED_VALUE"""),43434.66666666667)</f>
        <v>43434.66667</v>
      </c>
      <c r="E988" s="2">
        <f>IFERROR(__xludf.DUMMYFUNCTION("""COMPUTED_VALUE"""),40.86)</f>
        <v>40.86</v>
      </c>
      <c r="G988" s="3">
        <f>IFERROR(__xludf.DUMMYFUNCTION("""COMPUTED_VALUE"""),43313.99861111111)</f>
        <v>43313.99861</v>
      </c>
      <c r="H988" s="2">
        <f>IFERROR(__xludf.DUMMYFUNCTION("""COMPUTED_VALUE"""),7603.99)</f>
        <v>7603.99</v>
      </c>
    </row>
    <row r="989">
      <c r="A989" s="3">
        <f>IFERROR(__xludf.DUMMYFUNCTION("""COMPUTED_VALUE"""),43437.66666666667)</f>
        <v>43437.66667</v>
      </c>
      <c r="B989" s="2">
        <f>IFERROR(__xludf.DUMMYFUNCTION("""COMPUTED_VALUE"""),62.41)</f>
        <v>62.41</v>
      </c>
      <c r="D989" s="3">
        <f>IFERROR(__xludf.DUMMYFUNCTION("""COMPUTED_VALUE"""),43437.66666666667)</f>
        <v>43437.66667</v>
      </c>
      <c r="E989" s="2">
        <f>IFERROR(__xludf.DUMMYFUNCTION("""COMPUTED_VALUE"""),42.51)</f>
        <v>42.51</v>
      </c>
      <c r="G989" s="3">
        <f>IFERROR(__xludf.DUMMYFUNCTION("""COMPUTED_VALUE"""),43314.99861111111)</f>
        <v>43314.99861</v>
      </c>
      <c r="H989" s="2">
        <f>IFERROR(__xludf.DUMMYFUNCTION("""COMPUTED_VALUE"""),7533.92)</f>
        <v>7533.92</v>
      </c>
    </row>
    <row r="990">
      <c r="A990" s="3">
        <f>IFERROR(__xludf.DUMMYFUNCTION("""COMPUTED_VALUE"""),43438.66666666667)</f>
        <v>43438.66667</v>
      </c>
      <c r="B990" s="2">
        <f>IFERROR(__xludf.DUMMYFUNCTION("""COMPUTED_VALUE"""),60.98)</f>
        <v>60.98</v>
      </c>
      <c r="D990" s="3">
        <f>IFERROR(__xludf.DUMMYFUNCTION("""COMPUTED_VALUE"""),43438.66666666667)</f>
        <v>43438.66667</v>
      </c>
      <c r="E990" s="2">
        <f>IFERROR(__xludf.DUMMYFUNCTION("""COMPUTED_VALUE"""),39.28)</f>
        <v>39.28</v>
      </c>
      <c r="G990" s="3">
        <f>IFERROR(__xludf.DUMMYFUNCTION("""COMPUTED_VALUE"""),43315.99861111111)</f>
        <v>43315.99861</v>
      </c>
      <c r="H990" s="2">
        <f>IFERROR(__xludf.DUMMYFUNCTION("""COMPUTED_VALUE"""),7414.08)</f>
        <v>7414.08</v>
      </c>
    </row>
    <row r="991">
      <c r="A991" s="3">
        <f>IFERROR(__xludf.DUMMYFUNCTION("""COMPUTED_VALUE"""),43440.66666666667)</f>
        <v>43440.66667</v>
      </c>
      <c r="B991" s="2">
        <f>IFERROR(__xludf.DUMMYFUNCTION("""COMPUTED_VALUE"""),60.71)</f>
        <v>60.71</v>
      </c>
      <c r="D991" s="3">
        <f>IFERROR(__xludf.DUMMYFUNCTION("""COMPUTED_VALUE"""),43440.66666666667)</f>
        <v>43440.66667</v>
      </c>
      <c r="E991" s="2">
        <f>IFERROR(__xludf.DUMMYFUNCTION("""COMPUTED_VALUE"""),39.57)</f>
        <v>39.57</v>
      </c>
      <c r="G991" s="3">
        <f>IFERROR(__xludf.DUMMYFUNCTION("""COMPUTED_VALUE"""),43316.99861111111)</f>
        <v>43316.99861</v>
      </c>
      <c r="H991" s="2">
        <f>IFERROR(__xludf.DUMMYFUNCTION("""COMPUTED_VALUE"""),7005.0)</f>
        <v>7005</v>
      </c>
    </row>
    <row r="992">
      <c r="A992" s="3">
        <f>IFERROR(__xludf.DUMMYFUNCTION("""COMPUTED_VALUE"""),43441.66666666667)</f>
        <v>43441.66667</v>
      </c>
      <c r="B992" s="2">
        <f>IFERROR(__xludf.DUMMYFUNCTION("""COMPUTED_VALUE"""),58.68)</f>
        <v>58.68</v>
      </c>
      <c r="D992" s="3">
        <f>IFERROR(__xludf.DUMMYFUNCTION("""COMPUTED_VALUE"""),43441.66666666667)</f>
        <v>43441.66667</v>
      </c>
      <c r="E992" s="2">
        <f>IFERROR(__xludf.DUMMYFUNCTION("""COMPUTED_VALUE"""),36.9)</f>
        <v>36.9</v>
      </c>
      <c r="G992" s="3">
        <f>IFERROR(__xludf.DUMMYFUNCTION("""COMPUTED_VALUE"""),43317.99861111111)</f>
        <v>43317.99861</v>
      </c>
      <c r="H992" s="2">
        <f>IFERROR(__xludf.DUMMYFUNCTION("""COMPUTED_VALUE"""),7030.01)</f>
        <v>7030.01</v>
      </c>
    </row>
    <row r="993">
      <c r="A993" s="3">
        <f>IFERROR(__xludf.DUMMYFUNCTION("""COMPUTED_VALUE"""),43444.66666666667)</f>
        <v>43444.66667</v>
      </c>
      <c r="B993" s="2">
        <f>IFERROR(__xludf.DUMMYFUNCTION("""COMPUTED_VALUE"""),59.61)</f>
        <v>59.61</v>
      </c>
      <c r="D993" s="3">
        <f>IFERROR(__xludf.DUMMYFUNCTION("""COMPUTED_VALUE"""),43444.66666666667)</f>
        <v>43444.66667</v>
      </c>
      <c r="E993" s="2">
        <f>IFERROR(__xludf.DUMMYFUNCTION("""COMPUTED_VALUE"""),37.97)</f>
        <v>37.97</v>
      </c>
      <c r="G993" s="3">
        <f>IFERROR(__xludf.DUMMYFUNCTION("""COMPUTED_VALUE"""),43318.99861111111)</f>
        <v>43318.99861</v>
      </c>
      <c r="H993" s="2">
        <f>IFERROR(__xludf.DUMMYFUNCTION("""COMPUTED_VALUE"""),6938.0)</f>
        <v>6938</v>
      </c>
    </row>
    <row r="994">
      <c r="A994" s="3">
        <f>IFERROR(__xludf.DUMMYFUNCTION("""COMPUTED_VALUE"""),43445.66666666667)</f>
        <v>43445.66667</v>
      </c>
      <c r="B994" s="2">
        <f>IFERROR(__xludf.DUMMYFUNCTION("""COMPUTED_VALUE"""),59.53)</f>
        <v>59.53</v>
      </c>
      <c r="D994" s="3">
        <f>IFERROR(__xludf.DUMMYFUNCTION("""COMPUTED_VALUE"""),43445.66666666667)</f>
        <v>43445.66667</v>
      </c>
      <c r="E994" s="2">
        <f>IFERROR(__xludf.DUMMYFUNCTION("""COMPUTED_VALUE"""),37.05)</f>
        <v>37.05</v>
      </c>
      <c r="G994" s="3">
        <f>IFERROR(__xludf.DUMMYFUNCTION("""COMPUTED_VALUE"""),43319.99861111111)</f>
        <v>43319.99861</v>
      </c>
      <c r="H994" s="2">
        <f>IFERROR(__xludf.DUMMYFUNCTION("""COMPUTED_VALUE"""),6718.22)</f>
        <v>6718.22</v>
      </c>
    </row>
    <row r="995">
      <c r="A995" s="3">
        <f>IFERROR(__xludf.DUMMYFUNCTION("""COMPUTED_VALUE"""),43446.66666666667)</f>
        <v>43446.66667</v>
      </c>
      <c r="B995" s="2">
        <f>IFERROR(__xludf.DUMMYFUNCTION("""COMPUTED_VALUE"""),60.67)</f>
        <v>60.67</v>
      </c>
      <c r="D995" s="3">
        <f>IFERROR(__xludf.DUMMYFUNCTION("""COMPUTED_VALUE"""),43446.66666666667)</f>
        <v>43446.66667</v>
      </c>
      <c r="E995" s="2">
        <f>IFERROR(__xludf.DUMMYFUNCTION("""COMPUTED_VALUE"""),37.23)</f>
        <v>37.23</v>
      </c>
      <c r="G995" s="3">
        <f>IFERROR(__xludf.DUMMYFUNCTION("""COMPUTED_VALUE"""),43320.99861111111)</f>
        <v>43320.99861</v>
      </c>
      <c r="H995" s="2">
        <f>IFERROR(__xludf.DUMMYFUNCTION("""COMPUTED_VALUE"""),6282.5)</f>
        <v>6282.5</v>
      </c>
    </row>
    <row r="996">
      <c r="A996" s="3">
        <f>IFERROR(__xludf.DUMMYFUNCTION("""COMPUTED_VALUE"""),43447.66666666667)</f>
        <v>43447.66667</v>
      </c>
      <c r="B996" s="2">
        <f>IFERROR(__xludf.DUMMYFUNCTION("""COMPUTED_VALUE"""),60.62)</f>
        <v>60.62</v>
      </c>
      <c r="D996" s="3">
        <f>IFERROR(__xludf.DUMMYFUNCTION("""COMPUTED_VALUE"""),43447.66666666667)</f>
        <v>43447.66667</v>
      </c>
      <c r="E996" s="2">
        <f>IFERROR(__xludf.DUMMYFUNCTION("""COMPUTED_VALUE"""),37.22)</f>
        <v>37.22</v>
      </c>
      <c r="G996" s="3">
        <f>IFERROR(__xludf.DUMMYFUNCTION("""COMPUTED_VALUE"""),43321.99861111111)</f>
        <v>43321.99861</v>
      </c>
      <c r="H996" s="2">
        <f>IFERROR(__xludf.DUMMYFUNCTION("""COMPUTED_VALUE"""),6546.45)</f>
        <v>6546.45</v>
      </c>
    </row>
    <row r="997">
      <c r="A997" s="3">
        <f>IFERROR(__xludf.DUMMYFUNCTION("""COMPUTED_VALUE"""),43448.66666666667)</f>
        <v>43448.66667</v>
      </c>
      <c r="B997" s="2">
        <f>IFERROR(__xludf.DUMMYFUNCTION("""COMPUTED_VALUE"""),61.49)</f>
        <v>61.49</v>
      </c>
      <c r="D997" s="3">
        <f>IFERROR(__xludf.DUMMYFUNCTION("""COMPUTED_VALUE"""),43448.66666666667)</f>
        <v>43448.66667</v>
      </c>
      <c r="E997" s="2">
        <f>IFERROR(__xludf.DUMMYFUNCTION("""COMPUTED_VALUE"""),36.61)</f>
        <v>36.61</v>
      </c>
      <c r="G997" s="3">
        <f>IFERROR(__xludf.DUMMYFUNCTION("""COMPUTED_VALUE"""),43322.99861111111)</f>
        <v>43322.99861</v>
      </c>
      <c r="H997" s="2">
        <f>IFERROR(__xludf.DUMMYFUNCTION("""COMPUTED_VALUE"""),6146.01)</f>
        <v>6146.01</v>
      </c>
    </row>
    <row r="998">
      <c r="A998" s="3">
        <f>IFERROR(__xludf.DUMMYFUNCTION("""COMPUTED_VALUE"""),43451.66666666667)</f>
        <v>43451.66667</v>
      </c>
      <c r="B998" s="2">
        <f>IFERROR(__xludf.DUMMYFUNCTION("""COMPUTED_VALUE"""),59.9)</f>
        <v>59.9</v>
      </c>
      <c r="D998" s="3">
        <f>IFERROR(__xludf.DUMMYFUNCTION("""COMPUTED_VALUE"""),43451.66666666667)</f>
        <v>43451.66667</v>
      </c>
      <c r="E998" s="2">
        <f>IFERROR(__xludf.DUMMYFUNCTION("""COMPUTED_VALUE"""),35.9)</f>
        <v>35.9</v>
      </c>
      <c r="G998" s="3">
        <f>IFERROR(__xludf.DUMMYFUNCTION("""COMPUTED_VALUE"""),43323.99861111111)</f>
        <v>43323.99861</v>
      </c>
      <c r="H998" s="2">
        <f>IFERROR(__xludf.DUMMYFUNCTION("""COMPUTED_VALUE"""),6235.56)</f>
        <v>6235.56</v>
      </c>
    </row>
    <row r="999">
      <c r="A999" s="3">
        <f>IFERROR(__xludf.DUMMYFUNCTION("""COMPUTED_VALUE"""),43452.66666666667)</f>
        <v>43452.66667</v>
      </c>
      <c r="B999" s="2">
        <f>IFERROR(__xludf.DUMMYFUNCTION("""COMPUTED_VALUE"""),60.72)</f>
        <v>60.72</v>
      </c>
      <c r="D999" s="3">
        <f>IFERROR(__xludf.DUMMYFUNCTION("""COMPUTED_VALUE"""),43452.66666666667)</f>
        <v>43452.66667</v>
      </c>
      <c r="E999" s="2">
        <f>IFERROR(__xludf.DUMMYFUNCTION("""COMPUTED_VALUE"""),36.74)</f>
        <v>36.74</v>
      </c>
      <c r="G999" s="3">
        <f>IFERROR(__xludf.DUMMYFUNCTION("""COMPUTED_VALUE"""),43324.99861111111)</f>
        <v>43324.99861</v>
      </c>
      <c r="H999" s="2">
        <f>IFERROR(__xludf.DUMMYFUNCTION("""COMPUTED_VALUE"""),6316.01)</f>
        <v>6316.01</v>
      </c>
    </row>
    <row r="1000">
      <c r="A1000" s="3">
        <f>IFERROR(__xludf.DUMMYFUNCTION("""COMPUTED_VALUE"""),43453.66666666667)</f>
        <v>43453.66667</v>
      </c>
      <c r="B1000" s="2">
        <f>IFERROR(__xludf.DUMMYFUNCTION("""COMPUTED_VALUE"""),60.07)</f>
        <v>60.07</v>
      </c>
      <c r="D1000" s="3">
        <f>IFERROR(__xludf.DUMMYFUNCTION("""COMPUTED_VALUE"""),43453.66666666667)</f>
        <v>43453.66667</v>
      </c>
      <c r="E1000" s="2">
        <f>IFERROR(__xludf.DUMMYFUNCTION("""COMPUTED_VALUE"""),34.63)</f>
        <v>34.63</v>
      </c>
      <c r="G1000" s="3">
        <f>IFERROR(__xludf.DUMMYFUNCTION("""COMPUTED_VALUE"""),43325.99861111111)</f>
        <v>43325.99861</v>
      </c>
      <c r="H1000" s="2">
        <f>IFERROR(__xludf.DUMMYFUNCTION("""COMPUTED_VALUE"""),6253.67)</f>
        <v>6253.67</v>
      </c>
    </row>
    <row r="1001">
      <c r="A1001" s="3">
        <f>IFERROR(__xludf.DUMMYFUNCTION("""COMPUTED_VALUE"""),43454.66666666667)</f>
        <v>43454.66667</v>
      </c>
      <c r="B1001" s="2">
        <f>IFERROR(__xludf.DUMMYFUNCTION("""COMPUTED_VALUE"""),58.57)</f>
        <v>58.57</v>
      </c>
      <c r="D1001" s="3">
        <f>IFERROR(__xludf.DUMMYFUNCTION("""COMPUTED_VALUE"""),43454.66666666667)</f>
        <v>43454.66667</v>
      </c>
      <c r="E1001" s="2">
        <f>IFERROR(__xludf.DUMMYFUNCTION("""COMPUTED_VALUE"""),33.78)</f>
        <v>33.78</v>
      </c>
      <c r="G1001" s="3">
        <f>IFERROR(__xludf.DUMMYFUNCTION("""COMPUTED_VALUE"""),43326.99861111111)</f>
        <v>43326.99861</v>
      </c>
      <c r="H1001" s="2">
        <f>IFERROR(__xludf.DUMMYFUNCTION("""COMPUTED_VALUE"""),6195.01)</f>
        <v>6195.01</v>
      </c>
    </row>
    <row r="1002">
      <c r="A1002" s="3">
        <f>IFERROR(__xludf.DUMMYFUNCTION("""COMPUTED_VALUE"""),43455.66666666667)</f>
        <v>43455.66667</v>
      </c>
      <c r="B1002" s="2">
        <f>IFERROR(__xludf.DUMMYFUNCTION("""COMPUTED_VALUE"""),57.13)</f>
        <v>57.13</v>
      </c>
      <c r="D1002" s="3">
        <f>IFERROR(__xludf.DUMMYFUNCTION("""COMPUTED_VALUE"""),43455.66666666667)</f>
        <v>43455.66667</v>
      </c>
      <c r="E1002" s="2">
        <f>IFERROR(__xludf.DUMMYFUNCTION("""COMPUTED_VALUE"""),32.39)</f>
        <v>32.39</v>
      </c>
      <c r="G1002" s="3">
        <f>IFERROR(__xludf.DUMMYFUNCTION("""COMPUTED_VALUE"""),43327.99861111111)</f>
        <v>43327.99861</v>
      </c>
      <c r="H1002" s="2">
        <f>IFERROR(__xludf.DUMMYFUNCTION("""COMPUTED_VALUE"""),6269.01)</f>
        <v>6269.01</v>
      </c>
    </row>
    <row r="1003">
      <c r="A1003" s="3">
        <f>IFERROR(__xludf.DUMMYFUNCTION("""COMPUTED_VALUE"""),43458.54166666667)</f>
        <v>43458.54167</v>
      </c>
      <c r="B1003" s="2">
        <f>IFERROR(__xludf.DUMMYFUNCTION("""COMPUTED_VALUE"""),56.04)</f>
        <v>56.04</v>
      </c>
      <c r="D1003" s="3">
        <f>IFERROR(__xludf.DUMMYFUNCTION("""COMPUTED_VALUE"""),43458.54166666667)</f>
        <v>43458.54167</v>
      </c>
      <c r="E1003" s="2">
        <f>IFERROR(__xludf.DUMMYFUNCTION("""COMPUTED_VALUE"""),31.77)</f>
        <v>31.77</v>
      </c>
      <c r="G1003" s="3">
        <f>IFERROR(__xludf.DUMMYFUNCTION("""COMPUTED_VALUE"""),43328.99861111111)</f>
        <v>43328.99861</v>
      </c>
      <c r="H1003" s="2">
        <f>IFERROR(__xludf.DUMMYFUNCTION("""COMPUTED_VALUE"""),6315.9)</f>
        <v>6315.9</v>
      </c>
    </row>
    <row r="1004">
      <c r="A1004" s="3">
        <f>IFERROR(__xludf.DUMMYFUNCTION("""COMPUTED_VALUE"""),43460.66666666667)</f>
        <v>43460.66667</v>
      </c>
      <c r="B1004" s="2">
        <f>IFERROR(__xludf.DUMMYFUNCTION("""COMPUTED_VALUE"""),58.7)</f>
        <v>58.7</v>
      </c>
      <c r="D1004" s="3">
        <f>IFERROR(__xludf.DUMMYFUNCTION("""COMPUTED_VALUE"""),43460.66666666667)</f>
        <v>43460.66667</v>
      </c>
      <c r="E1004" s="2">
        <f>IFERROR(__xludf.DUMMYFUNCTION("""COMPUTED_VALUE"""),33.28)</f>
        <v>33.28</v>
      </c>
      <c r="G1004" s="3">
        <f>IFERROR(__xludf.DUMMYFUNCTION("""COMPUTED_VALUE"""),43329.99861111111)</f>
        <v>43329.99861</v>
      </c>
      <c r="H1004" s="2">
        <f>IFERROR(__xludf.DUMMYFUNCTION("""COMPUTED_VALUE"""),6585.49)</f>
        <v>6585.49</v>
      </c>
    </row>
    <row r="1005">
      <c r="A1005" s="3">
        <f>IFERROR(__xludf.DUMMYFUNCTION("""COMPUTED_VALUE"""),43461.66666666667)</f>
        <v>43461.66667</v>
      </c>
      <c r="B1005" s="2">
        <f>IFERROR(__xludf.DUMMYFUNCTION("""COMPUTED_VALUE"""),59.45)</f>
        <v>59.45</v>
      </c>
      <c r="D1005" s="3">
        <f>IFERROR(__xludf.DUMMYFUNCTION("""COMPUTED_VALUE"""),43461.66666666667)</f>
        <v>43461.66667</v>
      </c>
      <c r="E1005" s="2">
        <f>IFERROR(__xludf.DUMMYFUNCTION("""COMPUTED_VALUE"""),32.79)</f>
        <v>32.79</v>
      </c>
      <c r="G1005" s="3">
        <f>IFERROR(__xludf.DUMMYFUNCTION("""COMPUTED_VALUE"""),43330.99861111111)</f>
        <v>43330.99861</v>
      </c>
      <c r="H1005" s="2">
        <f>IFERROR(__xludf.DUMMYFUNCTION("""COMPUTED_VALUE"""),6396.64)</f>
        <v>6396.64</v>
      </c>
    </row>
    <row r="1006">
      <c r="A1006" s="3">
        <f>IFERROR(__xludf.DUMMYFUNCTION("""COMPUTED_VALUE"""),43462.66666666667)</f>
        <v>43462.66667</v>
      </c>
      <c r="B1006" s="2">
        <f>IFERROR(__xludf.DUMMYFUNCTION("""COMPUTED_VALUE"""),60.13)</f>
        <v>60.13</v>
      </c>
      <c r="D1006" s="3">
        <f>IFERROR(__xludf.DUMMYFUNCTION("""COMPUTED_VALUE"""),43462.66666666667)</f>
        <v>43462.66667</v>
      </c>
      <c r="E1006" s="2">
        <f>IFERROR(__xludf.DUMMYFUNCTION("""COMPUTED_VALUE"""),33.41)</f>
        <v>33.41</v>
      </c>
      <c r="G1006" s="3">
        <f>IFERROR(__xludf.DUMMYFUNCTION("""COMPUTED_VALUE"""),43331.99861111111)</f>
        <v>43331.99861</v>
      </c>
      <c r="H1006" s="2">
        <f>IFERROR(__xludf.DUMMYFUNCTION("""COMPUTED_VALUE"""),6489.53)</f>
        <v>6489.53</v>
      </c>
    </row>
    <row r="1007">
      <c r="A1007" s="3">
        <f>IFERROR(__xludf.DUMMYFUNCTION("""COMPUTED_VALUE"""),43465.66666666667)</f>
        <v>43465.66667</v>
      </c>
      <c r="B1007" s="2">
        <f>IFERROR(__xludf.DUMMYFUNCTION("""COMPUTED_VALUE"""),62.08)</f>
        <v>62.08</v>
      </c>
      <c r="D1007" s="3">
        <f>IFERROR(__xludf.DUMMYFUNCTION("""COMPUTED_VALUE"""),43465.66666666667)</f>
        <v>43465.66667</v>
      </c>
      <c r="E1007" s="2">
        <f>IFERROR(__xludf.DUMMYFUNCTION("""COMPUTED_VALUE"""),33.38)</f>
        <v>33.38</v>
      </c>
      <c r="G1007" s="3">
        <f>IFERROR(__xludf.DUMMYFUNCTION("""COMPUTED_VALUE"""),43332.99861111111)</f>
        <v>43332.99861</v>
      </c>
      <c r="H1007" s="2">
        <f>IFERROR(__xludf.DUMMYFUNCTION("""COMPUTED_VALUE"""),6258.74)</f>
        <v>6258.74</v>
      </c>
    </row>
    <row r="1008">
      <c r="A1008" s="3">
        <f>IFERROR(__xludf.DUMMYFUNCTION("""COMPUTED_VALUE"""),43467.66666666667)</f>
        <v>43467.66667</v>
      </c>
      <c r="B1008" s="2">
        <f>IFERROR(__xludf.DUMMYFUNCTION("""COMPUTED_VALUE"""),61.42)</f>
        <v>61.42</v>
      </c>
      <c r="D1008" s="3">
        <f>IFERROR(__xludf.DUMMYFUNCTION("""COMPUTED_VALUE"""),43467.66666666667)</f>
        <v>43467.66667</v>
      </c>
      <c r="E1008" s="2">
        <f>IFERROR(__xludf.DUMMYFUNCTION("""COMPUTED_VALUE"""),34.06)</f>
        <v>34.06</v>
      </c>
      <c r="G1008" s="3">
        <f>IFERROR(__xludf.DUMMYFUNCTION("""COMPUTED_VALUE"""),43333.99861111111)</f>
        <v>43333.99861</v>
      </c>
      <c r="H1008" s="2">
        <f>IFERROR(__xludf.DUMMYFUNCTION("""COMPUTED_VALUE"""),6475.89)</f>
        <v>6475.89</v>
      </c>
    </row>
    <row r="1009">
      <c r="A1009" s="3">
        <f>IFERROR(__xludf.DUMMYFUNCTION("""COMPUTED_VALUE"""),43468.66666666667)</f>
        <v>43468.66667</v>
      </c>
      <c r="B1009" s="2">
        <f>IFERROR(__xludf.DUMMYFUNCTION("""COMPUTED_VALUE"""),58.32)</f>
        <v>58.32</v>
      </c>
      <c r="D1009" s="3">
        <f>IFERROR(__xludf.DUMMYFUNCTION("""COMPUTED_VALUE"""),43468.66666666667)</f>
        <v>43468.66667</v>
      </c>
      <c r="E1009" s="2">
        <f>IFERROR(__xludf.DUMMYFUNCTION("""COMPUTED_VALUE"""),32.0)</f>
        <v>32</v>
      </c>
      <c r="G1009" s="3">
        <f>IFERROR(__xludf.DUMMYFUNCTION("""COMPUTED_VALUE"""),43334.99861111111)</f>
        <v>43334.99861</v>
      </c>
      <c r="H1009" s="2">
        <f>IFERROR(__xludf.DUMMYFUNCTION("""COMPUTED_VALUE"""),6359.99)</f>
        <v>6359.99</v>
      </c>
    </row>
    <row r="1010">
      <c r="A1010" s="3">
        <f>IFERROR(__xludf.DUMMYFUNCTION("""COMPUTED_VALUE"""),43469.66666666667)</f>
        <v>43469.66667</v>
      </c>
      <c r="B1010" s="2">
        <f>IFERROR(__xludf.DUMMYFUNCTION("""COMPUTED_VALUE"""),61.95)</f>
        <v>61.95</v>
      </c>
      <c r="D1010" s="3">
        <f>IFERROR(__xludf.DUMMYFUNCTION("""COMPUTED_VALUE"""),43469.66666666667)</f>
        <v>43469.66667</v>
      </c>
      <c r="E1010" s="2">
        <f>IFERROR(__xludf.DUMMYFUNCTION("""COMPUTED_VALUE"""),34.05)</f>
        <v>34.05</v>
      </c>
      <c r="G1010" s="3">
        <f>IFERROR(__xludf.DUMMYFUNCTION("""COMPUTED_VALUE"""),43335.99861111111)</f>
        <v>43335.99861</v>
      </c>
      <c r="H1010" s="2">
        <f>IFERROR(__xludf.DUMMYFUNCTION("""COMPUTED_VALUE"""),6526.36)</f>
        <v>6526.36</v>
      </c>
    </row>
    <row r="1011">
      <c r="A1011" s="3">
        <f>IFERROR(__xludf.DUMMYFUNCTION("""COMPUTED_VALUE"""),43472.66666666667)</f>
        <v>43472.66667</v>
      </c>
      <c r="B1011" s="2">
        <f>IFERROR(__xludf.DUMMYFUNCTION("""COMPUTED_VALUE"""),64.49)</f>
        <v>64.49</v>
      </c>
      <c r="D1011" s="3">
        <f>IFERROR(__xludf.DUMMYFUNCTION("""COMPUTED_VALUE"""),43472.66666666667)</f>
        <v>43472.66667</v>
      </c>
      <c r="E1011" s="2">
        <f>IFERROR(__xludf.DUMMYFUNCTION("""COMPUTED_VALUE"""),35.85)</f>
        <v>35.85</v>
      </c>
      <c r="G1011" s="3">
        <f>IFERROR(__xludf.DUMMYFUNCTION("""COMPUTED_VALUE"""),43336.99861111111)</f>
        <v>43336.99861</v>
      </c>
      <c r="H1011" s="2">
        <f>IFERROR(__xludf.DUMMYFUNCTION("""COMPUTED_VALUE"""),6690.88)</f>
        <v>6690.88</v>
      </c>
    </row>
    <row r="1012">
      <c r="A1012" s="3">
        <f>IFERROR(__xludf.DUMMYFUNCTION("""COMPUTED_VALUE"""),43473.66666666667)</f>
        <v>43473.66667</v>
      </c>
      <c r="B1012" s="2">
        <f>IFERROR(__xludf.DUMMYFUNCTION("""COMPUTED_VALUE"""),65.65)</f>
        <v>65.65</v>
      </c>
      <c r="D1012" s="3">
        <f>IFERROR(__xludf.DUMMYFUNCTION("""COMPUTED_VALUE"""),43473.66666666667)</f>
        <v>43473.66667</v>
      </c>
      <c r="E1012" s="2">
        <f>IFERROR(__xludf.DUMMYFUNCTION("""COMPUTED_VALUE"""),34.96)</f>
        <v>34.96</v>
      </c>
      <c r="G1012" s="3">
        <f>IFERROR(__xludf.DUMMYFUNCTION("""COMPUTED_VALUE"""),43337.99861111111)</f>
        <v>43337.99861</v>
      </c>
      <c r="H1012" s="2">
        <f>IFERROR(__xludf.DUMMYFUNCTION("""COMPUTED_VALUE"""),6737.52)</f>
        <v>6737.52</v>
      </c>
    </row>
    <row r="1013">
      <c r="A1013" s="3">
        <f>IFERROR(__xludf.DUMMYFUNCTION("""COMPUTED_VALUE"""),43474.66666666667)</f>
        <v>43474.66667</v>
      </c>
      <c r="B1013" s="2">
        <f>IFERROR(__xludf.DUMMYFUNCTION("""COMPUTED_VALUE"""),67.07)</f>
        <v>67.07</v>
      </c>
      <c r="D1013" s="3">
        <f>IFERROR(__xludf.DUMMYFUNCTION("""COMPUTED_VALUE"""),43474.66666666667)</f>
        <v>43474.66667</v>
      </c>
      <c r="E1013" s="2">
        <f>IFERROR(__xludf.DUMMYFUNCTION("""COMPUTED_VALUE"""),35.65)</f>
        <v>35.65</v>
      </c>
      <c r="G1013" s="3">
        <f>IFERROR(__xludf.DUMMYFUNCTION("""COMPUTED_VALUE"""),43338.99861111111)</f>
        <v>43338.99861</v>
      </c>
      <c r="H1013" s="2">
        <f>IFERROR(__xludf.DUMMYFUNCTION("""COMPUTED_VALUE"""),6709.98)</f>
        <v>6709.98</v>
      </c>
    </row>
    <row r="1014">
      <c r="A1014" s="3">
        <f>IFERROR(__xludf.DUMMYFUNCTION("""COMPUTED_VALUE"""),43475.66666666667)</f>
        <v>43475.66667</v>
      </c>
      <c r="B1014" s="2">
        <f>IFERROR(__xludf.DUMMYFUNCTION("""COMPUTED_VALUE"""),67.26)</f>
        <v>67.26</v>
      </c>
      <c r="D1014" s="3">
        <f>IFERROR(__xludf.DUMMYFUNCTION("""COMPUTED_VALUE"""),43475.66666666667)</f>
        <v>43475.66667</v>
      </c>
      <c r="E1014" s="2">
        <f>IFERROR(__xludf.DUMMYFUNCTION("""COMPUTED_VALUE"""),36.31)</f>
        <v>36.31</v>
      </c>
      <c r="G1014" s="3">
        <f>IFERROR(__xludf.DUMMYFUNCTION("""COMPUTED_VALUE"""),43339.99861111111)</f>
        <v>43339.99861</v>
      </c>
      <c r="H1014" s="2">
        <f>IFERROR(__xludf.DUMMYFUNCTION("""COMPUTED_VALUE"""),6911.9)</f>
        <v>6911.9</v>
      </c>
    </row>
    <row r="1015">
      <c r="A1015" s="3">
        <f>IFERROR(__xludf.DUMMYFUNCTION("""COMPUTED_VALUE"""),43476.66666666667)</f>
        <v>43476.66667</v>
      </c>
      <c r="B1015" s="2">
        <f>IFERROR(__xludf.DUMMYFUNCTION("""COMPUTED_VALUE"""),67.24)</f>
        <v>67.24</v>
      </c>
      <c r="D1015" s="3">
        <f>IFERROR(__xludf.DUMMYFUNCTION("""COMPUTED_VALUE"""),43476.66666666667)</f>
        <v>43476.66667</v>
      </c>
      <c r="E1015" s="2">
        <f>IFERROR(__xludf.DUMMYFUNCTION("""COMPUTED_VALUE"""),37.21)</f>
        <v>37.21</v>
      </c>
      <c r="G1015" s="3">
        <f>IFERROR(__xludf.DUMMYFUNCTION("""COMPUTED_VALUE"""),43340.99861111111)</f>
        <v>43340.99861</v>
      </c>
      <c r="H1015" s="2">
        <f>IFERROR(__xludf.DUMMYFUNCTION("""COMPUTED_VALUE"""),7071.01)</f>
        <v>7071.01</v>
      </c>
    </row>
    <row r="1016">
      <c r="A1016" s="3">
        <f>IFERROR(__xludf.DUMMYFUNCTION("""COMPUTED_VALUE"""),43479.66666666667)</f>
        <v>43479.66667</v>
      </c>
      <c r="B1016" s="2">
        <f>IFERROR(__xludf.DUMMYFUNCTION("""COMPUTED_VALUE"""),67.31)</f>
        <v>67.31</v>
      </c>
      <c r="D1016" s="3">
        <f>IFERROR(__xludf.DUMMYFUNCTION("""COMPUTED_VALUE"""),43479.66666666667)</f>
        <v>43479.66667</v>
      </c>
      <c r="E1016" s="2">
        <f>IFERROR(__xludf.DUMMYFUNCTION("""COMPUTED_VALUE"""),37.61)</f>
        <v>37.61</v>
      </c>
      <c r="G1016" s="3">
        <f>IFERROR(__xludf.DUMMYFUNCTION("""COMPUTED_VALUE"""),43341.99861111111)</f>
        <v>43341.99861</v>
      </c>
      <c r="H1016" s="2">
        <f>IFERROR(__xludf.DUMMYFUNCTION("""COMPUTED_VALUE"""),7030.9)</f>
        <v>7030.9</v>
      </c>
    </row>
    <row r="1017">
      <c r="A1017" s="3">
        <f>IFERROR(__xludf.DUMMYFUNCTION("""COMPUTED_VALUE"""),43480.66666666667)</f>
        <v>43480.66667</v>
      </c>
      <c r="B1017" s="2">
        <f>IFERROR(__xludf.DUMMYFUNCTION("""COMPUTED_VALUE"""),68.51)</f>
        <v>68.51</v>
      </c>
      <c r="D1017" s="3">
        <f>IFERROR(__xludf.DUMMYFUNCTION("""COMPUTED_VALUE"""),43480.66666666667)</f>
        <v>43480.66667</v>
      </c>
      <c r="E1017" s="2">
        <f>IFERROR(__xludf.DUMMYFUNCTION("""COMPUTED_VALUE"""),37.47)</f>
        <v>37.47</v>
      </c>
      <c r="G1017" s="3">
        <f>IFERROR(__xludf.DUMMYFUNCTION("""COMPUTED_VALUE"""),43342.99861111111)</f>
        <v>43342.99861</v>
      </c>
      <c r="H1017" s="2">
        <f>IFERROR(__xludf.DUMMYFUNCTION("""COMPUTED_VALUE"""),6983.0)</f>
        <v>6983</v>
      </c>
    </row>
    <row r="1018">
      <c r="A1018" s="3">
        <f>IFERROR(__xludf.DUMMYFUNCTION("""COMPUTED_VALUE"""),43481.66666666667)</f>
        <v>43481.66667</v>
      </c>
      <c r="B1018" s="2">
        <f>IFERROR(__xludf.DUMMYFUNCTION("""COMPUTED_VALUE"""),69.05)</f>
        <v>69.05</v>
      </c>
      <c r="D1018" s="3">
        <f>IFERROR(__xludf.DUMMYFUNCTION("""COMPUTED_VALUE"""),43481.66666666667)</f>
        <v>43481.66667</v>
      </c>
      <c r="E1018" s="2">
        <f>IFERROR(__xludf.DUMMYFUNCTION("""COMPUTED_VALUE"""),37.21)</f>
        <v>37.21</v>
      </c>
      <c r="G1018" s="3">
        <f>IFERROR(__xludf.DUMMYFUNCTION("""COMPUTED_VALUE"""),43343.99861111111)</f>
        <v>43343.99861</v>
      </c>
      <c r="H1018" s="2">
        <f>IFERROR(__xludf.DUMMYFUNCTION("""COMPUTED_VALUE"""),7015.01)</f>
        <v>7015.01</v>
      </c>
    </row>
    <row r="1019">
      <c r="A1019" s="3">
        <f>IFERROR(__xludf.DUMMYFUNCTION("""COMPUTED_VALUE"""),43482.66666666667)</f>
        <v>43482.66667</v>
      </c>
      <c r="B1019" s="2">
        <f>IFERROR(__xludf.DUMMYFUNCTION("""COMPUTED_VALUE"""),69.22)</f>
        <v>69.22</v>
      </c>
      <c r="D1019" s="3">
        <f>IFERROR(__xludf.DUMMYFUNCTION("""COMPUTED_VALUE"""),43482.66666666667)</f>
        <v>43482.66667</v>
      </c>
      <c r="E1019" s="2">
        <f>IFERROR(__xludf.DUMMYFUNCTION("""COMPUTED_VALUE"""),37.93)</f>
        <v>37.93</v>
      </c>
      <c r="G1019" s="3">
        <f>IFERROR(__xludf.DUMMYFUNCTION("""COMPUTED_VALUE"""),43344.99861111111)</f>
        <v>43344.99861</v>
      </c>
      <c r="H1019" s="2">
        <f>IFERROR(__xludf.DUMMYFUNCTION("""COMPUTED_VALUE"""),7191.08)</f>
        <v>7191.08</v>
      </c>
    </row>
    <row r="1020">
      <c r="A1020" s="3">
        <f>IFERROR(__xludf.DUMMYFUNCTION("""COMPUTED_VALUE"""),43483.66666666667)</f>
        <v>43483.66667</v>
      </c>
      <c r="B1020" s="2">
        <f>IFERROR(__xludf.DUMMYFUNCTION("""COMPUTED_VALUE"""),69.58)</f>
        <v>69.58</v>
      </c>
      <c r="D1020" s="3">
        <f>IFERROR(__xludf.DUMMYFUNCTION("""COMPUTED_VALUE"""),43483.66666666667)</f>
        <v>43483.66667</v>
      </c>
      <c r="E1020" s="2">
        <f>IFERROR(__xludf.DUMMYFUNCTION("""COMPUTED_VALUE"""),39.23)</f>
        <v>39.23</v>
      </c>
      <c r="G1020" s="3">
        <f>IFERROR(__xludf.DUMMYFUNCTION("""COMPUTED_VALUE"""),43345.99861111111)</f>
        <v>43345.99861</v>
      </c>
      <c r="H1020" s="2">
        <f>IFERROR(__xludf.DUMMYFUNCTION("""COMPUTED_VALUE"""),7295.0)</f>
        <v>7295</v>
      </c>
    </row>
    <row r="1021">
      <c r="A1021" s="3">
        <f>IFERROR(__xludf.DUMMYFUNCTION("""COMPUTED_VALUE"""),43487.66666666667)</f>
        <v>43487.66667</v>
      </c>
      <c r="B1021" s="2">
        <f>IFERROR(__xludf.DUMMYFUNCTION("""COMPUTED_VALUE"""),67.8)</f>
        <v>67.8</v>
      </c>
      <c r="D1021" s="3">
        <f>IFERROR(__xludf.DUMMYFUNCTION("""COMPUTED_VALUE"""),43487.66666666667)</f>
        <v>43487.66667</v>
      </c>
      <c r="E1021" s="2">
        <f>IFERROR(__xludf.DUMMYFUNCTION("""COMPUTED_VALUE"""),37.19)</f>
        <v>37.19</v>
      </c>
      <c r="G1021" s="3">
        <f>IFERROR(__xludf.DUMMYFUNCTION("""COMPUTED_VALUE"""),43346.99861111111)</f>
        <v>43346.99861</v>
      </c>
      <c r="H1021" s="2">
        <f>IFERROR(__xludf.DUMMYFUNCTION("""COMPUTED_VALUE"""),7256.98)</f>
        <v>7256.98</v>
      </c>
    </row>
    <row r="1022">
      <c r="A1022" s="3">
        <f>IFERROR(__xludf.DUMMYFUNCTION("""COMPUTED_VALUE"""),43488.66666666667)</f>
        <v>43488.66667</v>
      </c>
      <c r="B1022" s="2">
        <f>IFERROR(__xludf.DUMMYFUNCTION("""COMPUTED_VALUE"""),67.62)</f>
        <v>67.62</v>
      </c>
      <c r="D1022" s="3">
        <f>IFERROR(__xludf.DUMMYFUNCTION("""COMPUTED_VALUE"""),43488.66666666667)</f>
        <v>43488.66667</v>
      </c>
      <c r="E1022" s="2">
        <f>IFERROR(__xludf.DUMMYFUNCTION("""COMPUTED_VALUE"""),37.32)</f>
        <v>37.32</v>
      </c>
      <c r="G1022" s="3">
        <f>IFERROR(__xludf.DUMMYFUNCTION("""COMPUTED_VALUE"""),43347.99861111111)</f>
        <v>43347.99861</v>
      </c>
      <c r="H1022" s="2">
        <f>IFERROR(__xludf.DUMMYFUNCTION("""COMPUTED_VALUE"""),7360.0)</f>
        <v>7360</v>
      </c>
    </row>
    <row r="1023">
      <c r="A1023" s="3">
        <f>IFERROR(__xludf.DUMMYFUNCTION("""COMPUTED_VALUE"""),43489.66666666667)</f>
        <v>43489.66667</v>
      </c>
      <c r="B1023" s="2">
        <f>IFERROR(__xludf.DUMMYFUNCTION("""COMPUTED_VALUE"""),70.65)</f>
        <v>70.65</v>
      </c>
      <c r="D1023" s="3">
        <f>IFERROR(__xludf.DUMMYFUNCTION("""COMPUTED_VALUE"""),43489.66666666667)</f>
        <v>43489.66667</v>
      </c>
      <c r="E1023" s="2">
        <f>IFERROR(__xludf.DUMMYFUNCTION("""COMPUTED_VALUE"""),39.46)</f>
        <v>39.46</v>
      </c>
      <c r="G1023" s="3">
        <f>IFERROR(__xludf.DUMMYFUNCTION("""COMPUTED_VALUE"""),43348.99861111111)</f>
        <v>43348.99861</v>
      </c>
      <c r="H1023" s="2">
        <f>IFERROR(__xludf.DUMMYFUNCTION("""COMPUTED_VALUE"""),6687.96)</f>
        <v>6687.96</v>
      </c>
    </row>
    <row r="1024">
      <c r="A1024" s="3">
        <f>IFERROR(__xludf.DUMMYFUNCTION("""COMPUTED_VALUE"""),43490.66666666667)</f>
        <v>43490.66667</v>
      </c>
      <c r="B1024" s="2">
        <f>IFERROR(__xludf.DUMMYFUNCTION("""COMPUTED_VALUE"""),71.07)</f>
        <v>71.07</v>
      </c>
      <c r="D1024" s="3">
        <f>IFERROR(__xludf.DUMMYFUNCTION("""COMPUTED_VALUE"""),43490.66666666667)</f>
        <v>43490.66667</v>
      </c>
      <c r="E1024" s="2">
        <f>IFERROR(__xludf.DUMMYFUNCTION("""COMPUTED_VALUE"""),40.04)</f>
        <v>40.04</v>
      </c>
      <c r="G1024" s="3">
        <f>IFERROR(__xludf.DUMMYFUNCTION("""COMPUTED_VALUE"""),43349.99861111111)</f>
        <v>43349.99861</v>
      </c>
      <c r="H1024" s="2">
        <f>IFERROR(__xludf.DUMMYFUNCTION("""COMPUTED_VALUE"""),6495.0)</f>
        <v>6495</v>
      </c>
    </row>
    <row r="1025">
      <c r="A1025" s="3">
        <f>IFERROR(__xludf.DUMMYFUNCTION("""COMPUTED_VALUE"""),43493.66666666667)</f>
        <v>43493.66667</v>
      </c>
      <c r="B1025" s="2">
        <f>IFERROR(__xludf.DUMMYFUNCTION("""COMPUTED_VALUE"""),72.29)</f>
        <v>72.29</v>
      </c>
      <c r="D1025" s="3">
        <f>IFERROR(__xludf.DUMMYFUNCTION("""COMPUTED_VALUE"""),43493.66666666667)</f>
        <v>43493.66667</v>
      </c>
      <c r="E1025" s="2">
        <f>IFERROR(__xludf.DUMMYFUNCTION("""COMPUTED_VALUE"""),34.5)</f>
        <v>34.5</v>
      </c>
      <c r="G1025" s="3">
        <f>IFERROR(__xludf.DUMMYFUNCTION("""COMPUTED_VALUE"""),43350.99861111111)</f>
        <v>43350.99861</v>
      </c>
      <c r="H1025" s="2">
        <f>IFERROR(__xludf.DUMMYFUNCTION("""COMPUTED_VALUE"""),6395.01)</f>
        <v>6395.01</v>
      </c>
    </row>
    <row r="1026">
      <c r="A1026" s="3">
        <f>IFERROR(__xludf.DUMMYFUNCTION("""COMPUTED_VALUE"""),43494.66666666667)</f>
        <v>43494.66667</v>
      </c>
      <c r="B1026" s="2">
        <f>IFERROR(__xludf.DUMMYFUNCTION("""COMPUTED_VALUE"""),71.65)</f>
        <v>71.65</v>
      </c>
      <c r="D1026" s="3">
        <f>IFERROR(__xludf.DUMMYFUNCTION("""COMPUTED_VALUE"""),43494.66666666667)</f>
        <v>43494.66667</v>
      </c>
      <c r="E1026" s="2">
        <f>IFERROR(__xludf.DUMMYFUNCTION("""COMPUTED_VALUE"""),32.9)</f>
        <v>32.9</v>
      </c>
      <c r="G1026" s="3">
        <f>IFERROR(__xludf.DUMMYFUNCTION("""COMPUTED_VALUE"""),43351.99861111111)</f>
        <v>43351.99861</v>
      </c>
      <c r="H1026" s="2">
        <f>IFERROR(__xludf.DUMMYFUNCTION("""COMPUTED_VALUE"""),6188.0)</f>
        <v>6188</v>
      </c>
    </row>
    <row r="1027">
      <c r="A1027" s="3">
        <f>IFERROR(__xludf.DUMMYFUNCTION("""COMPUTED_VALUE"""),43495.66666666667)</f>
        <v>43495.66667</v>
      </c>
      <c r="B1027" s="2">
        <f>IFERROR(__xludf.DUMMYFUNCTION("""COMPUTED_VALUE"""),73.3)</f>
        <v>73.3</v>
      </c>
      <c r="D1027" s="3">
        <f>IFERROR(__xludf.DUMMYFUNCTION("""COMPUTED_VALUE"""),43495.66666666667)</f>
        <v>43495.66667</v>
      </c>
      <c r="E1027" s="2">
        <f>IFERROR(__xludf.DUMMYFUNCTION("""COMPUTED_VALUE"""),34.35)</f>
        <v>34.35</v>
      </c>
      <c r="G1027" s="3">
        <f>IFERROR(__xludf.DUMMYFUNCTION("""COMPUTED_VALUE"""),43352.99861111111)</f>
        <v>43352.99861</v>
      </c>
      <c r="H1027" s="2">
        <f>IFERROR(__xludf.DUMMYFUNCTION("""COMPUTED_VALUE"""),6235.01)</f>
        <v>6235.01</v>
      </c>
    </row>
    <row r="1028">
      <c r="A1028" s="3">
        <f>IFERROR(__xludf.DUMMYFUNCTION("""COMPUTED_VALUE"""),43496.66666666667)</f>
        <v>43496.66667</v>
      </c>
      <c r="B1028" s="2">
        <f>IFERROR(__xludf.DUMMYFUNCTION("""COMPUTED_VALUE"""),74.02)</f>
        <v>74.02</v>
      </c>
      <c r="D1028" s="3">
        <f>IFERROR(__xludf.DUMMYFUNCTION("""COMPUTED_VALUE"""),43496.66666666667)</f>
        <v>43496.66667</v>
      </c>
      <c r="E1028" s="2">
        <f>IFERROR(__xludf.DUMMYFUNCTION("""COMPUTED_VALUE"""),35.94)</f>
        <v>35.94</v>
      </c>
      <c r="G1028" s="3">
        <f>IFERROR(__xludf.DUMMYFUNCTION("""COMPUTED_VALUE"""),43353.99861111111)</f>
        <v>43353.99861</v>
      </c>
      <c r="H1028" s="2">
        <f>IFERROR(__xludf.DUMMYFUNCTION("""COMPUTED_VALUE"""),6300.0)</f>
        <v>6300</v>
      </c>
    </row>
    <row r="1029">
      <c r="A1029" s="3">
        <f>IFERROR(__xludf.DUMMYFUNCTION("""COMPUTED_VALUE"""),43497.66666666667)</f>
        <v>43497.66667</v>
      </c>
      <c r="B1029" s="2">
        <f>IFERROR(__xludf.DUMMYFUNCTION("""COMPUTED_VALUE"""),75.18)</f>
        <v>75.18</v>
      </c>
      <c r="D1029" s="3">
        <f>IFERROR(__xludf.DUMMYFUNCTION("""COMPUTED_VALUE"""),43497.66666666667)</f>
        <v>43497.66667</v>
      </c>
      <c r="E1029" s="2">
        <f>IFERROR(__xludf.DUMMYFUNCTION("""COMPUTED_VALUE"""),36.18)</f>
        <v>36.18</v>
      </c>
      <c r="G1029" s="3">
        <f>IFERROR(__xludf.DUMMYFUNCTION("""COMPUTED_VALUE"""),43354.99861111111)</f>
        <v>43354.99861</v>
      </c>
      <c r="H1029" s="2">
        <f>IFERROR(__xludf.DUMMYFUNCTION("""COMPUTED_VALUE"""),6282.53)</f>
        <v>6282.53</v>
      </c>
    </row>
    <row r="1030">
      <c r="A1030" s="3">
        <f>IFERROR(__xludf.DUMMYFUNCTION("""COMPUTED_VALUE"""),43500.66666666667)</f>
        <v>43500.66667</v>
      </c>
      <c r="B1030" s="2">
        <f>IFERROR(__xludf.DUMMYFUNCTION("""COMPUTED_VALUE"""),75.39)</f>
        <v>75.39</v>
      </c>
      <c r="D1030" s="3">
        <f>IFERROR(__xludf.DUMMYFUNCTION("""COMPUTED_VALUE"""),43500.66666666667)</f>
        <v>43500.66667</v>
      </c>
      <c r="E1030" s="2">
        <f>IFERROR(__xludf.DUMMYFUNCTION("""COMPUTED_VALUE"""),37.3)</f>
        <v>37.3</v>
      </c>
      <c r="G1030" s="3">
        <f>IFERROR(__xludf.DUMMYFUNCTION("""COMPUTED_VALUE"""),43355.99861111111)</f>
        <v>43355.99861</v>
      </c>
      <c r="H1030" s="2">
        <f>IFERROR(__xludf.DUMMYFUNCTION("""COMPUTED_VALUE"""),6326.0)</f>
        <v>6326</v>
      </c>
    </row>
    <row r="1031">
      <c r="A1031" s="3">
        <f>IFERROR(__xludf.DUMMYFUNCTION("""COMPUTED_VALUE"""),43501.66666666667)</f>
        <v>43501.66667</v>
      </c>
      <c r="B1031" s="2">
        <f>IFERROR(__xludf.DUMMYFUNCTION("""COMPUTED_VALUE"""),75.64)</f>
        <v>75.64</v>
      </c>
      <c r="D1031" s="3">
        <f>IFERROR(__xludf.DUMMYFUNCTION("""COMPUTED_VALUE"""),43501.66666666667)</f>
        <v>43501.66667</v>
      </c>
      <c r="E1031" s="2">
        <f>IFERROR(__xludf.DUMMYFUNCTION("""COMPUTED_VALUE"""),37.49)</f>
        <v>37.49</v>
      </c>
      <c r="G1031" s="3">
        <f>IFERROR(__xludf.DUMMYFUNCTION("""COMPUTED_VALUE"""),43356.99861111111)</f>
        <v>43356.99861</v>
      </c>
      <c r="H1031" s="2">
        <f>IFERROR(__xludf.DUMMYFUNCTION("""COMPUTED_VALUE"""),6485.99)</f>
        <v>6485.99</v>
      </c>
    </row>
    <row r="1032">
      <c r="A1032" s="3">
        <f>IFERROR(__xludf.DUMMYFUNCTION("""COMPUTED_VALUE"""),43502.66666666667)</f>
        <v>43502.66667</v>
      </c>
      <c r="B1032" s="2">
        <f>IFERROR(__xludf.DUMMYFUNCTION("""COMPUTED_VALUE"""),77.05)</f>
        <v>77.05</v>
      </c>
      <c r="D1032" s="3">
        <f>IFERROR(__xludf.DUMMYFUNCTION("""COMPUTED_VALUE"""),43502.66666666667)</f>
        <v>43502.66667</v>
      </c>
      <c r="E1032" s="2">
        <f>IFERROR(__xludf.DUMMYFUNCTION("""COMPUTED_VALUE"""),38.25)</f>
        <v>38.25</v>
      </c>
      <c r="G1032" s="3">
        <f>IFERROR(__xludf.DUMMYFUNCTION("""COMPUTED_VALUE"""),43357.99861111111)</f>
        <v>43357.99861</v>
      </c>
      <c r="H1032" s="2">
        <f>IFERROR(__xludf.DUMMYFUNCTION("""COMPUTED_VALUE"""),6478.04)</f>
        <v>6478.04</v>
      </c>
    </row>
    <row r="1033">
      <c r="A1033" s="3">
        <f>IFERROR(__xludf.DUMMYFUNCTION("""COMPUTED_VALUE"""),43503.66666666667)</f>
        <v>43503.66667</v>
      </c>
      <c r="B1033" s="2">
        <f>IFERROR(__xludf.DUMMYFUNCTION("""COMPUTED_VALUE"""),76.3)</f>
        <v>76.3</v>
      </c>
      <c r="D1033" s="3">
        <f>IFERROR(__xludf.DUMMYFUNCTION("""COMPUTED_VALUE"""),43503.66666666667)</f>
        <v>43503.66667</v>
      </c>
      <c r="E1033" s="2">
        <f>IFERROR(__xludf.DUMMYFUNCTION("""COMPUTED_VALUE"""),36.85)</f>
        <v>36.85</v>
      </c>
      <c r="G1033" s="3">
        <f>IFERROR(__xludf.DUMMYFUNCTION("""COMPUTED_VALUE"""),43358.99861111111)</f>
        <v>43358.99861</v>
      </c>
      <c r="H1033" s="2">
        <f>IFERROR(__xludf.DUMMYFUNCTION("""COMPUTED_VALUE"""),6518.68)</f>
        <v>6518.68</v>
      </c>
    </row>
    <row r="1034">
      <c r="A1034" s="3">
        <f>IFERROR(__xludf.DUMMYFUNCTION("""COMPUTED_VALUE"""),43504.66666666667)</f>
        <v>43504.66667</v>
      </c>
      <c r="B1034" s="2">
        <f>IFERROR(__xludf.DUMMYFUNCTION("""COMPUTED_VALUE"""),76.86)</f>
        <v>76.86</v>
      </c>
      <c r="D1034" s="3">
        <f>IFERROR(__xludf.DUMMYFUNCTION("""COMPUTED_VALUE"""),43504.66666666667)</f>
        <v>43504.66667</v>
      </c>
      <c r="E1034" s="2">
        <f>IFERROR(__xludf.DUMMYFUNCTION("""COMPUTED_VALUE"""),37.04)</f>
        <v>37.04</v>
      </c>
      <c r="G1034" s="3">
        <f>IFERROR(__xludf.DUMMYFUNCTION("""COMPUTED_VALUE"""),43359.99861111111)</f>
        <v>43359.99861</v>
      </c>
      <c r="H1034" s="2">
        <f>IFERROR(__xludf.DUMMYFUNCTION("""COMPUTED_VALUE"""),6498.0)</f>
        <v>6498</v>
      </c>
    </row>
    <row r="1035">
      <c r="A1035" s="3">
        <f>IFERROR(__xludf.DUMMYFUNCTION("""COMPUTED_VALUE"""),43507.66666666667)</f>
        <v>43507.66667</v>
      </c>
      <c r="B1035" s="2">
        <f>IFERROR(__xludf.DUMMYFUNCTION("""COMPUTED_VALUE"""),78.01)</f>
        <v>78.01</v>
      </c>
      <c r="D1035" s="3">
        <f>IFERROR(__xludf.DUMMYFUNCTION("""COMPUTED_VALUE"""),43507.66666666667)</f>
        <v>43507.66667</v>
      </c>
      <c r="E1035" s="2">
        <f>IFERROR(__xludf.DUMMYFUNCTION("""COMPUTED_VALUE"""),36.61)</f>
        <v>36.61</v>
      </c>
      <c r="G1035" s="3">
        <f>IFERROR(__xludf.DUMMYFUNCTION("""COMPUTED_VALUE"""),43360.99861111111)</f>
        <v>43360.99861</v>
      </c>
      <c r="H1035" s="2">
        <f>IFERROR(__xludf.DUMMYFUNCTION("""COMPUTED_VALUE"""),6250.7)</f>
        <v>6250.7</v>
      </c>
    </row>
    <row r="1036">
      <c r="A1036" s="3">
        <f>IFERROR(__xludf.DUMMYFUNCTION("""COMPUTED_VALUE"""),43508.66666666667)</f>
        <v>43508.66667</v>
      </c>
      <c r="B1036" s="2">
        <f>IFERROR(__xludf.DUMMYFUNCTION("""COMPUTED_VALUE"""),78.32)</f>
        <v>78.32</v>
      </c>
      <c r="D1036" s="3">
        <f>IFERROR(__xludf.DUMMYFUNCTION("""COMPUTED_VALUE"""),43508.66666666667)</f>
        <v>43508.66667</v>
      </c>
      <c r="E1036" s="2">
        <f>IFERROR(__xludf.DUMMYFUNCTION("""COMPUTED_VALUE"""),37.79)</f>
        <v>37.79</v>
      </c>
      <c r="G1036" s="3">
        <f>IFERROR(__xludf.DUMMYFUNCTION("""COMPUTED_VALUE"""),43361.99861111111)</f>
        <v>43361.99861</v>
      </c>
      <c r="H1036" s="2">
        <f>IFERROR(__xludf.DUMMYFUNCTION("""COMPUTED_VALUE"""),6335.7)</f>
        <v>6335.7</v>
      </c>
    </row>
    <row r="1037">
      <c r="A1037" s="3">
        <f>IFERROR(__xludf.DUMMYFUNCTION("""COMPUTED_VALUE"""),43509.66666666667)</f>
        <v>43509.66667</v>
      </c>
      <c r="B1037" s="2">
        <f>IFERROR(__xludf.DUMMYFUNCTION("""COMPUTED_VALUE"""),78.9)</f>
        <v>78.9</v>
      </c>
      <c r="D1037" s="3">
        <f>IFERROR(__xludf.DUMMYFUNCTION("""COMPUTED_VALUE"""),43509.66666666667)</f>
        <v>43509.66667</v>
      </c>
      <c r="E1037" s="2">
        <f>IFERROR(__xludf.DUMMYFUNCTION("""COMPUTED_VALUE"""),38.22)</f>
        <v>38.22</v>
      </c>
      <c r="G1037" s="3">
        <f>IFERROR(__xludf.DUMMYFUNCTION("""COMPUTED_VALUE"""),43362.99861111111)</f>
        <v>43362.99861</v>
      </c>
      <c r="H1037" s="2">
        <f>IFERROR(__xludf.DUMMYFUNCTION("""COMPUTED_VALUE"""),6386.94)</f>
        <v>6386.94</v>
      </c>
    </row>
    <row r="1038">
      <c r="A1038" s="3">
        <f>IFERROR(__xludf.DUMMYFUNCTION("""COMPUTED_VALUE"""),43510.66666666667)</f>
        <v>43510.66667</v>
      </c>
      <c r="B1038" s="2">
        <f>IFERROR(__xludf.DUMMYFUNCTION("""COMPUTED_VALUE"""),79.02)</f>
        <v>79.02</v>
      </c>
      <c r="D1038" s="3">
        <f>IFERROR(__xludf.DUMMYFUNCTION("""COMPUTED_VALUE"""),43510.66666666667)</f>
        <v>43510.66667</v>
      </c>
      <c r="E1038" s="2">
        <f>IFERROR(__xludf.DUMMYFUNCTION("""COMPUTED_VALUE"""),38.63)</f>
        <v>38.63</v>
      </c>
      <c r="G1038" s="3">
        <f>IFERROR(__xludf.DUMMYFUNCTION("""COMPUTED_VALUE"""),43363.99861111111)</f>
        <v>43363.99861</v>
      </c>
      <c r="H1038" s="2">
        <f>IFERROR(__xludf.DUMMYFUNCTION("""COMPUTED_VALUE"""),6493.11)</f>
        <v>6493.11</v>
      </c>
    </row>
    <row r="1039">
      <c r="A1039" s="3">
        <f>IFERROR(__xludf.DUMMYFUNCTION("""COMPUTED_VALUE"""),43511.66666666667)</f>
        <v>43511.66667</v>
      </c>
      <c r="B1039" s="2">
        <f>IFERROR(__xludf.DUMMYFUNCTION("""COMPUTED_VALUE"""),80.38)</f>
        <v>80.38</v>
      </c>
      <c r="D1039" s="3">
        <f>IFERROR(__xludf.DUMMYFUNCTION("""COMPUTED_VALUE"""),43511.66666666667)</f>
        <v>43511.66667</v>
      </c>
      <c r="E1039" s="2">
        <f>IFERROR(__xludf.DUMMYFUNCTION("""COMPUTED_VALUE"""),39.34)</f>
        <v>39.34</v>
      </c>
      <c r="G1039" s="3">
        <f>IFERROR(__xludf.DUMMYFUNCTION("""COMPUTED_VALUE"""),43364.99861111111)</f>
        <v>43364.99861</v>
      </c>
      <c r="H1039" s="2">
        <f>IFERROR(__xludf.DUMMYFUNCTION("""COMPUTED_VALUE"""),6750.0)</f>
        <v>6750</v>
      </c>
    </row>
    <row r="1040">
      <c r="A1040" s="3">
        <f>IFERROR(__xludf.DUMMYFUNCTION("""COMPUTED_VALUE"""),43515.66666666667)</f>
        <v>43515.66667</v>
      </c>
      <c r="B1040" s="2">
        <f>IFERROR(__xludf.DUMMYFUNCTION("""COMPUTED_VALUE"""),80.66)</f>
        <v>80.66</v>
      </c>
      <c r="D1040" s="3">
        <f>IFERROR(__xludf.DUMMYFUNCTION("""COMPUTED_VALUE"""),43515.66666666667)</f>
        <v>43515.66667</v>
      </c>
      <c r="E1040" s="2">
        <f>IFERROR(__xludf.DUMMYFUNCTION("""COMPUTED_VALUE"""),39.16)</f>
        <v>39.16</v>
      </c>
      <c r="G1040" s="3">
        <f>IFERROR(__xludf.DUMMYFUNCTION("""COMPUTED_VALUE"""),43365.99861111111)</f>
        <v>43365.99861</v>
      </c>
      <c r="H1040" s="2">
        <f>IFERROR(__xludf.DUMMYFUNCTION("""COMPUTED_VALUE"""),6707.33)</f>
        <v>6707.33</v>
      </c>
    </row>
    <row r="1041">
      <c r="A1041" s="3">
        <f>IFERROR(__xludf.DUMMYFUNCTION("""COMPUTED_VALUE"""),43516.66666666667)</f>
        <v>43516.66667</v>
      </c>
      <c r="B1041" s="2">
        <f>IFERROR(__xludf.DUMMYFUNCTION("""COMPUTED_VALUE"""),81.08)</f>
        <v>81.08</v>
      </c>
      <c r="D1041" s="3">
        <f>IFERROR(__xludf.DUMMYFUNCTION("""COMPUTED_VALUE"""),43516.66666666667)</f>
        <v>43516.66667</v>
      </c>
      <c r="E1041" s="2">
        <f>IFERROR(__xludf.DUMMYFUNCTION("""COMPUTED_VALUE"""),39.64)</f>
        <v>39.64</v>
      </c>
      <c r="G1041" s="3">
        <f>IFERROR(__xludf.DUMMYFUNCTION("""COMPUTED_VALUE"""),43366.99861111111)</f>
        <v>43366.99861</v>
      </c>
      <c r="H1041" s="2">
        <f>IFERROR(__xludf.DUMMYFUNCTION("""COMPUTED_VALUE"""),6696.99)</f>
        <v>6696.99</v>
      </c>
    </row>
    <row r="1042">
      <c r="A1042" s="3">
        <f>IFERROR(__xludf.DUMMYFUNCTION("""COMPUTED_VALUE"""),43517.66666666667)</f>
        <v>43517.66667</v>
      </c>
      <c r="B1042" s="2">
        <f>IFERROR(__xludf.DUMMYFUNCTION("""COMPUTED_VALUE"""),81.75)</f>
        <v>81.75</v>
      </c>
      <c r="D1042" s="3">
        <f>IFERROR(__xludf.DUMMYFUNCTION("""COMPUTED_VALUE"""),43517.66666666667)</f>
        <v>43517.66667</v>
      </c>
      <c r="E1042" s="2">
        <f>IFERROR(__xludf.DUMMYFUNCTION("""COMPUTED_VALUE"""),38.94)</f>
        <v>38.94</v>
      </c>
      <c r="G1042" s="3">
        <f>IFERROR(__xludf.DUMMYFUNCTION("""COMPUTED_VALUE"""),43367.99861111111)</f>
        <v>43367.99861</v>
      </c>
      <c r="H1042" s="2">
        <f>IFERROR(__xludf.DUMMYFUNCTION("""COMPUTED_VALUE"""),6582.09)</f>
        <v>6582.09</v>
      </c>
    </row>
    <row r="1043">
      <c r="A1043" s="3">
        <f>IFERROR(__xludf.DUMMYFUNCTION("""COMPUTED_VALUE"""),43518.66666666667)</f>
        <v>43518.66667</v>
      </c>
      <c r="B1043" s="2">
        <f>IFERROR(__xludf.DUMMYFUNCTION("""COMPUTED_VALUE"""),82.46)</f>
        <v>82.46</v>
      </c>
      <c r="D1043" s="3">
        <f>IFERROR(__xludf.DUMMYFUNCTION("""COMPUTED_VALUE"""),43518.66666666667)</f>
        <v>43518.66667</v>
      </c>
      <c r="E1043" s="2">
        <f>IFERROR(__xludf.DUMMYFUNCTION("""COMPUTED_VALUE"""),39.8)</f>
        <v>39.8</v>
      </c>
      <c r="G1043" s="3">
        <f>IFERROR(__xludf.DUMMYFUNCTION("""COMPUTED_VALUE"""),43368.99861111111)</f>
        <v>43368.99861</v>
      </c>
      <c r="H1043" s="2">
        <f>IFERROR(__xludf.DUMMYFUNCTION("""COMPUTED_VALUE"""),6436.89)</f>
        <v>6436.89</v>
      </c>
    </row>
    <row r="1044">
      <c r="A1044" s="3">
        <f>IFERROR(__xludf.DUMMYFUNCTION("""COMPUTED_VALUE"""),43521.66666666667)</f>
        <v>43521.66667</v>
      </c>
      <c r="B1044" s="2">
        <f>IFERROR(__xludf.DUMMYFUNCTION("""COMPUTED_VALUE"""),83.08)</f>
        <v>83.08</v>
      </c>
      <c r="D1044" s="3">
        <f>IFERROR(__xludf.DUMMYFUNCTION("""COMPUTED_VALUE"""),43521.66666666667)</f>
        <v>43521.66667</v>
      </c>
      <c r="E1044" s="2">
        <f>IFERROR(__xludf.DUMMYFUNCTION("""COMPUTED_VALUE"""),39.67)</f>
        <v>39.67</v>
      </c>
      <c r="G1044" s="3">
        <f>IFERROR(__xludf.DUMMYFUNCTION("""COMPUTED_VALUE"""),43369.99861111111)</f>
        <v>43369.99861</v>
      </c>
      <c r="H1044" s="2">
        <f>IFERROR(__xludf.DUMMYFUNCTION("""COMPUTED_VALUE"""),6455.66)</f>
        <v>6455.66</v>
      </c>
    </row>
    <row r="1045">
      <c r="A1045" s="3">
        <f>IFERROR(__xludf.DUMMYFUNCTION("""COMPUTED_VALUE"""),43522.66666666667)</f>
        <v>43522.66667</v>
      </c>
      <c r="B1045" s="2">
        <f>IFERROR(__xludf.DUMMYFUNCTION("""COMPUTED_VALUE"""),84.64)</f>
        <v>84.64</v>
      </c>
      <c r="D1045" s="3">
        <f>IFERROR(__xludf.DUMMYFUNCTION("""COMPUTED_VALUE"""),43522.66666666667)</f>
        <v>43522.66667</v>
      </c>
      <c r="E1045" s="2">
        <f>IFERROR(__xludf.DUMMYFUNCTION("""COMPUTED_VALUE"""),39.28)</f>
        <v>39.28</v>
      </c>
      <c r="G1045" s="3">
        <f>IFERROR(__xludf.DUMMYFUNCTION("""COMPUTED_VALUE"""),43370.99861111111)</f>
        <v>43370.99861</v>
      </c>
      <c r="H1045" s="2">
        <f>IFERROR(__xludf.DUMMYFUNCTION("""COMPUTED_VALUE"""),6680.01)</f>
        <v>6680.01</v>
      </c>
    </row>
    <row r="1046">
      <c r="A1046" s="3">
        <f>IFERROR(__xludf.DUMMYFUNCTION("""COMPUTED_VALUE"""),43523.66666666667)</f>
        <v>43523.66667</v>
      </c>
      <c r="B1046" s="2">
        <f>IFERROR(__xludf.DUMMYFUNCTION("""COMPUTED_VALUE"""),84.82)</f>
        <v>84.82</v>
      </c>
      <c r="D1046" s="3">
        <f>IFERROR(__xludf.DUMMYFUNCTION("""COMPUTED_VALUE"""),43523.66666666667)</f>
        <v>43523.66667</v>
      </c>
      <c r="E1046" s="2">
        <f>IFERROR(__xludf.DUMMYFUNCTION("""COMPUTED_VALUE"""),38.85)</f>
        <v>38.85</v>
      </c>
      <c r="G1046" s="3">
        <f>IFERROR(__xludf.DUMMYFUNCTION("""COMPUTED_VALUE"""),43371.99861111111)</f>
        <v>43371.99861</v>
      </c>
      <c r="H1046" s="2">
        <f>IFERROR(__xludf.DUMMYFUNCTION("""COMPUTED_VALUE"""),6620.01)</f>
        <v>6620.01</v>
      </c>
    </row>
    <row r="1047">
      <c r="A1047" s="3">
        <f>IFERROR(__xludf.DUMMYFUNCTION("""COMPUTED_VALUE"""),43524.66666666667)</f>
        <v>43524.66667</v>
      </c>
      <c r="B1047" s="2">
        <f>IFERROR(__xludf.DUMMYFUNCTION("""COMPUTED_VALUE"""),84.41)</f>
        <v>84.41</v>
      </c>
      <c r="D1047" s="3">
        <f>IFERROR(__xludf.DUMMYFUNCTION("""COMPUTED_VALUE"""),43524.66666666667)</f>
        <v>43524.66667</v>
      </c>
      <c r="E1047" s="2">
        <f>IFERROR(__xludf.DUMMYFUNCTION("""COMPUTED_VALUE"""),38.57)</f>
        <v>38.57</v>
      </c>
      <c r="G1047" s="3">
        <f>IFERROR(__xludf.DUMMYFUNCTION("""COMPUTED_VALUE"""),43372.99861111111)</f>
        <v>43372.99861</v>
      </c>
      <c r="H1047" s="2">
        <f>IFERROR(__xludf.DUMMYFUNCTION("""COMPUTED_VALUE"""),6581.0)</f>
        <v>6581</v>
      </c>
    </row>
    <row r="1048">
      <c r="A1048" s="3">
        <f>IFERROR(__xludf.DUMMYFUNCTION("""COMPUTED_VALUE"""),43525.66666666667)</f>
        <v>43525.66667</v>
      </c>
      <c r="B1048" s="2">
        <f>IFERROR(__xludf.DUMMYFUNCTION("""COMPUTED_VALUE"""),85.9)</f>
        <v>85.9</v>
      </c>
      <c r="D1048" s="3">
        <f>IFERROR(__xludf.DUMMYFUNCTION("""COMPUTED_VALUE"""),43525.66666666667)</f>
        <v>43525.66667</v>
      </c>
      <c r="E1048" s="2">
        <f>IFERROR(__xludf.DUMMYFUNCTION("""COMPUTED_VALUE"""),39.11)</f>
        <v>39.11</v>
      </c>
      <c r="G1048" s="3">
        <f>IFERROR(__xludf.DUMMYFUNCTION("""COMPUTED_VALUE"""),43373.99861111111)</f>
        <v>43373.99861</v>
      </c>
      <c r="H1048" s="2">
        <f>IFERROR(__xludf.DUMMYFUNCTION("""COMPUTED_VALUE"""),6605.0)</f>
        <v>6605</v>
      </c>
    </row>
    <row r="1049">
      <c r="A1049" s="3">
        <f>IFERROR(__xludf.DUMMYFUNCTION("""COMPUTED_VALUE"""),43528.66666666667)</f>
        <v>43528.66667</v>
      </c>
      <c r="B1049" s="2">
        <f>IFERROR(__xludf.DUMMYFUNCTION("""COMPUTED_VALUE"""),85.23)</f>
        <v>85.23</v>
      </c>
      <c r="D1049" s="3">
        <f>IFERROR(__xludf.DUMMYFUNCTION("""COMPUTED_VALUE"""),43528.66666666667)</f>
        <v>43528.66667</v>
      </c>
      <c r="E1049" s="2">
        <f>IFERROR(__xludf.DUMMYFUNCTION("""COMPUTED_VALUE"""),39.2)</f>
        <v>39.2</v>
      </c>
      <c r="G1049" s="3">
        <f>IFERROR(__xludf.DUMMYFUNCTION("""COMPUTED_VALUE"""),43374.99861111111)</f>
        <v>43374.99861</v>
      </c>
      <c r="H1049" s="2">
        <f>IFERROR(__xludf.DUMMYFUNCTION("""COMPUTED_VALUE"""),6572.83)</f>
        <v>6572.83</v>
      </c>
    </row>
    <row r="1050">
      <c r="A1050" s="3">
        <f>IFERROR(__xludf.DUMMYFUNCTION("""COMPUTED_VALUE"""),43529.66666666667)</f>
        <v>43529.66667</v>
      </c>
      <c r="B1050" s="2">
        <f>IFERROR(__xludf.DUMMYFUNCTION("""COMPUTED_VALUE"""),85.26)</f>
        <v>85.26</v>
      </c>
      <c r="D1050" s="3">
        <f>IFERROR(__xludf.DUMMYFUNCTION("""COMPUTED_VALUE"""),43529.66666666667)</f>
        <v>43529.66667</v>
      </c>
      <c r="E1050" s="2">
        <f>IFERROR(__xludf.DUMMYFUNCTION("""COMPUTED_VALUE"""),39.13)</f>
        <v>39.13</v>
      </c>
      <c r="G1050" s="3">
        <f>IFERROR(__xludf.DUMMYFUNCTION("""COMPUTED_VALUE"""),43375.99861111111)</f>
        <v>43375.99861</v>
      </c>
      <c r="H1050" s="2">
        <f>IFERROR(__xludf.DUMMYFUNCTION("""COMPUTED_VALUE"""),6498.46)</f>
        <v>6498.46</v>
      </c>
    </row>
    <row r="1051">
      <c r="A1051" s="3">
        <f>IFERROR(__xludf.DUMMYFUNCTION("""COMPUTED_VALUE"""),43530.66666666667)</f>
        <v>43530.66667</v>
      </c>
      <c r="B1051" s="2">
        <f>IFERROR(__xludf.DUMMYFUNCTION("""COMPUTED_VALUE"""),85.25)</f>
        <v>85.25</v>
      </c>
      <c r="D1051" s="3">
        <f>IFERROR(__xludf.DUMMYFUNCTION("""COMPUTED_VALUE"""),43530.66666666667)</f>
        <v>43530.66667</v>
      </c>
      <c r="E1051" s="2">
        <f>IFERROR(__xludf.DUMMYFUNCTION("""COMPUTED_VALUE"""),38.01)</f>
        <v>38.01</v>
      </c>
      <c r="G1051" s="3">
        <f>IFERROR(__xludf.DUMMYFUNCTION("""COMPUTED_VALUE"""),43376.99861111111)</f>
        <v>43376.99861</v>
      </c>
      <c r="H1051" s="2">
        <f>IFERROR(__xludf.DUMMYFUNCTION("""COMPUTED_VALUE"""),6466.03)</f>
        <v>6466.03</v>
      </c>
    </row>
    <row r="1052">
      <c r="A1052" s="3">
        <f>IFERROR(__xludf.DUMMYFUNCTION("""COMPUTED_VALUE"""),43531.66666666667)</f>
        <v>43531.66667</v>
      </c>
      <c r="B1052" s="2">
        <f>IFERROR(__xludf.DUMMYFUNCTION("""COMPUTED_VALUE"""),84.58)</f>
        <v>84.58</v>
      </c>
      <c r="D1052" s="3">
        <f>IFERROR(__xludf.DUMMYFUNCTION("""COMPUTED_VALUE"""),43531.66666666667)</f>
        <v>43531.66667</v>
      </c>
      <c r="E1052" s="2">
        <f>IFERROR(__xludf.DUMMYFUNCTION("""COMPUTED_VALUE"""),37.32)</f>
        <v>37.32</v>
      </c>
      <c r="G1052" s="3">
        <f>IFERROR(__xludf.DUMMYFUNCTION("""COMPUTED_VALUE"""),43377.99861111111)</f>
        <v>43377.99861</v>
      </c>
      <c r="H1052" s="2">
        <f>IFERROR(__xludf.DUMMYFUNCTION("""COMPUTED_VALUE"""),6547.45)</f>
        <v>6547.45</v>
      </c>
    </row>
    <row r="1053">
      <c r="A1053" s="3">
        <f>IFERROR(__xludf.DUMMYFUNCTION("""COMPUTED_VALUE"""),43532.66666666667)</f>
        <v>43532.66667</v>
      </c>
      <c r="B1053" s="2">
        <f>IFERROR(__xludf.DUMMYFUNCTION("""COMPUTED_VALUE"""),83.99)</f>
        <v>83.99</v>
      </c>
      <c r="D1053" s="3">
        <f>IFERROR(__xludf.DUMMYFUNCTION("""COMPUTED_VALUE"""),43532.66666666667)</f>
        <v>43532.66667</v>
      </c>
      <c r="E1053" s="2">
        <f>IFERROR(__xludf.DUMMYFUNCTION("""COMPUTED_VALUE"""),37.66)</f>
        <v>37.66</v>
      </c>
      <c r="G1053" s="3">
        <f>IFERROR(__xludf.DUMMYFUNCTION("""COMPUTED_VALUE"""),43378.99861111111)</f>
        <v>43378.99861</v>
      </c>
      <c r="H1053" s="2">
        <f>IFERROR(__xludf.DUMMYFUNCTION("""COMPUTED_VALUE"""),6593.94)</f>
        <v>6593.94</v>
      </c>
    </row>
    <row r="1054">
      <c r="A1054" s="3">
        <f>IFERROR(__xludf.DUMMYFUNCTION("""COMPUTED_VALUE"""),43535.66666666667)</f>
        <v>43535.66667</v>
      </c>
      <c r="B1054" s="2">
        <f>IFERROR(__xludf.DUMMYFUNCTION("""COMPUTED_VALUE"""),85.0)</f>
        <v>85</v>
      </c>
      <c r="D1054" s="3">
        <f>IFERROR(__xludf.DUMMYFUNCTION("""COMPUTED_VALUE"""),43535.66666666667)</f>
        <v>43535.66667</v>
      </c>
      <c r="E1054" s="2">
        <f>IFERROR(__xludf.DUMMYFUNCTION("""COMPUTED_VALUE"""),40.28)</f>
        <v>40.28</v>
      </c>
      <c r="G1054" s="3">
        <f>IFERROR(__xludf.DUMMYFUNCTION("""COMPUTED_VALUE"""),43379.99861111111)</f>
        <v>43379.99861</v>
      </c>
      <c r="H1054" s="2">
        <f>IFERROR(__xludf.DUMMYFUNCTION("""COMPUTED_VALUE"""),6552.43)</f>
        <v>6552.43</v>
      </c>
    </row>
    <row r="1055">
      <c r="A1055" s="3">
        <f>IFERROR(__xludf.DUMMYFUNCTION("""COMPUTED_VALUE"""),43536.66666666667)</f>
        <v>43536.66667</v>
      </c>
      <c r="B1055" s="2">
        <f>IFERROR(__xludf.DUMMYFUNCTION("""COMPUTED_VALUE"""),84.89)</f>
        <v>84.89</v>
      </c>
      <c r="D1055" s="3">
        <f>IFERROR(__xludf.DUMMYFUNCTION("""COMPUTED_VALUE"""),43536.66666666667)</f>
        <v>43536.66667</v>
      </c>
      <c r="E1055" s="2">
        <f>IFERROR(__xludf.DUMMYFUNCTION("""COMPUTED_VALUE"""),40.63)</f>
        <v>40.63</v>
      </c>
      <c r="G1055" s="3">
        <f>IFERROR(__xludf.DUMMYFUNCTION("""COMPUTED_VALUE"""),43380.99861111111)</f>
        <v>43380.99861</v>
      </c>
      <c r="H1055" s="2">
        <f>IFERROR(__xludf.DUMMYFUNCTION("""COMPUTED_VALUE"""),6570.0)</f>
        <v>6570</v>
      </c>
    </row>
    <row r="1056">
      <c r="A1056" s="3">
        <f>IFERROR(__xludf.DUMMYFUNCTION("""COMPUTED_VALUE"""),43537.66666666667)</f>
        <v>43537.66667</v>
      </c>
      <c r="B1056" s="2">
        <f>IFERROR(__xludf.DUMMYFUNCTION("""COMPUTED_VALUE"""),84.21)</f>
        <v>84.21</v>
      </c>
      <c r="D1056" s="3">
        <f>IFERROR(__xludf.DUMMYFUNCTION("""COMPUTED_VALUE"""),43537.66666666667)</f>
        <v>43537.66667</v>
      </c>
      <c r="E1056" s="2">
        <f>IFERROR(__xludf.DUMMYFUNCTION("""COMPUTED_VALUE"""),42.16)</f>
        <v>42.16</v>
      </c>
      <c r="G1056" s="3">
        <f>IFERROR(__xludf.DUMMYFUNCTION("""COMPUTED_VALUE"""),43381.99861111111)</f>
        <v>43381.99861</v>
      </c>
      <c r="H1056" s="2">
        <f>IFERROR(__xludf.DUMMYFUNCTION("""COMPUTED_VALUE"""),6608.07)</f>
        <v>6608.07</v>
      </c>
    </row>
    <row r="1057">
      <c r="A1057" s="3">
        <f>IFERROR(__xludf.DUMMYFUNCTION("""COMPUTED_VALUE"""),43538.66666666667)</f>
        <v>43538.66667</v>
      </c>
      <c r="B1057" s="2">
        <f>IFERROR(__xludf.DUMMYFUNCTION("""COMPUTED_VALUE"""),85.33)</f>
        <v>85.33</v>
      </c>
      <c r="D1057" s="3">
        <f>IFERROR(__xludf.DUMMYFUNCTION("""COMPUTED_VALUE"""),43538.66666666667)</f>
        <v>43538.66667</v>
      </c>
      <c r="E1057" s="2">
        <f>IFERROR(__xludf.DUMMYFUNCTION("""COMPUTED_VALUE"""),41.39)</f>
        <v>41.39</v>
      </c>
      <c r="G1057" s="3">
        <f>IFERROR(__xludf.DUMMYFUNCTION("""COMPUTED_VALUE"""),43382.99861111111)</f>
        <v>43382.99861</v>
      </c>
      <c r="H1057" s="2">
        <f>IFERROR(__xludf.DUMMYFUNCTION("""COMPUTED_VALUE"""),6589.48)</f>
        <v>6589.48</v>
      </c>
    </row>
    <row r="1058">
      <c r="A1058" s="3">
        <f>IFERROR(__xludf.DUMMYFUNCTION("""COMPUTED_VALUE"""),43539.66666666667)</f>
        <v>43539.66667</v>
      </c>
      <c r="B1058" s="2">
        <f>IFERROR(__xludf.DUMMYFUNCTION("""COMPUTED_VALUE"""),85.98)</f>
        <v>85.98</v>
      </c>
      <c r="D1058" s="3">
        <f>IFERROR(__xludf.DUMMYFUNCTION("""COMPUTED_VALUE"""),43539.66666666667)</f>
        <v>43539.66667</v>
      </c>
      <c r="E1058" s="2">
        <f>IFERROR(__xludf.DUMMYFUNCTION("""COMPUTED_VALUE"""),42.45)</f>
        <v>42.45</v>
      </c>
      <c r="G1058" s="3">
        <f>IFERROR(__xludf.DUMMYFUNCTION("""COMPUTED_VALUE"""),43383.99861111111)</f>
        <v>43383.99861</v>
      </c>
      <c r="H1058" s="2">
        <f>IFERROR(__xludf.DUMMYFUNCTION("""COMPUTED_VALUE"""),6524.56)</f>
        <v>6524.56</v>
      </c>
    </row>
    <row r="1059">
      <c r="A1059" s="3">
        <f>IFERROR(__xludf.DUMMYFUNCTION("""COMPUTED_VALUE"""),43542.66666666667)</f>
        <v>43542.66667</v>
      </c>
      <c r="B1059" s="2">
        <f>IFERROR(__xludf.DUMMYFUNCTION("""COMPUTED_VALUE"""),85.74)</f>
        <v>85.74</v>
      </c>
      <c r="D1059" s="3">
        <f>IFERROR(__xludf.DUMMYFUNCTION("""COMPUTED_VALUE"""),43542.66666666667)</f>
        <v>43542.66667</v>
      </c>
      <c r="E1059" s="2">
        <f>IFERROR(__xludf.DUMMYFUNCTION("""COMPUTED_VALUE"""),42.24)</f>
        <v>42.24</v>
      </c>
      <c r="G1059" s="3">
        <f>IFERROR(__xludf.DUMMYFUNCTION("""COMPUTED_VALUE"""),43384.99861111111)</f>
        <v>43384.99861</v>
      </c>
      <c r="H1059" s="2">
        <f>IFERROR(__xludf.DUMMYFUNCTION("""COMPUTED_VALUE"""),6154.69)</f>
        <v>6154.69</v>
      </c>
    </row>
    <row r="1060">
      <c r="A1060" s="3">
        <f>IFERROR(__xludf.DUMMYFUNCTION("""COMPUTED_VALUE"""),43543.66666666667)</f>
        <v>43543.66667</v>
      </c>
      <c r="B1060" s="2">
        <f>IFERROR(__xludf.DUMMYFUNCTION("""COMPUTED_VALUE"""),86.29)</f>
        <v>86.29</v>
      </c>
      <c r="D1060" s="3">
        <f>IFERROR(__xludf.DUMMYFUNCTION("""COMPUTED_VALUE"""),43543.66666666667)</f>
        <v>43543.66667</v>
      </c>
      <c r="E1060" s="2">
        <f>IFERROR(__xludf.DUMMYFUNCTION("""COMPUTED_VALUE"""),43.93)</f>
        <v>43.93</v>
      </c>
      <c r="G1060" s="3">
        <f>IFERROR(__xludf.DUMMYFUNCTION("""COMPUTED_VALUE"""),43385.99861111111)</f>
        <v>43385.99861</v>
      </c>
      <c r="H1060" s="2">
        <f>IFERROR(__xludf.DUMMYFUNCTION("""COMPUTED_VALUE"""),6188.01)</f>
        <v>6188.01</v>
      </c>
    </row>
    <row r="1061">
      <c r="A1061" s="3">
        <f>IFERROR(__xludf.DUMMYFUNCTION("""COMPUTED_VALUE"""),43544.66666666667)</f>
        <v>43544.66667</v>
      </c>
      <c r="B1061" s="2">
        <f>IFERROR(__xludf.DUMMYFUNCTION("""COMPUTED_VALUE"""),86.36)</f>
        <v>86.36</v>
      </c>
      <c r="D1061" s="3">
        <f>IFERROR(__xludf.DUMMYFUNCTION("""COMPUTED_VALUE"""),43544.66666666667)</f>
        <v>43544.66667</v>
      </c>
      <c r="E1061" s="2">
        <f>IFERROR(__xludf.DUMMYFUNCTION("""COMPUTED_VALUE"""),43.6)</f>
        <v>43.6</v>
      </c>
      <c r="G1061" s="3">
        <f>IFERROR(__xludf.DUMMYFUNCTION("""COMPUTED_VALUE"""),43386.99861111111)</f>
        <v>43386.99861</v>
      </c>
      <c r="H1061" s="2">
        <f>IFERROR(__xludf.DUMMYFUNCTION("""COMPUTED_VALUE"""),6196.0)</f>
        <v>6196</v>
      </c>
    </row>
    <row r="1062">
      <c r="A1062" s="3">
        <f>IFERROR(__xludf.DUMMYFUNCTION("""COMPUTED_VALUE"""),43545.66666666667)</f>
        <v>43545.66667</v>
      </c>
      <c r="B1062" s="2">
        <f>IFERROR(__xludf.DUMMYFUNCTION("""COMPUTED_VALUE"""),87.53)</f>
        <v>87.53</v>
      </c>
      <c r="D1062" s="3">
        <f>IFERROR(__xludf.DUMMYFUNCTION("""COMPUTED_VALUE"""),43545.66666666667)</f>
        <v>43545.66667</v>
      </c>
      <c r="E1062" s="2">
        <f>IFERROR(__xludf.DUMMYFUNCTION("""COMPUTED_VALUE"""),45.99)</f>
        <v>45.99</v>
      </c>
      <c r="G1062" s="3">
        <f>IFERROR(__xludf.DUMMYFUNCTION("""COMPUTED_VALUE"""),43387.99861111111)</f>
        <v>43387.99861</v>
      </c>
      <c r="H1062" s="2">
        <f>IFERROR(__xludf.DUMMYFUNCTION("""COMPUTED_VALUE"""),6183.49)</f>
        <v>6183.49</v>
      </c>
    </row>
    <row r="1063">
      <c r="A1063" s="3">
        <f>IFERROR(__xludf.DUMMYFUNCTION("""COMPUTED_VALUE"""),43546.66666666667)</f>
        <v>43546.66667</v>
      </c>
      <c r="B1063" s="2">
        <f>IFERROR(__xludf.DUMMYFUNCTION("""COMPUTED_VALUE"""),84.76)</f>
        <v>84.76</v>
      </c>
      <c r="D1063" s="3">
        <f>IFERROR(__xludf.DUMMYFUNCTION("""COMPUTED_VALUE"""),43546.66666666667)</f>
        <v>43546.66667</v>
      </c>
      <c r="E1063" s="2">
        <f>IFERROR(__xludf.DUMMYFUNCTION("""COMPUTED_VALUE"""),44.38)</f>
        <v>44.38</v>
      </c>
      <c r="G1063" s="3">
        <f>IFERROR(__xludf.DUMMYFUNCTION("""COMPUTED_VALUE"""),43388.99861111111)</f>
        <v>43388.99861</v>
      </c>
      <c r="H1063" s="2">
        <f>IFERROR(__xludf.DUMMYFUNCTION("""COMPUTED_VALUE"""),6440.42)</f>
        <v>6440.42</v>
      </c>
    </row>
    <row r="1064">
      <c r="A1064" s="3">
        <f>IFERROR(__xludf.DUMMYFUNCTION("""COMPUTED_VALUE"""),43549.66666666667)</f>
        <v>43549.66667</v>
      </c>
      <c r="B1064" s="2">
        <f>IFERROR(__xludf.DUMMYFUNCTION("""COMPUTED_VALUE"""),84.78)</f>
        <v>84.78</v>
      </c>
      <c r="D1064" s="3">
        <f>IFERROR(__xludf.DUMMYFUNCTION("""COMPUTED_VALUE"""),43549.66666666667)</f>
        <v>43549.66667</v>
      </c>
      <c r="E1064" s="2">
        <f>IFERROR(__xludf.DUMMYFUNCTION("""COMPUTED_VALUE"""),43.45)</f>
        <v>43.45</v>
      </c>
      <c r="G1064" s="3">
        <f>IFERROR(__xludf.DUMMYFUNCTION("""COMPUTED_VALUE"""),43389.99861111111)</f>
        <v>43389.99861</v>
      </c>
      <c r="H1064" s="2">
        <f>IFERROR(__xludf.DUMMYFUNCTION("""COMPUTED_VALUE"""),6457.11)</f>
        <v>6457.11</v>
      </c>
    </row>
    <row r="1065">
      <c r="A1065" s="3">
        <f>IFERROR(__xludf.DUMMYFUNCTION("""COMPUTED_VALUE"""),43550.66666666667)</f>
        <v>43550.66667</v>
      </c>
      <c r="B1065" s="2">
        <f>IFERROR(__xludf.DUMMYFUNCTION("""COMPUTED_VALUE"""),85.36)</f>
        <v>85.36</v>
      </c>
      <c r="D1065" s="3">
        <f>IFERROR(__xludf.DUMMYFUNCTION("""COMPUTED_VALUE"""),43550.66666666667)</f>
        <v>43550.66667</v>
      </c>
      <c r="E1065" s="2">
        <f>IFERROR(__xludf.DUMMYFUNCTION("""COMPUTED_VALUE"""),44.22)</f>
        <v>44.22</v>
      </c>
      <c r="G1065" s="3">
        <f>IFERROR(__xludf.DUMMYFUNCTION("""COMPUTED_VALUE"""),43390.99861111111)</f>
        <v>43390.99861</v>
      </c>
      <c r="H1065" s="2">
        <f>IFERROR(__xludf.DUMMYFUNCTION("""COMPUTED_VALUE"""),6443.7)</f>
        <v>6443.7</v>
      </c>
    </row>
    <row r="1066">
      <c r="A1066" s="3">
        <f>IFERROR(__xludf.DUMMYFUNCTION("""COMPUTED_VALUE"""),43551.66666666667)</f>
        <v>43551.66667</v>
      </c>
      <c r="B1066" s="2">
        <f>IFERROR(__xludf.DUMMYFUNCTION("""COMPUTED_VALUE"""),85.32)</f>
        <v>85.32</v>
      </c>
      <c r="D1066" s="3">
        <f>IFERROR(__xludf.DUMMYFUNCTION("""COMPUTED_VALUE"""),43551.66666666667)</f>
        <v>43551.66667</v>
      </c>
      <c r="E1066" s="2">
        <f>IFERROR(__xludf.DUMMYFUNCTION("""COMPUTED_VALUE"""),44.13)</f>
        <v>44.13</v>
      </c>
      <c r="G1066" s="3">
        <f>IFERROR(__xludf.DUMMYFUNCTION("""COMPUTED_VALUE"""),43391.99861111111)</f>
        <v>43391.99861</v>
      </c>
      <c r="H1066" s="2">
        <f>IFERROR(__xludf.DUMMYFUNCTION("""COMPUTED_VALUE"""),6394.96)</f>
        <v>6394.96</v>
      </c>
    </row>
    <row r="1067">
      <c r="A1067" s="3">
        <f>IFERROR(__xludf.DUMMYFUNCTION("""COMPUTED_VALUE"""),43552.66666666667)</f>
        <v>43552.66667</v>
      </c>
      <c r="B1067" s="2">
        <f>IFERROR(__xludf.DUMMYFUNCTION("""COMPUTED_VALUE"""),86.51)</f>
        <v>86.51</v>
      </c>
      <c r="D1067" s="3">
        <f>IFERROR(__xludf.DUMMYFUNCTION("""COMPUTED_VALUE"""),43552.66666666667)</f>
        <v>43552.66667</v>
      </c>
      <c r="E1067" s="2">
        <f>IFERROR(__xludf.DUMMYFUNCTION("""COMPUTED_VALUE"""),44.31)</f>
        <v>44.31</v>
      </c>
      <c r="G1067" s="3">
        <f>IFERROR(__xludf.DUMMYFUNCTION("""COMPUTED_VALUE"""),43392.99861111111)</f>
        <v>43392.99861</v>
      </c>
      <c r="H1067" s="2">
        <f>IFERROR(__xludf.DUMMYFUNCTION("""COMPUTED_VALUE"""),6382.99)</f>
        <v>6382.99</v>
      </c>
    </row>
    <row r="1068">
      <c r="A1068" s="3">
        <f>IFERROR(__xludf.DUMMYFUNCTION("""COMPUTED_VALUE"""),43553.66666666667)</f>
        <v>43553.66667</v>
      </c>
      <c r="B1068" s="2">
        <f>IFERROR(__xludf.DUMMYFUNCTION("""COMPUTED_VALUE"""),87.2)</f>
        <v>87.2</v>
      </c>
      <c r="D1068" s="3">
        <f>IFERROR(__xludf.DUMMYFUNCTION("""COMPUTED_VALUE"""),43553.66666666667)</f>
        <v>43553.66667</v>
      </c>
      <c r="E1068" s="2">
        <f>IFERROR(__xludf.DUMMYFUNCTION("""COMPUTED_VALUE"""),44.89)</f>
        <v>44.89</v>
      </c>
      <c r="G1068" s="3">
        <f>IFERROR(__xludf.DUMMYFUNCTION("""COMPUTED_VALUE"""),43393.99861111111)</f>
        <v>43393.99861</v>
      </c>
      <c r="H1068" s="2">
        <f>IFERROR(__xludf.DUMMYFUNCTION("""COMPUTED_VALUE"""),6414.0)</f>
        <v>6414</v>
      </c>
    </row>
    <row r="1069">
      <c r="A1069" s="3">
        <f>IFERROR(__xludf.DUMMYFUNCTION("""COMPUTED_VALUE"""),43556.66666666667)</f>
        <v>43556.66667</v>
      </c>
      <c r="B1069" s="2">
        <f>IFERROR(__xludf.DUMMYFUNCTION("""COMPUTED_VALUE"""),89.14)</f>
        <v>89.14</v>
      </c>
      <c r="D1069" s="3">
        <f>IFERROR(__xludf.DUMMYFUNCTION("""COMPUTED_VALUE"""),43556.66666666667)</f>
        <v>43556.66667</v>
      </c>
      <c r="E1069" s="2">
        <f>IFERROR(__xludf.DUMMYFUNCTION("""COMPUTED_VALUE"""),45.57)</f>
        <v>45.57</v>
      </c>
      <c r="G1069" s="3">
        <f>IFERROR(__xludf.DUMMYFUNCTION("""COMPUTED_VALUE"""),43394.99861111111)</f>
        <v>43394.99861</v>
      </c>
      <c r="H1069" s="2">
        <f>IFERROR(__xludf.DUMMYFUNCTION("""COMPUTED_VALUE"""),6415.88)</f>
        <v>6415.88</v>
      </c>
    </row>
    <row r="1070">
      <c r="A1070" s="3">
        <f>IFERROR(__xludf.DUMMYFUNCTION("""COMPUTED_VALUE"""),43557.66666666667)</f>
        <v>43557.66667</v>
      </c>
      <c r="B1070" s="2">
        <f>IFERROR(__xludf.DUMMYFUNCTION("""COMPUTED_VALUE"""),89.29)</f>
        <v>89.29</v>
      </c>
      <c r="D1070" s="3">
        <f>IFERROR(__xludf.DUMMYFUNCTION("""COMPUTED_VALUE"""),43557.66666666667)</f>
        <v>43557.66667</v>
      </c>
      <c r="E1070" s="2">
        <f>IFERROR(__xludf.DUMMYFUNCTION("""COMPUTED_VALUE"""),45.75)</f>
        <v>45.75</v>
      </c>
      <c r="G1070" s="3">
        <f>IFERROR(__xludf.DUMMYFUNCTION("""COMPUTED_VALUE"""),43395.99861111111)</f>
        <v>43395.99861</v>
      </c>
      <c r="H1070" s="2">
        <f>IFERROR(__xludf.DUMMYFUNCTION("""COMPUTED_VALUE"""),6407.65)</f>
        <v>6407.65</v>
      </c>
    </row>
    <row r="1071">
      <c r="A1071" s="3">
        <f>IFERROR(__xludf.DUMMYFUNCTION("""COMPUTED_VALUE"""),43558.66666666667)</f>
        <v>43558.66667</v>
      </c>
      <c r="B1071" s="2">
        <f>IFERROR(__xludf.DUMMYFUNCTION("""COMPUTED_VALUE"""),89.99)</f>
        <v>89.99</v>
      </c>
      <c r="D1071" s="3">
        <f>IFERROR(__xludf.DUMMYFUNCTION("""COMPUTED_VALUE"""),43558.66666666667)</f>
        <v>43558.66667</v>
      </c>
      <c r="E1071" s="2">
        <f>IFERROR(__xludf.DUMMYFUNCTION("""COMPUTED_VALUE"""),47.16)</f>
        <v>47.16</v>
      </c>
      <c r="G1071" s="3">
        <f>IFERROR(__xludf.DUMMYFUNCTION("""COMPUTED_VALUE"""),43396.99861111111)</f>
        <v>43396.99861</v>
      </c>
      <c r="H1071" s="2">
        <f>IFERROR(__xludf.DUMMYFUNCTION("""COMPUTED_VALUE"""),6395.14)</f>
        <v>6395.14</v>
      </c>
    </row>
    <row r="1072">
      <c r="A1072" s="3">
        <f>IFERROR(__xludf.DUMMYFUNCTION("""COMPUTED_VALUE"""),43559.66666666667)</f>
        <v>43559.66667</v>
      </c>
      <c r="B1072" s="2">
        <f>IFERROR(__xludf.DUMMYFUNCTION("""COMPUTED_VALUE"""),88.97)</f>
        <v>88.97</v>
      </c>
      <c r="D1072" s="3">
        <f>IFERROR(__xludf.DUMMYFUNCTION("""COMPUTED_VALUE"""),43559.66666666667)</f>
        <v>43559.66667</v>
      </c>
      <c r="E1072" s="2">
        <f>IFERROR(__xludf.DUMMYFUNCTION("""COMPUTED_VALUE"""),47.07)</f>
        <v>47.07</v>
      </c>
      <c r="G1072" s="3">
        <f>IFERROR(__xludf.DUMMYFUNCTION("""COMPUTED_VALUE"""),43397.99861111111)</f>
        <v>43397.99861</v>
      </c>
      <c r="H1072" s="2">
        <f>IFERROR(__xludf.DUMMYFUNCTION("""COMPUTED_VALUE"""),6415.98)</f>
        <v>6415.98</v>
      </c>
    </row>
    <row r="1073">
      <c r="A1073" s="3">
        <f>IFERROR(__xludf.DUMMYFUNCTION("""COMPUTED_VALUE"""),43560.66666666667)</f>
        <v>43560.66667</v>
      </c>
      <c r="B1073" s="2">
        <f>IFERROR(__xludf.DUMMYFUNCTION("""COMPUTED_VALUE"""),89.44)</f>
        <v>89.44</v>
      </c>
      <c r="D1073" s="3">
        <f>IFERROR(__xludf.DUMMYFUNCTION("""COMPUTED_VALUE"""),43560.66666666667)</f>
        <v>43560.66667</v>
      </c>
      <c r="E1073" s="2">
        <f>IFERROR(__xludf.DUMMYFUNCTION("""COMPUTED_VALUE"""),47.74)</f>
        <v>47.74</v>
      </c>
      <c r="G1073" s="3">
        <f>IFERROR(__xludf.DUMMYFUNCTION("""COMPUTED_VALUE"""),43398.99861111111)</f>
        <v>43398.99861</v>
      </c>
      <c r="H1073" s="2">
        <f>IFERROR(__xludf.DUMMYFUNCTION("""COMPUTED_VALUE"""),6395.58)</f>
        <v>6395.58</v>
      </c>
    </row>
    <row r="1074">
      <c r="A1074" s="3">
        <f>IFERROR(__xludf.DUMMYFUNCTION("""COMPUTED_VALUE"""),43563.66666666667)</f>
        <v>43563.66667</v>
      </c>
      <c r="B1074" s="2">
        <f>IFERROR(__xludf.DUMMYFUNCTION("""COMPUTED_VALUE"""),89.85)</f>
        <v>89.85</v>
      </c>
      <c r="D1074" s="3">
        <f>IFERROR(__xludf.DUMMYFUNCTION("""COMPUTED_VALUE"""),43563.66666666667)</f>
        <v>43563.66667</v>
      </c>
      <c r="E1074" s="2">
        <f>IFERROR(__xludf.DUMMYFUNCTION("""COMPUTED_VALUE"""),47.95)</f>
        <v>47.95</v>
      </c>
      <c r="G1074" s="3">
        <f>IFERROR(__xludf.DUMMYFUNCTION("""COMPUTED_VALUE"""),43399.99861111111)</f>
        <v>43399.99861</v>
      </c>
      <c r="H1074" s="2">
        <f>IFERROR(__xludf.DUMMYFUNCTION("""COMPUTED_VALUE"""),6404.87)</f>
        <v>6404.87</v>
      </c>
    </row>
    <row r="1075">
      <c r="A1075" s="3">
        <f>IFERROR(__xludf.DUMMYFUNCTION("""COMPUTED_VALUE"""),43564.66666666667)</f>
        <v>43564.66667</v>
      </c>
      <c r="B1075" s="2">
        <f>IFERROR(__xludf.DUMMYFUNCTION("""COMPUTED_VALUE"""),90.12)</f>
        <v>90.12</v>
      </c>
      <c r="D1075" s="3">
        <f>IFERROR(__xludf.DUMMYFUNCTION("""COMPUTED_VALUE"""),43564.66666666667)</f>
        <v>43564.66667</v>
      </c>
      <c r="E1075" s="2">
        <f>IFERROR(__xludf.DUMMYFUNCTION("""COMPUTED_VALUE"""),47.32)</f>
        <v>47.32</v>
      </c>
      <c r="G1075" s="3">
        <f>IFERROR(__xludf.DUMMYFUNCTION("""COMPUTED_VALUE"""),43400.99861111111)</f>
        <v>43400.99861</v>
      </c>
      <c r="H1075" s="2">
        <f>IFERROR(__xludf.DUMMYFUNCTION("""COMPUTED_VALUE"""),6409.12)</f>
        <v>6409.12</v>
      </c>
    </row>
    <row r="1076">
      <c r="A1076" s="3">
        <f>IFERROR(__xludf.DUMMYFUNCTION("""COMPUTED_VALUE"""),43565.66666666667)</f>
        <v>43565.66667</v>
      </c>
      <c r="B1076" s="2">
        <f>IFERROR(__xludf.DUMMYFUNCTION("""COMPUTED_VALUE"""),90.62)</f>
        <v>90.62</v>
      </c>
      <c r="D1076" s="3">
        <f>IFERROR(__xludf.DUMMYFUNCTION("""COMPUTED_VALUE"""),43565.66666666667)</f>
        <v>43565.66667</v>
      </c>
      <c r="E1076" s="2">
        <f>IFERROR(__xludf.DUMMYFUNCTION("""COMPUTED_VALUE"""),48.03)</f>
        <v>48.03</v>
      </c>
      <c r="G1076" s="3">
        <f>IFERROR(__xludf.DUMMYFUNCTION("""COMPUTED_VALUE"""),43401.99861111111)</f>
        <v>43401.99861</v>
      </c>
      <c r="H1076" s="2">
        <f>IFERROR(__xludf.DUMMYFUNCTION("""COMPUTED_VALUE"""),6403.62)</f>
        <v>6403.62</v>
      </c>
    </row>
    <row r="1077">
      <c r="A1077" s="3">
        <f>IFERROR(__xludf.DUMMYFUNCTION("""COMPUTED_VALUE"""),43566.66666666667)</f>
        <v>43566.66667</v>
      </c>
      <c r="B1077" s="2">
        <f>IFERROR(__xludf.DUMMYFUNCTION("""COMPUTED_VALUE"""),91.37)</f>
        <v>91.37</v>
      </c>
      <c r="D1077" s="3">
        <f>IFERROR(__xludf.DUMMYFUNCTION("""COMPUTED_VALUE"""),43566.66666666667)</f>
        <v>43566.66667</v>
      </c>
      <c r="E1077" s="2">
        <f>IFERROR(__xludf.DUMMYFUNCTION("""COMPUTED_VALUE"""),47.89)</f>
        <v>47.89</v>
      </c>
      <c r="G1077" s="3">
        <f>IFERROR(__xludf.DUMMYFUNCTION("""COMPUTED_VALUE"""),43402.99861111111)</f>
        <v>43402.99861</v>
      </c>
      <c r="H1077" s="2">
        <f>IFERROR(__xludf.DUMMYFUNCTION("""COMPUTED_VALUE"""),6266.0)</f>
        <v>6266</v>
      </c>
    </row>
    <row r="1078">
      <c r="A1078" s="3">
        <f>IFERROR(__xludf.DUMMYFUNCTION("""COMPUTED_VALUE"""),43567.66666666667)</f>
        <v>43567.66667</v>
      </c>
      <c r="B1078" s="2">
        <f>IFERROR(__xludf.DUMMYFUNCTION("""COMPUTED_VALUE"""),91.84)</f>
        <v>91.84</v>
      </c>
      <c r="D1078" s="3">
        <f>IFERROR(__xludf.DUMMYFUNCTION("""COMPUTED_VALUE"""),43567.66666666667)</f>
        <v>43567.66667</v>
      </c>
      <c r="E1078" s="2">
        <f>IFERROR(__xludf.DUMMYFUNCTION("""COMPUTED_VALUE"""),47.5)</f>
        <v>47.5</v>
      </c>
      <c r="G1078" s="3">
        <f>IFERROR(__xludf.DUMMYFUNCTION("""COMPUTED_VALUE"""),43403.99861111111)</f>
        <v>43403.99861</v>
      </c>
      <c r="H1078" s="2">
        <f>IFERROR(__xludf.DUMMYFUNCTION("""COMPUTED_VALUE"""),6267.63)</f>
        <v>6267.63</v>
      </c>
    </row>
    <row r="1079">
      <c r="A1079" s="3">
        <f>IFERROR(__xludf.DUMMYFUNCTION("""COMPUTED_VALUE"""),43570.66666666667)</f>
        <v>43570.66667</v>
      </c>
      <c r="B1079" s="2">
        <f>IFERROR(__xludf.DUMMYFUNCTION("""COMPUTED_VALUE"""),91.7)</f>
        <v>91.7</v>
      </c>
      <c r="D1079" s="3">
        <f>IFERROR(__xludf.DUMMYFUNCTION("""COMPUTED_VALUE"""),43570.66666666667)</f>
        <v>43570.66667</v>
      </c>
      <c r="E1079" s="2">
        <f>IFERROR(__xludf.DUMMYFUNCTION("""COMPUTED_VALUE"""),46.18)</f>
        <v>46.18</v>
      </c>
      <c r="G1079" s="3">
        <f>IFERROR(__xludf.DUMMYFUNCTION("""COMPUTED_VALUE"""),43404.99861111111)</f>
        <v>43404.99861</v>
      </c>
      <c r="H1079" s="2">
        <f>IFERROR(__xludf.DUMMYFUNCTION("""COMPUTED_VALUE"""),6304.18)</f>
        <v>6304.18</v>
      </c>
    </row>
    <row r="1080">
      <c r="A1080" s="3">
        <f>IFERROR(__xludf.DUMMYFUNCTION("""COMPUTED_VALUE"""),43571.66666666667)</f>
        <v>43571.66667</v>
      </c>
      <c r="B1080" s="2">
        <f>IFERROR(__xludf.DUMMYFUNCTION("""COMPUTED_VALUE"""),90.52)</f>
        <v>90.52</v>
      </c>
      <c r="D1080" s="3">
        <f>IFERROR(__xludf.DUMMYFUNCTION("""COMPUTED_VALUE"""),43571.66666666667)</f>
        <v>43571.66667</v>
      </c>
      <c r="E1080" s="2">
        <f>IFERROR(__xludf.DUMMYFUNCTION("""COMPUTED_VALUE"""),47.05)</f>
        <v>47.05</v>
      </c>
      <c r="G1080" s="3">
        <f>IFERROR(__xludf.DUMMYFUNCTION("""COMPUTED_VALUE"""),43405.99861111111)</f>
        <v>43405.99861</v>
      </c>
      <c r="H1080" s="2">
        <f>IFERROR(__xludf.DUMMYFUNCTION("""COMPUTED_VALUE"""),6344.0)</f>
        <v>6344</v>
      </c>
    </row>
    <row r="1081">
      <c r="A1081" s="3">
        <f>IFERROR(__xludf.DUMMYFUNCTION("""COMPUTED_VALUE"""),43572.66666666667)</f>
        <v>43572.66667</v>
      </c>
      <c r="B1081" s="2">
        <f>IFERROR(__xludf.DUMMYFUNCTION("""COMPUTED_VALUE"""),88.3)</f>
        <v>88.3</v>
      </c>
      <c r="D1081" s="3">
        <f>IFERROR(__xludf.DUMMYFUNCTION("""COMPUTED_VALUE"""),43572.66666666667)</f>
        <v>43572.66667</v>
      </c>
      <c r="E1081" s="2">
        <f>IFERROR(__xludf.DUMMYFUNCTION("""COMPUTED_VALUE"""),46.82)</f>
        <v>46.82</v>
      </c>
      <c r="G1081" s="3">
        <f>IFERROR(__xludf.DUMMYFUNCTION("""COMPUTED_VALUE"""),43406.99861111111)</f>
        <v>43406.99861</v>
      </c>
      <c r="H1081" s="2">
        <f>IFERROR(__xludf.DUMMYFUNCTION("""COMPUTED_VALUE"""),6349.8)</f>
        <v>6349.8</v>
      </c>
    </row>
    <row r="1082">
      <c r="A1082" s="3">
        <f>IFERROR(__xludf.DUMMYFUNCTION("""COMPUTED_VALUE"""),43573.66666666667)</f>
        <v>43573.66667</v>
      </c>
      <c r="B1082" s="2">
        <f>IFERROR(__xludf.DUMMYFUNCTION("""COMPUTED_VALUE"""),89.84)</f>
        <v>89.84</v>
      </c>
      <c r="D1082" s="3">
        <f>IFERROR(__xludf.DUMMYFUNCTION("""COMPUTED_VALUE"""),43573.66666666667)</f>
        <v>43573.66667</v>
      </c>
      <c r="E1082" s="2">
        <f>IFERROR(__xludf.DUMMYFUNCTION("""COMPUTED_VALUE"""),46.58)</f>
        <v>46.58</v>
      </c>
      <c r="G1082" s="3">
        <f>IFERROR(__xludf.DUMMYFUNCTION("""COMPUTED_VALUE"""),43407.99861111111)</f>
        <v>43407.99861</v>
      </c>
      <c r="H1082" s="2">
        <f>IFERROR(__xludf.DUMMYFUNCTION("""COMPUTED_VALUE"""),6331.96)</f>
        <v>6331.96</v>
      </c>
    </row>
    <row r="1083">
      <c r="A1083" s="3">
        <f>IFERROR(__xludf.DUMMYFUNCTION("""COMPUTED_VALUE"""),43577.66666666667)</f>
        <v>43577.66667</v>
      </c>
      <c r="B1083" s="2">
        <f>IFERROR(__xludf.DUMMYFUNCTION("""COMPUTED_VALUE"""),90.59)</f>
        <v>90.59</v>
      </c>
      <c r="D1083" s="3">
        <f>IFERROR(__xludf.DUMMYFUNCTION("""COMPUTED_VALUE"""),43577.66666666667)</f>
        <v>43577.66667</v>
      </c>
      <c r="E1083" s="2">
        <f>IFERROR(__xludf.DUMMYFUNCTION("""COMPUTED_VALUE"""),47.12)</f>
        <v>47.12</v>
      </c>
      <c r="G1083" s="3">
        <f>IFERROR(__xludf.DUMMYFUNCTION("""COMPUTED_VALUE"""),43408.99861111111)</f>
        <v>43408.99861</v>
      </c>
      <c r="H1083" s="2">
        <f>IFERROR(__xludf.DUMMYFUNCTION("""COMPUTED_VALUE"""),6423.28)</f>
        <v>6423.28</v>
      </c>
    </row>
    <row r="1084">
      <c r="A1084" s="3">
        <f>IFERROR(__xludf.DUMMYFUNCTION("""COMPUTED_VALUE"""),43578.66666666667)</f>
        <v>43578.66667</v>
      </c>
      <c r="B1084" s="2">
        <f>IFERROR(__xludf.DUMMYFUNCTION("""COMPUTED_VALUE"""),92.27)</f>
        <v>92.27</v>
      </c>
      <c r="D1084" s="3">
        <f>IFERROR(__xludf.DUMMYFUNCTION("""COMPUTED_VALUE"""),43578.66666666667)</f>
        <v>43578.66667</v>
      </c>
      <c r="E1084" s="2">
        <f>IFERROR(__xludf.DUMMYFUNCTION("""COMPUTED_VALUE"""),47.67)</f>
        <v>47.67</v>
      </c>
      <c r="G1084" s="3">
        <f>IFERROR(__xludf.DUMMYFUNCTION("""COMPUTED_VALUE"""),43409.99861111111)</f>
        <v>43409.99861</v>
      </c>
      <c r="H1084" s="2">
        <f>IFERROR(__xludf.DUMMYFUNCTION("""COMPUTED_VALUE"""),6404.0)</f>
        <v>6404</v>
      </c>
    </row>
    <row r="1085">
      <c r="A1085" s="3">
        <f>IFERROR(__xludf.DUMMYFUNCTION("""COMPUTED_VALUE"""),43579.66666666667)</f>
        <v>43579.66667</v>
      </c>
      <c r="B1085" s="2">
        <f>IFERROR(__xludf.DUMMYFUNCTION("""COMPUTED_VALUE"""),92.79)</f>
        <v>92.79</v>
      </c>
      <c r="D1085" s="3">
        <f>IFERROR(__xludf.DUMMYFUNCTION("""COMPUTED_VALUE"""),43579.66666666667)</f>
        <v>43579.66667</v>
      </c>
      <c r="E1085" s="2">
        <f>IFERROR(__xludf.DUMMYFUNCTION("""COMPUTED_VALUE"""),47.79)</f>
        <v>47.79</v>
      </c>
      <c r="G1085" s="3">
        <f>IFERROR(__xludf.DUMMYFUNCTION("""COMPUTED_VALUE"""),43410.99861111111)</f>
        <v>43410.99861</v>
      </c>
      <c r="H1085" s="2">
        <f>IFERROR(__xludf.DUMMYFUNCTION("""COMPUTED_VALUE"""),6448.5)</f>
        <v>6448.5</v>
      </c>
    </row>
    <row r="1086">
      <c r="A1086" s="3">
        <f>IFERROR(__xludf.DUMMYFUNCTION("""COMPUTED_VALUE"""),43580.66666666667)</f>
        <v>43580.66667</v>
      </c>
      <c r="B1086" s="2">
        <f>IFERROR(__xludf.DUMMYFUNCTION("""COMPUTED_VALUE"""),87.74)</f>
        <v>87.74</v>
      </c>
      <c r="D1086" s="3">
        <f>IFERROR(__xludf.DUMMYFUNCTION("""COMPUTED_VALUE"""),43580.66666666667)</f>
        <v>43580.66667</v>
      </c>
      <c r="E1086" s="2">
        <f>IFERROR(__xludf.DUMMYFUNCTION("""COMPUTED_VALUE"""),46.73)</f>
        <v>46.73</v>
      </c>
      <c r="G1086" s="3">
        <f>IFERROR(__xludf.DUMMYFUNCTION("""COMPUTED_VALUE"""),43411.99861111111)</f>
        <v>43411.99861</v>
      </c>
      <c r="H1086" s="2">
        <f>IFERROR(__xludf.DUMMYFUNCTION("""COMPUTED_VALUE"""),6503.12)</f>
        <v>6503.12</v>
      </c>
    </row>
    <row r="1087">
      <c r="A1087" s="3">
        <f>IFERROR(__xludf.DUMMYFUNCTION("""COMPUTED_VALUE"""),43581.66666666667)</f>
        <v>43581.66667</v>
      </c>
      <c r="B1087" s="2">
        <f>IFERROR(__xludf.DUMMYFUNCTION("""COMPUTED_VALUE"""),85.88)</f>
        <v>85.88</v>
      </c>
      <c r="D1087" s="3">
        <f>IFERROR(__xludf.DUMMYFUNCTION("""COMPUTED_VALUE"""),43581.66666666667)</f>
        <v>43581.66667</v>
      </c>
      <c r="E1087" s="2">
        <f>IFERROR(__xludf.DUMMYFUNCTION("""COMPUTED_VALUE"""),44.52)</f>
        <v>44.52</v>
      </c>
      <c r="G1087" s="3">
        <f>IFERROR(__xludf.DUMMYFUNCTION("""COMPUTED_VALUE"""),43412.99861111111)</f>
        <v>43412.99861</v>
      </c>
      <c r="H1087" s="2">
        <f>IFERROR(__xludf.DUMMYFUNCTION("""COMPUTED_VALUE"""),6406.24)</f>
        <v>6406.24</v>
      </c>
    </row>
    <row r="1088">
      <c r="A1088" s="3">
        <f>IFERROR(__xludf.DUMMYFUNCTION("""COMPUTED_VALUE"""),43584.66666666667)</f>
        <v>43584.66667</v>
      </c>
      <c r="B1088" s="2">
        <f>IFERROR(__xludf.DUMMYFUNCTION("""COMPUTED_VALUE"""),86.73)</f>
        <v>86.73</v>
      </c>
      <c r="D1088" s="3">
        <f>IFERROR(__xludf.DUMMYFUNCTION("""COMPUTED_VALUE"""),43584.66666666667)</f>
        <v>43584.66667</v>
      </c>
      <c r="E1088" s="2">
        <f>IFERROR(__xludf.DUMMYFUNCTION("""COMPUTED_VALUE"""),44.83)</f>
        <v>44.83</v>
      </c>
      <c r="G1088" s="3">
        <f>IFERROR(__xludf.DUMMYFUNCTION("""COMPUTED_VALUE"""),43413.99861111111)</f>
        <v>43413.99861</v>
      </c>
      <c r="H1088" s="2">
        <f>IFERROR(__xludf.DUMMYFUNCTION("""COMPUTED_VALUE"""),6334.89)</f>
        <v>6334.89</v>
      </c>
    </row>
    <row r="1089">
      <c r="A1089" s="3">
        <f>IFERROR(__xludf.DUMMYFUNCTION("""COMPUTED_VALUE"""),43585.66666666667)</f>
        <v>43585.66667</v>
      </c>
      <c r="B1089" s="2">
        <f>IFERROR(__xludf.DUMMYFUNCTION("""COMPUTED_VALUE"""),87.03)</f>
        <v>87.03</v>
      </c>
      <c r="D1089" s="3">
        <f>IFERROR(__xludf.DUMMYFUNCTION("""COMPUTED_VALUE"""),43585.66666666667)</f>
        <v>43585.66667</v>
      </c>
      <c r="E1089" s="2">
        <f>IFERROR(__xludf.DUMMYFUNCTION("""COMPUTED_VALUE"""),45.25)</f>
        <v>45.25</v>
      </c>
      <c r="G1089" s="3">
        <f>IFERROR(__xludf.DUMMYFUNCTION("""COMPUTED_VALUE"""),43414.99861111111)</f>
        <v>43414.99861</v>
      </c>
      <c r="H1089" s="2">
        <f>IFERROR(__xludf.DUMMYFUNCTION("""COMPUTED_VALUE"""),6347.42)</f>
        <v>6347.42</v>
      </c>
    </row>
    <row r="1090">
      <c r="A1090" s="3">
        <f>IFERROR(__xludf.DUMMYFUNCTION("""COMPUTED_VALUE"""),43586.66666666667)</f>
        <v>43586.66667</v>
      </c>
      <c r="B1090" s="2">
        <f>IFERROR(__xludf.DUMMYFUNCTION("""COMPUTED_VALUE"""),85.86)</f>
        <v>85.86</v>
      </c>
      <c r="D1090" s="3">
        <f>IFERROR(__xludf.DUMMYFUNCTION("""COMPUTED_VALUE"""),43586.66666666667)</f>
        <v>43586.66667</v>
      </c>
      <c r="E1090" s="2">
        <f>IFERROR(__xludf.DUMMYFUNCTION("""COMPUTED_VALUE"""),45.12)</f>
        <v>45.12</v>
      </c>
      <c r="G1090" s="3">
        <f>IFERROR(__xludf.DUMMYFUNCTION("""COMPUTED_VALUE"""),43415.99861111111)</f>
        <v>43415.99861</v>
      </c>
      <c r="H1090" s="2">
        <f>IFERROR(__xludf.DUMMYFUNCTION("""COMPUTED_VALUE"""),6357.6)</f>
        <v>6357.6</v>
      </c>
    </row>
    <row r="1091">
      <c r="A1091" s="3">
        <f>IFERROR(__xludf.DUMMYFUNCTION("""COMPUTED_VALUE"""),43587.66666666667)</f>
        <v>43587.66667</v>
      </c>
      <c r="B1091" s="2">
        <f>IFERROR(__xludf.DUMMYFUNCTION("""COMPUTED_VALUE"""),87.35)</f>
        <v>87.35</v>
      </c>
      <c r="D1091" s="3">
        <f>IFERROR(__xludf.DUMMYFUNCTION("""COMPUTED_VALUE"""),43587.66666666667)</f>
        <v>43587.66667</v>
      </c>
      <c r="E1091" s="2">
        <f>IFERROR(__xludf.DUMMYFUNCTION("""COMPUTED_VALUE"""),45.8)</f>
        <v>45.8</v>
      </c>
      <c r="G1091" s="3">
        <f>IFERROR(__xludf.DUMMYFUNCTION("""COMPUTED_VALUE"""),43416.99861111111)</f>
        <v>43416.99861</v>
      </c>
      <c r="H1091" s="2">
        <f>IFERROR(__xludf.DUMMYFUNCTION("""COMPUTED_VALUE"""),6327.87)</f>
        <v>6327.87</v>
      </c>
    </row>
    <row r="1092">
      <c r="A1092" s="3">
        <f>IFERROR(__xludf.DUMMYFUNCTION("""COMPUTED_VALUE"""),43588.66666666667)</f>
        <v>43588.66667</v>
      </c>
      <c r="B1092" s="2">
        <f>IFERROR(__xludf.DUMMYFUNCTION("""COMPUTED_VALUE"""),88.18)</f>
        <v>88.18</v>
      </c>
      <c r="D1092" s="3">
        <f>IFERROR(__xludf.DUMMYFUNCTION("""COMPUTED_VALUE"""),43588.66666666667)</f>
        <v>43588.66667</v>
      </c>
      <c r="E1092" s="2">
        <f>IFERROR(__xludf.DUMMYFUNCTION("""COMPUTED_VALUE"""),45.75)</f>
        <v>45.75</v>
      </c>
      <c r="G1092" s="3">
        <f>IFERROR(__xludf.DUMMYFUNCTION("""COMPUTED_VALUE"""),43417.99861111111)</f>
        <v>43417.99861</v>
      </c>
      <c r="H1092" s="2">
        <f>IFERROR(__xludf.DUMMYFUNCTION("""COMPUTED_VALUE"""),6259.34)</f>
        <v>6259.34</v>
      </c>
    </row>
    <row r="1093">
      <c r="A1093" s="3">
        <f>IFERROR(__xludf.DUMMYFUNCTION("""COMPUTED_VALUE"""),43591.66666666667)</f>
        <v>43591.66667</v>
      </c>
      <c r="B1093" s="2">
        <f>IFERROR(__xludf.DUMMYFUNCTION("""COMPUTED_VALUE"""),88.14)</f>
        <v>88.14</v>
      </c>
      <c r="D1093" s="3">
        <f>IFERROR(__xludf.DUMMYFUNCTION("""COMPUTED_VALUE"""),43591.66666666667)</f>
        <v>43591.66667</v>
      </c>
      <c r="E1093" s="2">
        <f>IFERROR(__xludf.DUMMYFUNCTION("""COMPUTED_VALUE"""),44.96)</f>
        <v>44.96</v>
      </c>
      <c r="G1093" s="3">
        <f>IFERROR(__xludf.DUMMYFUNCTION("""COMPUTED_VALUE"""),43418.99861111111)</f>
        <v>43418.99861</v>
      </c>
      <c r="H1093" s="2">
        <f>IFERROR(__xludf.DUMMYFUNCTION("""COMPUTED_VALUE"""),5605.46)</f>
        <v>5605.46</v>
      </c>
    </row>
    <row r="1094">
      <c r="A1094" s="3">
        <f>IFERROR(__xludf.DUMMYFUNCTION("""COMPUTED_VALUE"""),43592.66666666667)</f>
        <v>43592.66667</v>
      </c>
      <c r="B1094" s="2">
        <f>IFERROR(__xludf.DUMMYFUNCTION("""COMPUTED_VALUE"""),86.42)</f>
        <v>86.42</v>
      </c>
      <c r="D1094" s="3">
        <f>IFERROR(__xludf.DUMMYFUNCTION("""COMPUTED_VALUE"""),43592.66666666667)</f>
        <v>43592.66667</v>
      </c>
      <c r="E1094" s="2">
        <f>IFERROR(__xludf.DUMMYFUNCTION("""COMPUTED_VALUE"""),43.28)</f>
        <v>43.28</v>
      </c>
      <c r="G1094" s="3">
        <f>IFERROR(__xludf.DUMMYFUNCTION("""COMPUTED_VALUE"""),43419.99861111111)</f>
        <v>43419.99861</v>
      </c>
      <c r="H1094" s="2">
        <f>IFERROR(__xludf.DUMMYFUNCTION("""COMPUTED_VALUE"""),5579.52)</f>
        <v>5579.52</v>
      </c>
    </row>
    <row r="1095">
      <c r="A1095" s="3">
        <f>IFERROR(__xludf.DUMMYFUNCTION("""COMPUTED_VALUE"""),43593.66666666667)</f>
        <v>43593.66667</v>
      </c>
      <c r="B1095" s="2">
        <f>IFERROR(__xludf.DUMMYFUNCTION("""COMPUTED_VALUE"""),86.75)</f>
        <v>86.75</v>
      </c>
      <c r="D1095" s="3">
        <f>IFERROR(__xludf.DUMMYFUNCTION("""COMPUTED_VALUE"""),43593.66666666667)</f>
        <v>43593.66667</v>
      </c>
      <c r="E1095" s="2">
        <f>IFERROR(__xludf.DUMMYFUNCTION("""COMPUTED_VALUE"""),43.48)</f>
        <v>43.48</v>
      </c>
      <c r="G1095" s="3">
        <f>IFERROR(__xludf.DUMMYFUNCTION("""COMPUTED_VALUE"""),43420.99861111111)</f>
        <v>43420.99861</v>
      </c>
      <c r="H1095" s="2">
        <f>IFERROR(__xludf.DUMMYFUNCTION("""COMPUTED_VALUE"""),5512.24)</f>
        <v>5512.24</v>
      </c>
    </row>
    <row r="1096">
      <c r="A1096" s="3">
        <f>IFERROR(__xludf.DUMMYFUNCTION("""COMPUTED_VALUE"""),43594.66666666667)</f>
        <v>43594.66667</v>
      </c>
      <c r="B1096" s="2">
        <f>IFERROR(__xludf.DUMMYFUNCTION("""COMPUTED_VALUE"""),86.3)</f>
        <v>86.3</v>
      </c>
      <c r="D1096" s="3">
        <f>IFERROR(__xludf.DUMMYFUNCTION("""COMPUTED_VALUE"""),43594.66666666667)</f>
        <v>43594.66667</v>
      </c>
      <c r="E1096" s="2">
        <f>IFERROR(__xludf.DUMMYFUNCTION("""COMPUTED_VALUE"""),42.55)</f>
        <v>42.55</v>
      </c>
      <c r="G1096" s="3">
        <f>IFERROR(__xludf.DUMMYFUNCTION("""COMPUTED_VALUE"""),43421.99861111111)</f>
        <v>43421.99861</v>
      </c>
      <c r="H1096" s="2">
        <f>IFERROR(__xludf.DUMMYFUNCTION("""COMPUTED_VALUE"""),5504.17)</f>
        <v>5504.17</v>
      </c>
    </row>
    <row r="1097">
      <c r="A1097" s="3">
        <f>IFERROR(__xludf.DUMMYFUNCTION("""COMPUTED_VALUE"""),43595.66666666667)</f>
        <v>43595.66667</v>
      </c>
      <c r="B1097" s="2">
        <f>IFERROR(__xludf.DUMMYFUNCTION("""COMPUTED_VALUE"""),85.83)</f>
        <v>85.83</v>
      </c>
      <c r="D1097" s="3">
        <f>IFERROR(__xludf.DUMMYFUNCTION("""COMPUTED_VALUE"""),43595.66666666667)</f>
        <v>43595.66667</v>
      </c>
      <c r="E1097" s="2">
        <f>IFERROR(__xludf.DUMMYFUNCTION("""COMPUTED_VALUE"""),42.21)</f>
        <v>42.21</v>
      </c>
      <c r="G1097" s="3">
        <f>IFERROR(__xludf.DUMMYFUNCTION("""COMPUTED_VALUE"""),43422.99861111111)</f>
        <v>43422.99861</v>
      </c>
      <c r="H1097" s="2">
        <f>IFERROR(__xludf.DUMMYFUNCTION("""COMPUTED_VALUE"""),5560.0)</f>
        <v>5560</v>
      </c>
    </row>
    <row r="1098">
      <c r="A1098" s="3">
        <f>IFERROR(__xludf.DUMMYFUNCTION("""COMPUTED_VALUE"""),43598.66666666667)</f>
        <v>43598.66667</v>
      </c>
      <c r="B1098" s="2">
        <f>IFERROR(__xludf.DUMMYFUNCTION("""COMPUTED_VALUE"""),82.62)</f>
        <v>82.62</v>
      </c>
      <c r="D1098" s="3">
        <f>IFERROR(__xludf.DUMMYFUNCTION("""COMPUTED_VALUE"""),43598.66666666667)</f>
        <v>43598.66667</v>
      </c>
      <c r="E1098" s="2">
        <f>IFERROR(__xludf.DUMMYFUNCTION("""COMPUTED_VALUE"""),39.61)</f>
        <v>39.61</v>
      </c>
      <c r="G1098" s="3">
        <f>IFERROR(__xludf.DUMMYFUNCTION("""COMPUTED_VALUE"""),43423.99861111111)</f>
        <v>43423.99861</v>
      </c>
      <c r="H1098" s="2">
        <f>IFERROR(__xludf.DUMMYFUNCTION("""COMPUTED_VALUE"""),4733.5)</f>
        <v>4733.5</v>
      </c>
    </row>
    <row r="1099">
      <c r="A1099" s="3">
        <f>IFERROR(__xludf.DUMMYFUNCTION("""COMPUTED_VALUE"""),43599.66666666667)</f>
        <v>43599.66667</v>
      </c>
      <c r="B1099" s="2">
        <f>IFERROR(__xludf.DUMMYFUNCTION("""COMPUTED_VALUE"""),83.79)</f>
        <v>83.79</v>
      </c>
      <c r="D1099" s="3">
        <f>IFERROR(__xludf.DUMMYFUNCTION("""COMPUTED_VALUE"""),43599.66666666667)</f>
        <v>43599.66667</v>
      </c>
      <c r="E1099" s="2">
        <f>IFERROR(__xludf.DUMMYFUNCTION("""COMPUTED_VALUE"""),40.51)</f>
        <v>40.51</v>
      </c>
      <c r="G1099" s="3">
        <f>IFERROR(__xludf.DUMMYFUNCTION("""COMPUTED_VALUE"""),43424.99861111111)</f>
        <v>43424.99861</v>
      </c>
      <c r="H1099" s="2">
        <f>IFERROR(__xludf.DUMMYFUNCTION("""COMPUTED_VALUE"""),4349.23)</f>
        <v>4349.23</v>
      </c>
    </row>
    <row r="1100">
      <c r="A1100" s="3">
        <f>IFERROR(__xludf.DUMMYFUNCTION("""COMPUTED_VALUE"""),43600.66666666667)</f>
        <v>43600.66667</v>
      </c>
      <c r="B1100" s="2">
        <f>IFERROR(__xludf.DUMMYFUNCTION("""COMPUTED_VALUE"""),84.41)</f>
        <v>84.41</v>
      </c>
      <c r="D1100" s="3">
        <f>IFERROR(__xludf.DUMMYFUNCTION("""COMPUTED_VALUE"""),43600.66666666667)</f>
        <v>43600.66667</v>
      </c>
      <c r="E1100" s="2">
        <f>IFERROR(__xludf.DUMMYFUNCTION("""COMPUTED_VALUE"""),39.9)</f>
        <v>39.9</v>
      </c>
      <c r="G1100" s="3">
        <f>IFERROR(__xludf.DUMMYFUNCTION("""COMPUTED_VALUE"""),43425.99861111111)</f>
        <v>43425.99861</v>
      </c>
      <c r="H1100" s="2">
        <f>IFERROR(__xludf.DUMMYFUNCTION("""COMPUTED_VALUE"""),4545.11)</f>
        <v>4545.11</v>
      </c>
    </row>
    <row r="1101">
      <c r="A1101" s="3">
        <f>IFERROR(__xludf.DUMMYFUNCTION("""COMPUTED_VALUE"""),43601.66666666667)</f>
        <v>43601.66667</v>
      </c>
      <c r="B1101" s="2">
        <f>IFERROR(__xludf.DUMMYFUNCTION("""COMPUTED_VALUE"""),85.19)</f>
        <v>85.19</v>
      </c>
      <c r="D1101" s="3">
        <f>IFERROR(__xludf.DUMMYFUNCTION("""COMPUTED_VALUE"""),43601.66666666667)</f>
        <v>43601.66667</v>
      </c>
      <c r="E1101" s="2">
        <f>IFERROR(__xludf.DUMMYFUNCTION("""COMPUTED_VALUE"""),40.05)</f>
        <v>40.05</v>
      </c>
      <c r="G1101" s="3">
        <f>IFERROR(__xludf.DUMMYFUNCTION("""COMPUTED_VALUE"""),43426.99861111111)</f>
        <v>43426.99861</v>
      </c>
      <c r="H1101" s="2">
        <f>IFERROR(__xludf.DUMMYFUNCTION("""COMPUTED_VALUE"""),4265.36)</f>
        <v>4265.36</v>
      </c>
    </row>
    <row r="1102">
      <c r="A1102" s="3">
        <f>IFERROR(__xludf.DUMMYFUNCTION("""COMPUTED_VALUE"""),43602.66666666667)</f>
        <v>43602.66667</v>
      </c>
      <c r="B1102" s="2">
        <f>IFERROR(__xludf.DUMMYFUNCTION("""COMPUTED_VALUE"""),81.86)</f>
        <v>81.86</v>
      </c>
      <c r="D1102" s="3">
        <f>IFERROR(__xludf.DUMMYFUNCTION("""COMPUTED_VALUE"""),43602.66666666667)</f>
        <v>43602.66667</v>
      </c>
      <c r="E1102" s="2">
        <f>IFERROR(__xludf.DUMMYFUNCTION("""COMPUTED_VALUE"""),39.13)</f>
        <v>39.13</v>
      </c>
      <c r="G1102" s="3">
        <f>IFERROR(__xludf.DUMMYFUNCTION("""COMPUTED_VALUE"""),43427.99861111111)</f>
        <v>43427.99861</v>
      </c>
      <c r="H1102" s="2">
        <f>IFERROR(__xludf.DUMMYFUNCTION("""COMPUTED_VALUE"""),4283.8)</f>
        <v>4283.8</v>
      </c>
    </row>
    <row r="1103">
      <c r="A1103" s="3">
        <f>IFERROR(__xludf.DUMMYFUNCTION("""COMPUTED_VALUE"""),43605.66666666667)</f>
        <v>43605.66667</v>
      </c>
      <c r="B1103" s="2">
        <f>IFERROR(__xludf.DUMMYFUNCTION("""COMPUTED_VALUE"""),74.56)</f>
        <v>74.56</v>
      </c>
      <c r="D1103" s="3">
        <f>IFERROR(__xludf.DUMMYFUNCTION("""COMPUTED_VALUE"""),43605.66666666667)</f>
        <v>43605.66667</v>
      </c>
      <c r="E1103" s="2">
        <f>IFERROR(__xludf.DUMMYFUNCTION("""COMPUTED_VALUE"""),37.94)</f>
        <v>37.94</v>
      </c>
      <c r="G1103" s="3">
        <f>IFERROR(__xludf.DUMMYFUNCTION("""COMPUTED_VALUE"""),43428.99861111111)</f>
        <v>43428.99861</v>
      </c>
      <c r="H1103" s="2">
        <f>IFERROR(__xludf.DUMMYFUNCTION("""COMPUTED_VALUE"""),3774.99)</f>
        <v>3774.99</v>
      </c>
    </row>
    <row r="1104">
      <c r="A1104" s="3">
        <f>IFERROR(__xludf.DUMMYFUNCTION("""COMPUTED_VALUE"""),43606.66666666667)</f>
        <v>43606.66667</v>
      </c>
      <c r="B1104" s="2">
        <f>IFERROR(__xludf.DUMMYFUNCTION("""COMPUTED_VALUE"""),75.36)</f>
        <v>75.36</v>
      </c>
      <c r="D1104" s="3">
        <f>IFERROR(__xludf.DUMMYFUNCTION("""COMPUTED_VALUE"""),43606.66666666667)</f>
        <v>43606.66667</v>
      </c>
      <c r="E1104" s="2">
        <f>IFERROR(__xludf.DUMMYFUNCTION("""COMPUTED_VALUE"""),38.77)</f>
        <v>38.77</v>
      </c>
      <c r="G1104" s="3">
        <f>IFERROR(__xludf.DUMMYFUNCTION("""COMPUTED_VALUE"""),43429.99861111111)</f>
        <v>43429.99861</v>
      </c>
      <c r="H1104" s="2">
        <f>IFERROR(__xludf.DUMMYFUNCTION("""COMPUTED_VALUE"""),3936.69)</f>
        <v>3936.69</v>
      </c>
    </row>
    <row r="1105">
      <c r="A1105" s="3">
        <f>IFERROR(__xludf.DUMMYFUNCTION("""COMPUTED_VALUE"""),43607.66666666667)</f>
        <v>43607.66667</v>
      </c>
      <c r="B1105" s="2">
        <f>IFERROR(__xludf.DUMMYFUNCTION("""COMPUTED_VALUE"""),75.76)</f>
        <v>75.76</v>
      </c>
      <c r="D1105" s="3">
        <f>IFERROR(__xludf.DUMMYFUNCTION("""COMPUTED_VALUE"""),43607.66666666667)</f>
        <v>43607.66667</v>
      </c>
      <c r="E1105" s="2">
        <f>IFERROR(__xludf.DUMMYFUNCTION("""COMPUTED_VALUE"""),38.05)</f>
        <v>38.05</v>
      </c>
      <c r="G1105" s="3">
        <f>IFERROR(__xludf.DUMMYFUNCTION("""COMPUTED_VALUE"""),43430.99861111111)</f>
        <v>43430.99861</v>
      </c>
      <c r="H1105" s="2">
        <f>IFERROR(__xludf.DUMMYFUNCTION("""COMPUTED_VALUE"""),3731.32)</f>
        <v>3731.32</v>
      </c>
    </row>
    <row r="1106">
      <c r="A1106" s="3">
        <f>IFERROR(__xludf.DUMMYFUNCTION("""COMPUTED_VALUE"""),43608.66666666667)</f>
        <v>43608.66667</v>
      </c>
      <c r="B1106" s="2">
        <f>IFERROR(__xludf.DUMMYFUNCTION("""COMPUTED_VALUE"""),73.56)</f>
        <v>73.56</v>
      </c>
      <c r="D1106" s="3">
        <f>IFERROR(__xludf.DUMMYFUNCTION("""COMPUTED_VALUE"""),43608.66666666667)</f>
        <v>43608.66667</v>
      </c>
      <c r="E1106" s="2">
        <f>IFERROR(__xludf.DUMMYFUNCTION("""COMPUTED_VALUE"""),36.83)</f>
        <v>36.83</v>
      </c>
      <c r="G1106" s="3">
        <f>IFERROR(__xludf.DUMMYFUNCTION("""COMPUTED_VALUE"""),43431.99861111111)</f>
        <v>43431.99861</v>
      </c>
      <c r="H1106" s="2">
        <f>IFERROR(__xludf.DUMMYFUNCTION("""COMPUTED_VALUE"""),3775.0)</f>
        <v>3775</v>
      </c>
    </row>
    <row r="1107">
      <c r="A1107" s="3">
        <f>IFERROR(__xludf.DUMMYFUNCTION("""COMPUTED_VALUE"""),43609.66666666667)</f>
        <v>43609.66667</v>
      </c>
      <c r="B1107" s="2">
        <f>IFERROR(__xludf.DUMMYFUNCTION("""COMPUTED_VALUE"""),73.69)</f>
        <v>73.69</v>
      </c>
      <c r="D1107" s="3">
        <f>IFERROR(__xludf.DUMMYFUNCTION("""COMPUTED_VALUE"""),43609.66666666667)</f>
        <v>43609.66667</v>
      </c>
      <c r="E1107" s="2">
        <f>IFERROR(__xludf.DUMMYFUNCTION("""COMPUTED_VALUE"""),36.29)</f>
        <v>36.29</v>
      </c>
      <c r="G1107" s="3">
        <f>IFERROR(__xludf.DUMMYFUNCTION("""COMPUTED_VALUE"""),43432.99861111111)</f>
        <v>43432.99861</v>
      </c>
      <c r="H1107" s="2">
        <f>IFERROR(__xludf.DUMMYFUNCTION("""COMPUTED_VALUE"""),4225.03)</f>
        <v>4225.03</v>
      </c>
    </row>
    <row r="1108">
      <c r="A1108" s="3">
        <f>IFERROR(__xludf.DUMMYFUNCTION("""COMPUTED_VALUE"""),43613.66666666667)</f>
        <v>43613.66667</v>
      </c>
      <c r="B1108" s="2">
        <f>IFERROR(__xludf.DUMMYFUNCTION("""COMPUTED_VALUE"""),73.13)</f>
        <v>73.13</v>
      </c>
      <c r="D1108" s="3">
        <f>IFERROR(__xludf.DUMMYFUNCTION("""COMPUTED_VALUE"""),43613.66666666667)</f>
        <v>43613.66667</v>
      </c>
      <c r="E1108" s="2">
        <f>IFERROR(__xludf.DUMMYFUNCTION("""COMPUTED_VALUE"""),35.83)</f>
        <v>35.83</v>
      </c>
      <c r="G1108" s="3">
        <f>IFERROR(__xludf.DUMMYFUNCTION("""COMPUTED_VALUE"""),43433.99861111111)</f>
        <v>43433.99861</v>
      </c>
      <c r="H1108" s="2">
        <f>IFERROR(__xludf.DUMMYFUNCTION("""COMPUTED_VALUE"""),4248.0)</f>
        <v>4248</v>
      </c>
    </row>
    <row r="1109">
      <c r="A1109" s="3">
        <f>IFERROR(__xludf.DUMMYFUNCTION("""COMPUTED_VALUE"""),43614.66666666667)</f>
        <v>43614.66667</v>
      </c>
      <c r="B1109" s="2">
        <f>IFERROR(__xludf.DUMMYFUNCTION("""COMPUTED_VALUE"""),71.42)</f>
        <v>71.42</v>
      </c>
      <c r="D1109" s="3">
        <f>IFERROR(__xludf.DUMMYFUNCTION("""COMPUTED_VALUE"""),43614.66666666667)</f>
        <v>43614.66667</v>
      </c>
      <c r="E1109" s="2">
        <f>IFERROR(__xludf.DUMMYFUNCTION("""COMPUTED_VALUE"""),35.09)</f>
        <v>35.09</v>
      </c>
      <c r="G1109" s="3">
        <f>IFERROR(__xludf.DUMMYFUNCTION("""COMPUTED_VALUE"""),43434.99861111111)</f>
        <v>43434.99861</v>
      </c>
      <c r="H1109" s="2">
        <f>IFERROR(__xludf.DUMMYFUNCTION("""COMPUTED_VALUE"""),3976.0)</f>
        <v>3976</v>
      </c>
    </row>
    <row r="1110">
      <c r="A1110" s="3">
        <f>IFERROR(__xludf.DUMMYFUNCTION("""COMPUTED_VALUE"""),43615.66666666667)</f>
        <v>43615.66667</v>
      </c>
      <c r="B1110" s="2">
        <f>IFERROR(__xludf.DUMMYFUNCTION("""COMPUTED_VALUE"""),79.49)</f>
        <v>79.49</v>
      </c>
      <c r="D1110" s="3">
        <f>IFERROR(__xludf.DUMMYFUNCTION("""COMPUTED_VALUE"""),43615.66666666667)</f>
        <v>43615.66667</v>
      </c>
      <c r="E1110" s="2">
        <f>IFERROR(__xludf.DUMMYFUNCTION("""COMPUTED_VALUE"""),34.78)</f>
        <v>34.78</v>
      </c>
      <c r="G1110" s="3">
        <f>IFERROR(__xludf.DUMMYFUNCTION("""COMPUTED_VALUE"""),43435.99861111111)</f>
        <v>43435.99861</v>
      </c>
      <c r="H1110" s="2">
        <f>IFERROR(__xludf.DUMMYFUNCTION("""COMPUTED_VALUE"""),4142.01)</f>
        <v>4142.01</v>
      </c>
    </row>
    <row r="1111">
      <c r="A1111" s="3">
        <f>IFERROR(__xludf.DUMMYFUNCTION("""COMPUTED_VALUE"""),43616.66666666667)</f>
        <v>43616.66667</v>
      </c>
      <c r="B1111" s="2">
        <f>IFERROR(__xludf.DUMMYFUNCTION("""COMPUTED_VALUE"""),75.13)</f>
        <v>75.13</v>
      </c>
      <c r="D1111" s="3">
        <f>IFERROR(__xludf.DUMMYFUNCTION("""COMPUTED_VALUE"""),43616.66666666667)</f>
        <v>43616.66667</v>
      </c>
      <c r="E1111" s="2">
        <f>IFERROR(__xludf.DUMMYFUNCTION("""COMPUTED_VALUE"""),33.87)</f>
        <v>33.87</v>
      </c>
      <c r="G1111" s="3">
        <f>IFERROR(__xludf.DUMMYFUNCTION("""COMPUTED_VALUE"""),43436.99861111111)</f>
        <v>43436.99861</v>
      </c>
      <c r="H1111" s="2">
        <f>IFERROR(__xludf.DUMMYFUNCTION("""COMPUTED_VALUE"""),4103.19)</f>
        <v>4103.19</v>
      </c>
    </row>
    <row r="1112">
      <c r="A1112" s="3">
        <f>IFERROR(__xludf.DUMMYFUNCTION("""COMPUTED_VALUE"""),43619.66666666667)</f>
        <v>43619.66667</v>
      </c>
      <c r="B1112" s="2">
        <f>IFERROR(__xludf.DUMMYFUNCTION("""COMPUTED_VALUE"""),74.21)</f>
        <v>74.21</v>
      </c>
      <c r="D1112" s="3">
        <f>IFERROR(__xludf.DUMMYFUNCTION("""COMPUTED_VALUE"""),43619.66666666667)</f>
        <v>43619.66667</v>
      </c>
      <c r="E1112" s="2">
        <f>IFERROR(__xludf.DUMMYFUNCTION("""COMPUTED_VALUE"""),33.45)</f>
        <v>33.45</v>
      </c>
      <c r="G1112" s="3">
        <f>IFERROR(__xludf.DUMMYFUNCTION("""COMPUTED_VALUE"""),43437.99861111111)</f>
        <v>43437.99861</v>
      </c>
      <c r="H1112" s="2">
        <f>IFERROR(__xludf.DUMMYFUNCTION("""COMPUTED_VALUE"""),3833.47)</f>
        <v>3833.47</v>
      </c>
    </row>
    <row r="1113">
      <c r="A1113" s="3">
        <f>IFERROR(__xludf.DUMMYFUNCTION("""COMPUTED_VALUE"""),43620.66666666667)</f>
        <v>43620.66667</v>
      </c>
      <c r="B1113" s="2">
        <f>IFERROR(__xludf.DUMMYFUNCTION("""COMPUTED_VALUE"""),78.16)</f>
        <v>78.16</v>
      </c>
      <c r="D1113" s="3">
        <f>IFERROR(__xludf.DUMMYFUNCTION("""COMPUTED_VALUE"""),43620.66666666667)</f>
        <v>43620.66667</v>
      </c>
      <c r="E1113" s="2">
        <f>IFERROR(__xludf.DUMMYFUNCTION("""COMPUTED_VALUE"""),35.75)</f>
        <v>35.75</v>
      </c>
      <c r="G1113" s="3">
        <f>IFERROR(__xludf.DUMMYFUNCTION("""COMPUTED_VALUE"""),43438.99861111111)</f>
        <v>43438.99861</v>
      </c>
      <c r="H1113" s="2">
        <f>IFERROR(__xludf.DUMMYFUNCTION("""COMPUTED_VALUE"""),3901.84)</f>
        <v>3901.84</v>
      </c>
    </row>
    <row r="1114">
      <c r="A1114" s="3">
        <f>IFERROR(__xludf.DUMMYFUNCTION("""COMPUTED_VALUE"""),43621.66666666667)</f>
        <v>43621.66667</v>
      </c>
      <c r="B1114" s="2">
        <f>IFERROR(__xludf.DUMMYFUNCTION("""COMPUTED_VALUE"""),79.08)</f>
        <v>79.08</v>
      </c>
      <c r="D1114" s="3">
        <f>IFERROR(__xludf.DUMMYFUNCTION("""COMPUTED_VALUE"""),43621.66666666667)</f>
        <v>43621.66667</v>
      </c>
      <c r="E1114" s="2">
        <f>IFERROR(__xludf.DUMMYFUNCTION("""COMPUTED_VALUE"""),35.32)</f>
        <v>35.32</v>
      </c>
      <c r="G1114" s="3">
        <f>IFERROR(__xludf.DUMMYFUNCTION("""COMPUTED_VALUE"""),43439.99861111111)</f>
        <v>43439.99861</v>
      </c>
      <c r="H1114" s="2">
        <f>IFERROR(__xludf.DUMMYFUNCTION("""COMPUTED_VALUE"""),3694.39)</f>
        <v>3694.39</v>
      </c>
    </row>
    <row r="1115">
      <c r="A1115" s="3">
        <f>IFERROR(__xludf.DUMMYFUNCTION("""COMPUTED_VALUE"""),43622.66666666667)</f>
        <v>43622.66667</v>
      </c>
      <c r="B1115" s="2">
        <f>IFERROR(__xludf.DUMMYFUNCTION("""COMPUTED_VALUE"""),79.92)</f>
        <v>79.92</v>
      </c>
      <c r="D1115" s="3">
        <f>IFERROR(__xludf.DUMMYFUNCTION("""COMPUTED_VALUE"""),43622.66666666667)</f>
        <v>43622.66667</v>
      </c>
      <c r="E1115" s="2">
        <f>IFERROR(__xludf.DUMMYFUNCTION("""COMPUTED_VALUE"""),35.95)</f>
        <v>35.95</v>
      </c>
      <c r="G1115" s="3">
        <f>IFERROR(__xludf.DUMMYFUNCTION("""COMPUTED_VALUE"""),43440.99861111111)</f>
        <v>43440.99861</v>
      </c>
      <c r="H1115" s="2">
        <f>IFERROR(__xludf.DUMMYFUNCTION("""COMPUTED_VALUE"""),3433.26)</f>
        <v>3433.26</v>
      </c>
    </row>
    <row r="1116">
      <c r="A1116" s="3">
        <f>IFERROR(__xludf.DUMMYFUNCTION("""COMPUTED_VALUE"""),43623.66666666667)</f>
        <v>43623.66667</v>
      </c>
      <c r="B1116" s="2">
        <f>IFERROR(__xludf.DUMMYFUNCTION("""COMPUTED_VALUE"""),82.13)</f>
        <v>82.13</v>
      </c>
      <c r="D1116" s="3">
        <f>IFERROR(__xludf.DUMMYFUNCTION("""COMPUTED_VALUE"""),43623.66666666667)</f>
        <v>43623.66667</v>
      </c>
      <c r="E1116" s="2">
        <f>IFERROR(__xludf.DUMMYFUNCTION("""COMPUTED_VALUE"""),36.38)</f>
        <v>36.38</v>
      </c>
      <c r="G1116" s="3">
        <f>IFERROR(__xludf.DUMMYFUNCTION("""COMPUTED_VALUE"""),43441.99861111111)</f>
        <v>43441.99861</v>
      </c>
      <c r="H1116" s="2">
        <f>IFERROR(__xludf.DUMMYFUNCTION("""COMPUTED_VALUE"""),3380.01)</f>
        <v>3380.01</v>
      </c>
    </row>
    <row r="1117">
      <c r="A1117" s="3">
        <f>IFERROR(__xludf.DUMMYFUNCTION("""COMPUTED_VALUE"""),43626.66666666667)</f>
        <v>43626.66667</v>
      </c>
      <c r="B1117" s="2">
        <f>IFERROR(__xludf.DUMMYFUNCTION("""COMPUTED_VALUE"""),82.36)</f>
        <v>82.36</v>
      </c>
      <c r="D1117" s="3">
        <f>IFERROR(__xludf.DUMMYFUNCTION("""COMPUTED_VALUE"""),43626.66666666667)</f>
        <v>43626.66667</v>
      </c>
      <c r="E1117" s="2">
        <f>IFERROR(__xludf.DUMMYFUNCTION("""COMPUTED_VALUE"""),37.11)</f>
        <v>37.11</v>
      </c>
      <c r="G1117" s="3">
        <f>IFERROR(__xludf.DUMMYFUNCTION("""COMPUTED_VALUE"""),43442.99861111111)</f>
        <v>43442.99861</v>
      </c>
      <c r="H1117" s="2">
        <f>IFERROR(__xludf.DUMMYFUNCTION("""COMPUTED_VALUE"""),3401.0)</f>
        <v>3401</v>
      </c>
    </row>
    <row r="1118">
      <c r="A1118" s="3">
        <f>IFERROR(__xludf.DUMMYFUNCTION("""COMPUTED_VALUE"""),43627.66666666667)</f>
        <v>43627.66667</v>
      </c>
      <c r="B1118" s="2">
        <f>IFERROR(__xludf.DUMMYFUNCTION("""COMPUTED_VALUE"""),83.67)</f>
        <v>83.67</v>
      </c>
      <c r="D1118" s="3">
        <f>IFERROR(__xludf.DUMMYFUNCTION("""COMPUTED_VALUE"""),43627.66666666667)</f>
        <v>43627.66667</v>
      </c>
      <c r="E1118" s="2">
        <f>IFERROR(__xludf.DUMMYFUNCTION("""COMPUTED_VALUE"""),37.69)</f>
        <v>37.69</v>
      </c>
      <c r="G1118" s="3">
        <f>IFERROR(__xludf.DUMMYFUNCTION("""COMPUTED_VALUE"""),43443.99861111111)</f>
        <v>43443.99861</v>
      </c>
      <c r="H1118" s="2">
        <f>IFERROR(__xludf.DUMMYFUNCTION("""COMPUTED_VALUE"""),3531.18)</f>
        <v>3531.18</v>
      </c>
    </row>
    <row r="1119">
      <c r="A1119" s="3">
        <f>IFERROR(__xludf.DUMMYFUNCTION("""COMPUTED_VALUE"""),43628.66666666667)</f>
        <v>43628.66667</v>
      </c>
      <c r="B1119" s="2">
        <f>IFERROR(__xludf.DUMMYFUNCTION("""COMPUTED_VALUE"""),84.36)</f>
        <v>84.36</v>
      </c>
      <c r="D1119" s="3">
        <f>IFERROR(__xludf.DUMMYFUNCTION("""COMPUTED_VALUE"""),43628.66666666667)</f>
        <v>43628.66667</v>
      </c>
      <c r="E1119" s="2">
        <f>IFERROR(__xludf.DUMMYFUNCTION("""COMPUTED_VALUE"""),36.55)</f>
        <v>36.55</v>
      </c>
      <c r="G1119" s="3">
        <f>IFERROR(__xludf.DUMMYFUNCTION("""COMPUTED_VALUE"""),43444.99861111111)</f>
        <v>43444.99861</v>
      </c>
      <c r="H1119" s="2">
        <f>IFERROR(__xludf.DUMMYFUNCTION("""COMPUTED_VALUE"""),3410.15)</f>
        <v>3410.15</v>
      </c>
    </row>
    <row r="1120">
      <c r="A1120" s="3">
        <f>IFERROR(__xludf.DUMMYFUNCTION("""COMPUTED_VALUE"""),43629.66666666667)</f>
        <v>43629.66667</v>
      </c>
      <c r="B1120" s="2">
        <f>IFERROR(__xludf.DUMMYFUNCTION("""COMPUTED_VALUE"""),84.83)</f>
        <v>84.83</v>
      </c>
      <c r="D1120" s="3">
        <f>IFERROR(__xludf.DUMMYFUNCTION("""COMPUTED_VALUE"""),43629.66666666667)</f>
        <v>43629.66667</v>
      </c>
      <c r="E1120" s="2">
        <f>IFERROR(__xludf.DUMMYFUNCTION("""COMPUTED_VALUE"""),37.07)</f>
        <v>37.07</v>
      </c>
      <c r="G1120" s="3">
        <f>IFERROR(__xludf.DUMMYFUNCTION("""COMPUTED_VALUE"""),43445.99861111111)</f>
        <v>43445.99861</v>
      </c>
      <c r="H1120" s="2">
        <f>IFERROR(__xludf.DUMMYFUNCTION("""COMPUTED_VALUE"""),3349.36)</f>
        <v>3349.36</v>
      </c>
    </row>
    <row r="1121">
      <c r="A1121" s="3">
        <f>IFERROR(__xludf.DUMMYFUNCTION("""COMPUTED_VALUE"""),43630.66666666667)</f>
        <v>43630.66667</v>
      </c>
      <c r="B1121" s="2">
        <f>IFERROR(__xludf.DUMMYFUNCTION("""COMPUTED_VALUE"""),83.83)</f>
        <v>83.83</v>
      </c>
      <c r="D1121" s="3">
        <f>IFERROR(__xludf.DUMMYFUNCTION("""COMPUTED_VALUE"""),43630.66666666667)</f>
        <v>43630.66667</v>
      </c>
      <c r="E1121" s="2">
        <f>IFERROR(__xludf.DUMMYFUNCTION("""COMPUTED_VALUE"""),36.16)</f>
        <v>36.16</v>
      </c>
      <c r="G1121" s="3">
        <f>IFERROR(__xludf.DUMMYFUNCTION("""COMPUTED_VALUE"""),43446.99861111111)</f>
        <v>43446.99861</v>
      </c>
      <c r="H1121" s="2">
        <f>IFERROR(__xludf.DUMMYFUNCTION("""COMPUTED_VALUE"""),3430.24)</f>
        <v>3430.24</v>
      </c>
    </row>
    <row r="1122">
      <c r="A1122" s="3">
        <f>IFERROR(__xludf.DUMMYFUNCTION("""COMPUTED_VALUE"""),43633.66666666667)</f>
        <v>43633.66667</v>
      </c>
      <c r="B1122" s="2">
        <f>IFERROR(__xludf.DUMMYFUNCTION("""COMPUTED_VALUE"""),83.34)</f>
        <v>83.34</v>
      </c>
      <c r="D1122" s="3">
        <f>IFERROR(__xludf.DUMMYFUNCTION("""COMPUTED_VALUE"""),43633.66666666667)</f>
        <v>43633.66667</v>
      </c>
      <c r="E1122" s="2">
        <f>IFERROR(__xludf.DUMMYFUNCTION("""COMPUTED_VALUE"""),36.26)</f>
        <v>36.26</v>
      </c>
      <c r="G1122" s="3">
        <f>IFERROR(__xludf.DUMMYFUNCTION("""COMPUTED_VALUE"""),43447.99861111111)</f>
        <v>43447.99861</v>
      </c>
      <c r="H1122" s="2">
        <f>IFERROR(__xludf.DUMMYFUNCTION("""COMPUTED_VALUE"""),3265.0)</f>
        <v>3265</v>
      </c>
    </row>
    <row r="1123">
      <c r="A1123" s="3">
        <f>IFERROR(__xludf.DUMMYFUNCTION("""COMPUTED_VALUE"""),43634.66666666667)</f>
        <v>43634.66667</v>
      </c>
      <c r="B1123" s="2">
        <f>IFERROR(__xludf.DUMMYFUNCTION("""COMPUTED_VALUE"""),86.0)</f>
        <v>86</v>
      </c>
      <c r="D1123" s="3">
        <f>IFERROR(__xludf.DUMMYFUNCTION("""COMPUTED_VALUE"""),43634.66666666667)</f>
        <v>43634.66667</v>
      </c>
      <c r="E1123" s="2">
        <f>IFERROR(__xludf.DUMMYFUNCTION("""COMPUTED_VALUE"""),38.22)</f>
        <v>38.22</v>
      </c>
      <c r="G1123" s="3">
        <f>IFERROR(__xludf.DUMMYFUNCTION("""COMPUTED_VALUE"""),43448.99861111111)</f>
        <v>43448.99861</v>
      </c>
      <c r="H1123" s="2">
        <f>IFERROR(__xludf.DUMMYFUNCTION("""COMPUTED_VALUE"""),3195.71)</f>
        <v>3195.71</v>
      </c>
    </row>
    <row r="1124">
      <c r="A1124" s="3">
        <f>IFERROR(__xludf.DUMMYFUNCTION("""COMPUTED_VALUE"""),43635.66666666667)</f>
        <v>43635.66667</v>
      </c>
      <c r="B1124" s="2">
        <f>IFERROR(__xludf.DUMMYFUNCTION("""COMPUTED_VALUE"""),86.79)</f>
        <v>86.79</v>
      </c>
      <c r="D1124" s="3">
        <f>IFERROR(__xludf.DUMMYFUNCTION("""COMPUTED_VALUE"""),43635.66666666667)</f>
        <v>43635.66667</v>
      </c>
      <c r="E1124" s="2">
        <f>IFERROR(__xludf.DUMMYFUNCTION("""COMPUTED_VALUE"""),38.28)</f>
        <v>38.28</v>
      </c>
      <c r="G1124" s="3">
        <f>IFERROR(__xludf.DUMMYFUNCTION("""COMPUTED_VALUE"""),43449.99861111111)</f>
        <v>43449.99861</v>
      </c>
      <c r="H1124" s="2">
        <f>IFERROR(__xludf.DUMMYFUNCTION("""COMPUTED_VALUE"""),3183.0)</f>
        <v>3183</v>
      </c>
    </row>
    <row r="1125">
      <c r="A1125" s="3">
        <f>IFERROR(__xludf.DUMMYFUNCTION("""COMPUTED_VALUE"""),43636.66666666667)</f>
        <v>43636.66667</v>
      </c>
      <c r="B1125" s="2">
        <f>IFERROR(__xludf.DUMMYFUNCTION("""COMPUTED_VALUE"""),88.4)</f>
        <v>88.4</v>
      </c>
      <c r="D1125" s="3">
        <f>IFERROR(__xludf.DUMMYFUNCTION("""COMPUTED_VALUE"""),43636.66666666667)</f>
        <v>43636.66667</v>
      </c>
      <c r="E1125" s="2">
        <f>IFERROR(__xludf.DUMMYFUNCTION("""COMPUTED_VALUE"""),38.53)</f>
        <v>38.53</v>
      </c>
      <c r="G1125" s="3">
        <f>IFERROR(__xludf.DUMMYFUNCTION("""COMPUTED_VALUE"""),43450.99861111111)</f>
        <v>43450.99861</v>
      </c>
      <c r="H1125" s="2">
        <f>IFERROR(__xludf.DUMMYFUNCTION("""COMPUTED_VALUE"""),3195.0)</f>
        <v>3195</v>
      </c>
    </row>
    <row r="1126">
      <c r="A1126" s="3">
        <f>IFERROR(__xludf.DUMMYFUNCTION("""COMPUTED_VALUE"""),43637.66666666667)</f>
        <v>43637.66667</v>
      </c>
      <c r="B1126" s="2">
        <f>IFERROR(__xludf.DUMMYFUNCTION("""COMPUTED_VALUE"""),86.42)</f>
        <v>86.42</v>
      </c>
      <c r="D1126" s="3">
        <f>IFERROR(__xludf.DUMMYFUNCTION("""COMPUTED_VALUE"""),43637.66666666667)</f>
        <v>43637.66667</v>
      </c>
      <c r="E1126" s="2">
        <f>IFERROR(__xludf.DUMMYFUNCTION("""COMPUTED_VALUE"""),37.94)</f>
        <v>37.94</v>
      </c>
      <c r="G1126" s="3">
        <f>IFERROR(__xludf.DUMMYFUNCTION("""COMPUTED_VALUE"""),43451.99861111111)</f>
        <v>43451.99861</v>
      </c>
      <c r="H1126" s="2">
        <f>IFERROR(__xludf.DUMMYFUNCTION("""COMPUTED_VALUE"""),3496.82)</f>
        <v>3496.82</v>
      </c>
    </row>
    <row r="1127">
      <c r="A1127" s="3">
        <f>IFERROR(__xludf.DUMMYFUNCTION("""COMPUTED_VALUE"""),43640.66666666667)</f>
        <v>43640.66667</v>
      </c>
      <c r="B1127" s="2">
        <f>IFERROR(__xludf.DUMMYFUNCTION("""COMPUTED_VALUE"""),86.45)</f>
        <v>86.45</v>
      </c>
      <c r="D1127" s="3">
        <f>IFERROR(__xludf.DUMMYFUNCTION("""COMPUTED_VALUE"""),43640.66666666667)</f>
        <v>43640.66667</v>
      </c>
      <c r="E1127" s="2">
        <f>IFERROR(__xludf.DUMMYFUNCTION("""COMPUTED_VALUE"""),38.17)</f>
        <v>38.17</v>
      </c>
      <c r="G1127" s="3">
        <f>IFERROR(__xludf.DUMMYFUNCTION("""COMPUTED_VALUE"""),43452.99861111111)</f>
        <v>43452.99861</v>
      </c>
      <c r="H1127" s="2">
        <f>IFERROR(__xludf.DUMMYFUNCTION("""COMPUTED_VALUE"""),3667.77)</f>
        <v>3667.77</v>
      </c>
    </row>
    <row r="1128">
      <c r="A1128" s="3">
        <f>IFERROR(__xludf.DUMMYFUNCTION("""COMPUTED_VALUE"""),43641.66666666667)</f>
        <v>43641.66667</v>
      </c>
      <c r="B1128" s="2">
        <f>IFERROR(__xludf.DUMMYFUNCTION("""COMPUTED_VALUE"""),85.22)</f>
        <v>85.22</v>
      </c>
      <c r="D1128" s="3">
        <f>IFERROR(__xludf.DUMMYFUNCTION("""COMPUTED_VALUE"""),43641.66666666667)</f>
        <v>43641.66667</v>
      </c>
      <c r="E1128" s="2">
        <f>IFERROR(__xludf.DUMMYFUNCTION("""COMPUTED_VALUE"""),37.87)</f>
        <v>37.87</v>
      </c>
      <c r="G1128" s="3">
        <f>IFERROR(__xludf.DUMMYFUNCTION("""COMPUTED_VALUE"""),43453.99861111111)</f>
        <v>43453.99861</v>
      </c>
      <c r="H1128" s="2">
        <f>IFERROR(__xludf.DUMMYFUNCTION("""COMPUTED_VALUE"""),3682.51)</f>
        <v>3682.51</v>
      </c>
    </row>
    <row r="1129">
      <c r="A1129" s="3">
        <f>IFERROR(__xludf.DUMMYFUNCTION("""COMPUTED_VALUE"""),43642.66666666667)</f>
        <v>43642.66667</v>
      </c>
      <c r="B1129" s="2">
        <f>IFERROR(__xludf.DUMMYFUNCTION("""COMPUTED_VALUE"""),87.23)</f>
        <v>87.23</v>
      </c>
      <c r="D1129" s="3">
        <f>IFERROR(__xludf.DUMMYFUNCTION("""COMPUTED_VALUE"""),43642.66666666667)</f>
        <v>43642.66667</v>
      </c>
      <c r="E1129" s="2">
        <f>IFERROR(__xludf.DUMMYFUNCTION("""COMPUTED_VALUE"""),39.82)</f>
        <v>39.82</v>
      </c>
      <c r="G1129" s="3">
        <f>IFERROR(__xludf.DUMMYFUNCTION("""COMPUTED_VALUE"""),43454.99861111111)</f>
        <v>43454.99861</v>
      </c>
      <c r="H1129" s="2">
        <f>IFERROR(__xludf.DUMMYFUNCTION("""COMPUTED_VALUE"""),4075.34)</f>
        <v>4075.34</v>
      </c>
    </row>
    <row r="1130">
      <c r="A1130" s="3">
        <f>IFERROR(__xludf.DUMMYFUNCTION("""COMPUTED_VALUE"""),43643.66666666667)</f>
        <v>43643.66667</v>
      </c>
      <c r="B1130" s="2">
        <f>IFERROR(__xludf.DUMMYFUNCTION("""COMPUTED_VALUE"""),87.12)</f>
        <v>87.12</v>
      </c>
      <c r="D1130" s="3">
        <f>IFERROR(__xludf.DUMMYFUNCTION("""COMPUTED_VALUE"""),43643.66666666667)</f>
        <v>43643.66667</v>
      </c>
      <c r="E1130" s="2">
        <f>IFERROR(__xludf.DUMMYFUNCTION("""COMPUTED_VALUE"""),40.81)</f>
        <v>40.81</v>
      </c>
      <c r="G1130" s="3">
        <f>IFERROR(__xludf.DUMMYFUNCTION("""COMPUTED_VALUE"""),43455.99861111111)</f>
        <v>43455.99861</v>
      </c>
      <c r="H1130" s="2">
        <f>IFERROR(__xludf.DUMMYFUNCTION("""COMPUTED_VALUE"""),3839.06)</f>
        <v>3839.06</v>
      </c>
    </row>
    <row r="1131">
      <c r="A1131" s="3">
        <f>IFERROR(__xludf.DUMMYFUNCTION("""COMPUTED_VALUE"""),43644.66666666667)</f>
        <v>43644.66667</v>
      </c>
      <c r="B1131" s="2">
        <f>IFERROR(__xludf.DUMMYFUNCTION("""COMPUTED_VALUE"""),89.81)</f>
        <v>89.81</v>
      </c>
      <c r="D1131" s="3">
        <f>IFERROR(__xludf.DUMMYFUNCTION("""COMPUTED_VALUE"""),43644.66666666667)</f>
        <v>43644.66667</v>
      </c>
      <c r="E1131" s="2">
        <f>IFERROR(__xludf.DUMMYFUNCTION("""COMPUTED_VALUE"""),41.06)</f>
        <v>41.06</v>
      </c>
      <c r="G1131" s="3">
        <f>IFERROR(__xludf.DUMMYFUNCTION("""COMPUTED_VALUE"""),43456.99861111111)</f>
        <v>43456.99861</v>
      </c>
      <c r="H1131" s="2">
        <f>IFERROR(__xludf.DUMMYFUNCTION("""COMPUTED_VALUE"""),3980.46)</f>
        <v>3980.46</v>
      </c>
    </row>
    <row r="1132">
      <c r="A1132" s="3">
        <f>IFERROR(__xludf.DUMMYFUNCTION("""COMPUTED_VALUE"""),43647.66666666667)</f>
        <v>43647.66667</v>
      </c>
      <c r="B1132" s="2">
        <f>IFERROR(__xludf.DUMMYFUNCTION("""COMPUTED_VALUE"""),92.83)</f>
        <v>92.83</v>
      </c>
      <c r="D1132" s="3">
        <f>IFERROR(__xludf.DUMMYFUNCTION("""COMPUTED_VALUE"""),43647.66666666667)</f>
        <v>43647.66667</v>
      </c>
      <c r="E1132" s="2">
        <f>IFERROR(__xludf.DUMMYFUNCTION("""COMPUTED_VALUE"""),41.54)</f>
        <v>41.54</v>
      </c>
      <c r="G1132" s="3">
        <f>IFERROR(__xludf.DUMMYFUNCTION("""COMPUTED_VALUE"""),43457.99861111111)</f>
        <v>43457.99861</v>
      </c>
      <c r="H1132" s="2">
        <f>IFERROR(__xludf.DUMMYFUNCTION("""COMPUTED_VALUE"""),3944.93)</f>
        <v>3944.93</v>
      </c>
    </row>
    <row r="1133">
      <c r="A1133" s="3">
        <f>IFERROR(__xludf.DUMMYFUNCTION("""COMPUTED_VALUE"""),43648.66666666667)</f>
        <v>43648.66667</v>
      </c>
      <c r="B1133" s="2">
        <f>IFERROR(__xludf.DUMMYFUNCTION("""COMPUTED_VALUE"""),90.85)</f>
        <v>90.85</v>
      </c>
      <c r="D1133" s="3">
        <f>IFERROR(__xludf.DUMMYFUNCTION("""COMPUTED_VALUE"""),43648.66666666667)</f>
        <v>43648.66667</v>
      </c>
      <c r="E1133" s="2">
        <f>IFERROR(__xludf.DUMMYFUNCTION("""COMPUTED_VALUE"""),40.56)</f>
        <v>40.56</v>
      </c>
      <c r="G1133" s="3">
        <f>IFERROR(__xludf.DUMMYFUNCTION("""COMPUTED_VALUE"""),43458.99861111111)</f>
        <v>43458.99861</v>
      </c>
      <c r="H1133" s="2">
        <f>IFERROR(__xludf.DUMMYFUNCTION("""COMPUTED_VALUE"""),4034.0)</f>
        <v>4034</v>
      </c>
    </row>
    <row r="1134">
      <c r="A1134" s="3">
        <f>IFERROR(__xludf.DUMMYFUNCTION("""COMPUTED_VALUE"""),43649.54166666667)</f>
        <v>43649.54167</v>
      </c>
      <c r="B1134" s="2">
        <f>IFERROR(__xludf.DUMMYFUNCTION("""COMPUTED_VALUE"""),91.36)</f>
        <v>91.36</v>
      </c>
      <c r="D1134" s="3">
        <f>IFERROR(__xludf.DUMMYFUNCTION("""COMPUTED_VALUE"""),43649.54166666667)</f>
        <v>43649.54167</v>
      </c>
      <c r="E1134" s="2">
        <f>IFERROR(__xludf.DUMMYFUNCTION("""COMPUTED_VALUE"""),40.69)</f>
        <v>40.69</v>
      </c>
      <c r="G1134" s="3">
        <f>IFERROR(__xludf.DUMMYFUNCTION("""COMPUTED_VALUE"""),43459.99861111111)</f>
        <v>43459.99861</v>
      </c>
      <c r="H1134" s="2">
        <f>IFERROR(__xludf.DUMMYFUNCTION("""COMPUTED_VALUE"""),3780.0)</f>
        <v>3780</v>
      </c>
    </row>
    <row r="1135">
      <c r="A1135" s="3">
        <f>IFERROR(__xludf.DUMMYFUNCTION("""COMPUTED_VALUE"""),43651.66666666667)</f>
        <v>43651.66667</v>
      </c>
      <c r="B1135" s="2">
        <f>IFERROR(__xludf.DUMMYFUNCTION("""COMPUTED_VALUE"""),91.47)</f>
        <v>91.47</v>
      </c>
      <c r="D1135" s="3">
        <f>IFERROR(__xludf.DUMMYFUNCTION("""COMPUTED_VALUE"""),43651.66666666667)</f>
        <v>43651.66667</v>
      </c>
      <c r="E1135" s="2">
        <f>IFERROR(__xludf.DUMMYFUNCTION("""COMPUTED_VALUE"""),40.06)</f>
        <v>40.06</v>
      </c>
      <c r="G1135" s="3">
        <f>IFERROR(__xludf.DUMMYFUNCTION("""COMPUTED_VALUE"""),43460.99861111111)</f>
        <v>43460.99861</v>
      </c>
      <c r="H1135" s="2">
        <f>IFERROR(__xludf.DUMMYFUNCTION("""COMPUTED_VALUE"""),3809.88)</f>
        <v>3809.88</v>
      </c>
    </row>
    <row r="1136">
      <c r="A1136" s="3">
        <f>IFERROR(__xludf.DUMMYFUNCTION("""COMPUTED_VALUE"""),43654.66666666667)</f>
        <v>43654.66667</v>
      </c>
      <c r="B1136" s="2">
        <f>IFERROR(__xludf.DUMMYFUNCTION("""COMPUTED_VALUE"""),89.83)</f>
        <v>89.83</v>
      </c>
      <c r="D1136" s="3">
        <f>IFERROR(__xludf.DUMMYFUNCTION("""COMPUTED_VALUE"""),43654.66666666667)</f>
        <v>43654.66667</v>
      </c>
      <c r="E1136" s="2">
        <f>IFERROR(__xludf.DUMMYFUNCTION("""COMPUTED_VALUE"""),39.3)</f>
        <v>39.3</v>
      </c>
      <c r="G1136" s="3">
        <f>IFERROR(__xludf.DUMMYFUNCTION("""COMPUTED_VALUE"""),43461.99861111111)</f>
        <v>43461.99861</v>
      </c>
      <c r="H1136" s="2">
        <f>IFERROR(__xludf.DUMMYFUNCTION("""COMPUTED_VALUE"""),3589.89)</f>
        <v>3589.89</v>
      </c>
    </row>
    <row r="1137">
      <c r="A1137" s="3">
        <f>IFERROR(__xludf.DUMMYFUNCTION("""COMPUTED_VALUE"""),43655.66666666667)</f>
        <v>43655.66667</v>
      </c>
      <c r="B1137" s="2">
        <f>IFERROR(__xludf.DUMMYFUNCTION("""COMPUTED_VALUE"""),90.05)</f>
        <v>90.05</v>
      </c>
      <c r="D1137" s="3">
        <f>IFERROR(__xludf.DUMMYFUNCTION("""COMPUTED_VALUE"""),43655.66666666667)</f>
        <v>43655.66667</v>
      </c>
      <c r="E1137" s="2">
        <f>IFERROR(__xludf.DUMMYFUNCTION("""COMPUTED_VALUE"""),39.33)</f>
        <v>39.33</v>
      </c>
      <c r="G1137" s="3">
        <f>IFERROR(__xludf.DUMMYFUNCTION("""COMPUTED_VALUE"""),43462.99861111111)</f>
        <v>43462.99861</v>
      </c>
      <c r="H1137" s="2">
        <f>IFERROR(__xludf.DUMMYFUNCTION("""COMPUTED_VALUE"""),3888.06)</f>
        <v>3888.06</v>
      </c>
    </row>
    <row r="1138">
      <c r="A1138" s="3">
        <f>IFERROR(__xludf.DUMMYFUNCTION("""COMPUTED_VALUE"""),43656.66666666667)</f>
        <v>43656.66667</v>
      </c>
      <c r="B1138" s="2">
        <f>IFERROR(__xludf.DUMMYFUNCTION("""COMPUTED_VALUE"""),88.95)</f>
        <v>88.95</v>
      </c>
      <c r="D1138" s="3">
        <f>IFERROR(__xludf.DUMMYFUNCTION("""COMPUTED_VALUE"""),43656.66666666667)</f>
        <v>43656.66667</v>
      </c>
      <c r="E1138" s="2">
        <f>IFERROR(__xludf.DUMMYFUNCTION("""COMPUTED_VALUE"""),40.02)</f>
        <v>40.02</v>
      </c>
      <c r="G1138" s="3">
        <f>IFERROR(__xludf.DUMMYFUNCTION("""COMPUTED_VALUE"""),43463.99861111111)</f>
        <v>43463.99861</v>
      </c>
      <c r="H1138" s="2">
        <f>IFERROR(__xludf.DUMMYFUNCTION("""COMPUTED_VALUE"""),3729.31)</f>
        <v>3729.31</v>
      </c>
    </row>
    <row r="1139">
      <c r="A1139" s="3">
        <f>IFERROR(__xludf.DUMMYFUNCTION("""COMPUTED_VALUE"""),43657.66666666667)</f>
        <v>43657.66667</v>
      </c>
      <c r="B1139" s="2">
        <f>IFERROR(__xludf.DUMMYFUNCTION("""COMPUTED_VALUE"""),89.76)</f>
        <v>89.76</v>
      </c>
      <c r="D1139" s="3">
        <f>IFERROR(__xludf.DUMMYFUNCTION("""COMPUTED_VALUE"""),43657.66666666667)</f>
        <v>43657.66667</v>
      </c>
      <c r="E1139" s="2">
        <f>IFERROR(__xludf.DUMMYFUNCTION("""COMPUTED_VALUE"""),41.57)</f>
        <v>41.57</v>
      </c>
      <c r="G1139" s="3">
        <f>IFERROR(__xludf.DUMMYFUNCTION("""COMPUTED_VALUE"""),43464.99861111111)</f>
        <v>43464.99861</v>
      </c>
      <c r="H1139" s="2">
        <f>IFERROR(__xludf.DUMMYFUNCTION("""COMPUTED_VALUE"""),3829.0)</f>
        <v>3829</v>
      </c>
    </row>
    <row r="1140">
      <c r="A1140" s="3">
        <f>IFERROR(__xludf.DUMMYFUNCTION("""COMPUTED_VALUE"""),43658.66666666667)</f>
        <v>43658.66667</v>
      </c>
      <c r="B1140" s="2">
        <f>IFERROR(__xludf.DUMMYFUNCTION("""COMPUTED_VALUE"""),91.37)</f>
        <v>91.37</v>
      </c>
      <c r="D1140" s="3">
        <f>IFERROR(__xludf.DUMMYFUNCTION("""COMPUTED_VALUE"""),43658.66666666667)</f>
        <v>43658.66667</v>
      </c>
      <c r="E1140" s="2">
        <f>IFERROR(__xludf.DUMMYFUNCTION("""COMPUTED_VALUE"""),41.9)</f>
        <v>41.9</v>
      </c>
      <c r="G1140" s="3">
        <f>IFERROR(__xludf.DUMMYFUNCTION("""COMPUTED_VALUE"""),43465.99861111111)</f>
        <v>43465.99861</v>
      </c>
      <c r="H1140" s="2">
        <f>IFERROR(__xludf.DUMMYFUNCTION("""COMPUTED_VALUE"""),3691.86)</f>
        <v>3691.86</v>
      </c>
    </row>
    <row r="1141">
      <c r="A1141" s="3">
        <f>IFERROR(__xludf.DUMMYFUNCTION("""COMPUTED_VALUE"""),43661.66666666667)</f>
        <v>43661.66667</v>
      </c>
      <c r="B1141" s="2">
        <f>IFERROR(__xludf.DUMMYFUNCTION("""COMPUTED_VALUE"""),91.01)</f>
        <v>91.01</v>
      </c>
      <c r="D1141" s="3">
        <f>IFERROR(__xludf.DUMMYFUNCTION("""COMPUTED_VALUE"""),43661.66666666667)</f>
        <v>43661.66667</v>
      </c>
      <c r="E1141" s="2">
        <f>IFERROR(__xludf.DUMMYFUNCTION("""COMPUTED_VALUE"""),41.82)</f>
        <v>41.82</v>
      </c>
      <c r="G1141" s="3">
        <f>IFERROR(__xludf.DUMMYFUNCTION("""COMPUTED_VALUE"""),43466.99861111111)</f>
        <v>43466.99861</v>
      </c>
      <c r="H1141" s="2">
        <f>IFERROR(__xludf.DUMMYFUNCTION("""COMPUTED_VALUE"""),3826.1)</f>
        <v>3826.1</v>
      </c>
    </row>
    <row r="1142">
      <c r="A1142" s="3">
        <f>IFERROR(__xludf.DUMMYFUNCTION("""COMPUTED_VALUE"""),43662.66666666667)</f>
        <v>43662.66667</v>
      </c>
      <c r="B1142" s="2">
        <f>IFERROR(__xludf.DUMMYFUNCTION("""COMPUTED_VALUE"""),89.42)</f>
        <v>89.42</v>
      </c>
      <c r="D1142" s="3">
        <f>IFERROR(__xludf.DUMMYFUNCTION("""COMPUTED_VALUE"""),43662.66666666667)</f>
        <v>43662.66667</v>
      </c>
      <c r="E1142" s="2">
        <f>IFERROR(__xludf.DUMMYFUNCTION("""COMPUTED_VALUE"""),41.77)</f>
        <v>41.77</v>
      </c>
      <c r="G1142" s="3">
        <f>IFERROR(__xludf.DUMMYFUNCTION("""COMPUTED_VALUE"""),43467.99861111111)</f>
        <v>43467.99861</v>
      </c>
      <c r="H1142" s="2">
        <f>IFERROR(__xludf.DUMMYFUNCTION("""COMPUTED_VALUE"""),3890.79)</f>
        <v>3890.79</v>
      </c>
    </row>
    <row r="1143">
      <c r="A1143" s="3">
        <f>IFERROR(__xludf.DUMMYFUNCTION("""COMPUTED_VALUE"""),43663.66666666667)</f>
        <v>43663.66667</v>
      </c>
      <c r="B1143" s="2">
        <f>IFERROR(__xludf.DUMMYFUNCTION("""COMPUTED_VALUE"""),88.22)</f>
        <v>88.22</v>
      </c>
      <c r="D1143" s="3">
        <f>IFERROR(__xludf.DUMMYFUNCTION("""COMPUTED_VALUE"""),43663.66666666667)</f>
        <v>43663.66667</v>
      </c>
      <c r="E1143" s="2">
        <f>IFERROR(__xludf.DUMMYFUNCTION("""COMPUTED_VALUE"""),42.43)</f>
        <v>42.43</v>
      </c>
      <c r="G1143" s="3">
        <f>IFERROR(__xludf.DUMMYFUNCTION("""COMPUTED_VALUE"""),43468.99861111111)</f>
        <v>43468.99861</v>
      </c>
      <c r="H1143" s="2">
        <f>IFERROR(__xludf.DUMMYFUNCTION("""COMPUTED_VALUE"""),3787.57)</f>
        <v>3787.57</v>
      </c>
    </row>
    <row r="1144">
      <c r="A1144" s="3">
        <f>IFERROR(__xludf.DUMMYFUNCTION("""COMPUTED_VALUE"""),43664.66666666667)</f>
        <v>43664.66667</v>
      </c>
      <c r="B1144" s="2">
        <f>IFERROR(__xludf.DUMMYFUNCTION("""COMPUTED_VALUE"""),87.38)</f>
        <v>87.38</v>
      </c>
      <c r="D1144" s="3">
        <f>IFERROR(__xludf.DUMMYFUNCTION("""COMPUTED_VALUE"""),43664.66666666667)</f>
        <v>43664.66667</v>
      </c>
      <c r="E1144" s="2">
        <f>IFERROR(__xludf.DUMMYFUNCTION("""COMPUTED_VALUE"""),42.55)</f>
        <v>42.55</v>
      </c>
      <c r="G1144" s="3">
        <f>IFERROR(__xludf.DUMMYFUNCTION("""COMPUTED_VALUE"""),43469.99861111111)</f>
        <v>43469.99861</v>
      </c>
      <c r="H1144" s="2">
        <f>IFERROR(__xludf.DUMMYFUNCTION("""COMPUTED_VALUE"""),3820.25)</f>
        <v>3820.25</v>
      </c>
    </row>
    <row r="1145">
      <c r="A1145" s="3">
        <f>IFERROR(__xludf.DUMMYFUNCTION("""COMPUTED_VALUE"""),43665.66666666667)</f>
        <v>43665.66667</v>
      </c>
      <c r="B1145" s="2">
        <f>IFERROR(__xludf.DUMMYFUNCTION("""COMPUTED_VALUE"""),87.46)</f>
        <v>87.46</v>
      </c>
      <c r="D1145" s="3">
        <f>IFERROR(__xludf.DUMMYFUNCTION("""COMPUTED_VALUE"""),43665.66666666667)</f>
        <v>43665.66667</v>
      </c>
      <c r="E1145" s="2">
        <f>IFERROR(__xludf.DUMMYFUNCTION("""COMPUTED_VALUE"""),42.11)</f>
        <v>42.11</v>
      </c>
      <c r="G1145" s="3">
        <f>IFERROR(__xludf.DUMMYFUNCTION("""COMPUTED_VALUE"""),43470.99861111111)</f>
        <v>43470.99861</v>
      </c>
      <c r="H1145" s="2">
        <f>IFERROR(__xludf.DUMMYFUNCTION("""COMPUTED_VALUE"""),3798.62)</f>
        <v>3798.62</v>
      </c>
    </row>
    <row r="1146">
      <c r="A1146" s="3">
        <f>IFERROR(__xludf.DUMMYFUNCTION("""COMPUTED_VALUE"""),43668.66666666667)</f>
        <v>43668.66667</v>
      </c>
      <c r="B1146" s="2">
        <f>IFERROR(__xludf.DUMMYFUNCTION("""COMPUTED_VALUE"""),87.43)</f>
        <v>87.43</v>
      </c>
      <c r="D1146" s="3">
        <f>IFERROR(__xludf.DUMMYFUNCTION("""COMPUTED_VALUE"""),43668.66666666667)</f>
        <v>43668.66667</v>
      </c>
      <c r="E1146" s="2">
        <f>IFERROR(__xludf.DUMMYFUNCTION("""COMPUTED_VALUE"""),42.83)</f>
        <v>42.83</v>
      </c>
      <c r="G1146" s="3">
        <f>IFERROR(__xludf.DUMMYFUNCTION("""COMPUTED_VALUE"""),43471.99861111111)</f>
        <v>43471.99861</v>
      </c>
      <c r="H1146" s="2">
        <f>IFERROR(__xludf.DUMMYFUNCTION("""COMPUTED_VALUE"""),4040.99)</f>
        <v>4040.99</v>
      </c>
    </row>
    <row r="1147">
      <c r="A1147" s="3">
        <f>IFERROR(__xludf.DUMMYFUNCTION("""COMPUTED_VALUE"""),43669.66666666667)</f>
        <v>43669.66667</v>
      </c>
      <c r="B1147" s="2">
        <f>IFERROR(__xludf.DUMMYFUNCTION("""COMPUTED_VALUE"""),88.78)</f>
        <v>88.78</v>
      </c>
      <c r="D1147" s="3">
        <f>IFERROR(__xludf.DUMMYFUNCTION("""COMPUTED_VALUE"""),43669.66666666667)</f>
        <v>43669.66667</v>
      </c>
      <c r="E1147" s="2">
        <f>IFERROR(__xludf.DUMMYFUNCTION("""COMPUTED_VALUE"""),43.92)</f>
        <v>43.92</v>
      </c>
      <c r="G1147" s="3">
        <f>IFERROR(__xludf.DUMMYFUNCTION("""COMPUTED_VALUE"""),43472.99861111111)</f>
        <v>43472.99861</v>
      </c>
      <c r="H1147" s="2">
        <f>IFERROR(__xludf.DUMMYFUNCTION("""COMPUTED_VALUE"""),4006.01)</f>
        <v>4006.01</v>
      </c>
    </row>
    <row r="1148">
      <c r="A1148" s="3">
        <f>IFERROR(__xludf.DUMMYFUNCTION("""COMPUTED_VALUE"""),43670.66666666667)</f>
        <v>43670.66667</v>
      </c>
      <c r="B1148" s="2">
        <f>IFERROR(__xludf.DUMMYFUNCTION("""COMPUTED_VALUE"""),93.71)</f>
        <v>93.71</v>
      </c>
      <c r="D1148" s="3">
        <f>IFERROR(__xludf.DUMMYFUNCTION("""COMPUTED_VALUE"""),43670.66666666667)</f>
        <v>43670.66667</v>
      </c>
      <c r="E1148" s="2">
        <f>IFERROR(__xludf.DUMMYFUNCTION("""COMPUTED_VALUE"""),44.67)</f>
        <v>44.67</v>
      </c>
      <c r="G1148" s="3">
        <f>IFERROR(__xludf.DUMMYFUNCTION("""COMPUTED_VALUE"""),43473.99861111111)</f>
        <v>43473.99861</v>
      </c>
      <c r="H1148" s="2">
        <f>IFERROR(__xludf.DUMMYFUNCTION("""COMPUTED_VALUE"""),3993.86)</f>
        <v>3993.86</v>
      </c>
    </row>
    <row r="1149">
      <c r="A1149" s="3">
        <f>IFERROR(__xludf.DUMMYFUNCTION("""COMPUTED_VALUE"""),43671.66666666667)</f>
        <v>43671.66667</v>
      </c>
      <c r="B1149" s="2">
        <f>IFERROR(__xludf.DUMMYFUNCTION("""COMPUTED_VALUE"""),90.75)</f>
        <v>90.75</v>
      </c>
      <c r="D1149" s="3">
        <f>IFERROR(__xludf.DUMMYFUNCTION("""COMPUTED_VALUE"""),43671.66666666667)</f>
        <v>43671.66667</v>
      </c>
      <c r="E1149" s="2">
        <f>IFERROR(__xludf.DUMMYFUNCTION("""COMPUTED_VALUE"""),43.35)</f>
        <v>43.35</v>
      </c>
      <c r="G1149" s="3">
        <f>IFERROR(__xludf.DUMMYFUNCTION("""COMPUTED_VALUE"""),43474.99861111111)</f>
        <v>43474.99861</v>
      </c>
      <c r="H1149" s="2">
        <f>IFERROR(__xludf.DUMMYFUNCTION("""COMPUTED_VALUE"""),4004.12)</f>
        <v>4004.12</v>
      </c>
    </row>
    <row r="1150">
      <c r="A1150" s="3">
        <f>IFERROR(__xludf.DUMMYFUNCTION("""COMPUTED_VALUE"""),43672.66666666667)</f>
        <v>43672.66667</v>
      </c>
      <c r="B1150" s="2">
        <f>IFERROR(__xludf.DUMMYFUNCTION("""COMPUTED_VALUE"""),90.8)</f>
        <v>90.8</v>
      </c>
      <c r="D1150" s="3">
        <f>IFERROR(__xludf.DUMMYFUNCTION("""COMPUTED_VALUE"""),43672.66666666667)</f>
        <v>43672.66667</v>
      </c>
      <c r="E1150" s="2">
        <f>IFERROR(__xludf.DUMMYFUNCTION("""COMPUTED_VALUE"""),43.77)</f>
        <v>43.77</v>
      </c>
      <c r="G1150" s="3">
        <f>IFERROR(__xludf.DUMMYFUNCTION("""COMPUTED_VALUE"""),43475.99861111111)</f>
        <v>43475.99861</v>
      </c>
      <c r="H1150" s="2">
        <f>IFERROR(__xludf.DUMMYFUNCTION("""COMPUTED_VALUE"""),3626.12)</f>
        <v>3626.12</v>
      </c>
    </row>
    <row r="1151">
      <c r="A1151" s="3">
        <f>IFERROR(__xludf.DUMMYFUNCTION("""COMPUTED_VALUE"""),43675.66666666667)</f>
        <v>43675.66667</v>
      </c>
      <c r="B1151" s="2">
        <f>IFERROR(__xludf.DUMMYFUNCTION("""COMPUTED_VALUE"""),90.26)</f>
        <v>90.26</v>
      </c>
      <c r="D1151" s="3">
        <f>IFERROR(__xludf.DUMMYFUNCTION("""COMPUTED_VALUE"""),43675.66666666667)</f>
        <v>43675.66667</v>
      </c>
      <c r="E1151" s="2">
        <f>IFERROR(__xludf.DUMMYFUNCTION("""COMPUTED_VALUE"""),43.71)</f>
        <v>43.71</v>
      </c>
      <c r="G1151" s="3">
        <f>IFERROR(__xludf.DUMMYFUNCTION("""COMPUTED_VALUE"""),43476.99861111111)</f>
        <v>43476.99861</v>
      </c>
      <c r="H1151" s="2">
        <f>IFERROR(__xludf.DUMMYFUNCTION("""COMPUTED_VALUE"""),3635.69)</f>
        <v>3635.69</v>
      </c>
    </row>
    <row r="1152">
      <c r="A1152" s="3">
        <f>IFERROR(__xludf.DUMMYFUNCTION("""COMPUTED_VALUE"""),43676.66666666667)</f>
        <v>43676.66667</v>
      </c>
      <c r="B1152" s="2">
        <f>IFERROR(__xludf.DUMMYFUNCTION("""COMPUTED_VALUE"""),91.21)</f>
        <v>91.21</v>
      </c>
      <c r="D1152" s="3">
        <f>IFERROR(__xludf.DUMMYFUNCTION("""COMPUTED_VALUE"""),43676.66666666667)</f>
        <v>43676.66667</v>
      </c>
      <c r="E1152" s="2">
        <f>IFERROR(__xludf.DUMMYFUNCTION("""COMPUTED_VALUE"""),43.86)</f>
        <v>43.86</v>
      </c>
      <c r="G1152" s="3">
        <f>IFERROR(__xludf.DUMMYFUNCTION("""COMPUTED_VALUE"""),43477.99861111111)</f>
        <v>43477.99861</v>
      </c>
      <c r="H1152" s="2">
        <f>IFERROR(__xludf.DUMMYFUNCTION("""COMPUTED_VALUE"""),3619.41)</f>
        <v>3619.41</v>
      </c>
    </row>
    <row r="1153">
      <c r="A1153" s="3">
        <f>IFERROR(__xludf.DUMMYFUNCTION("""COMPUTED_VALUE"""),43677.66666666667)</f>
        <v>43677.66667</v>
      </c>
      <c r="B1153" s="2">
        <f>IFERROR(__xludf.DUMMYFUNCTION("""COMPUTED_VALUE"""),89.52)</f>
        <v>89.52</v>
      </c>
      <c r="D1153" s="3">
        <f>IFERROR(__xludf.DUMMYFUNCTION("""COMPUTED_VALUE"""),43677.66666666667)</f>
        <v>43677.66667</v>
      </c>
      <c r="E1153" s="2">
        <f>IFERROR(__xludf.DUMMYFUNCTION("""COMPUTED_VALUE"""),42.18)</f>
        <v>42.18</v>
      </c>
      <c r="G1153" s="3">
        <f>IFERROR(__xludf.DUMMYFUNCTION("""COMPUTED_VALUE"""),43478.99861111111)</f>
        <v>43478.99861</v>
      </c>
      <c r="H1153" s="2">
        <f>IFERROR(__xludf.DUMMYFUNCTION("""COMPUTED_VALUE"""),3514.24)</f>
        <v>3514.24</v>
      </c>
    </row>
    <row r="1154">
      <c r="A1154" s="3">
        <f>IFERROR(__xludf.DUMMYFUNCTION("""COMPUTED_VALUE"""),43678.66666666667)</f>
        <v>43678.66667</v>
      </c>
      <c r="B1154" s="2">
        <f>IFERROR(__xludf.DUMMYFUNCTION("""COMPUTED_VALUE"""),89.59)</f>
        <v>89.59</v>
      </c>
      <c r="D1154" s="3">
        <f>IFERROR(__xludf.DUMMYFUNCTION("""COMPUTED_VALUE"""),43678.66666666667)</f>
        <v>43678.66667</v>
      </c>
      <c r="E1154" s="2">
        <f>IFERROR(__xludf.DUMMYFUNCTION("""COMPUTED_VALUE"""),41.23)</f>
        <v>41.23</v>
      </c>
      <c r="G1154" s="3">
        <f>IFERROR(__xludf.DUMMYFUNCTION("""COMPUTED_VALUE"""),43479.99861111111)</f>
        <v>43479.99861</v>
      </c>
      <c r="H1154" s="2">
        <f>IFERROR(__xludf.DUMMYFUNCTION("""COMPUTED_VALUE"""),3664.19)</f>
        <v>3664.19</v>
      </c>
    </row>
    <row r="1155">
      <c r="A1155" s="3">
        <f>IFERROR(__xludf.DUMMYFUNCTION("""COMPUTED_VALUE"""),43679.66666666667)</f>
        <v>43679.66667</v>
      </c>
      <c r="B1155" s="2">
        <f>IFERROR(__xludf.DUMMYFUNCTION("""COMPUTED_VALUE"""),88.1)</f>
        <v>88.1</v>
      </c>
      <c r="D1155" s="3">
        <f>IFERROR(__xludf.DUMMYFUNCTION("""COMPUTED_VALUE"""),43679.66666666667)</f>
        <v>43679.66667</v>
      </c>
      <c r="E1155" s="2">
        <f>IFERROR(__xludf.DUMMYFUNCTION("""COMPUTED_VALUE"""),40.3)</f>
        <v>40.3</v>
      </c>
      <c r="G1155" s="3">
        <f>IFERROR(__xludf.DUMMYFUNCTION("""COMPUTED_VALUE"""),43480.99861111111)</f>
        <v>43480.99861</v>
      </c>
      <c r="H1155" s="2">
        <f>IFERROR(__xludf.DUMMYFUNCTION("""COMPUTED_VALUE"""),3580.76)</f>
        <v>3580.76</v>
      </c>
    </row>
    <row r="1156">
      <c r="A1156" s="3">
        <f>IFERROR(__xludf.DUMMYFUNCTION("""COMPUTED_VALUE"""),43682.66666666667)</f>
        <v>43682.66667</v>
      </c>
      <c r="B1156" s="2">
        <f>IFERROR(__xludf.DUMMYFUNCTION("""COMPUTED_VALUE"""),83.54)</f>
        <v>83.54</v>
      </c>
      <c r="D1156" s="3">
        <f>IFERROR(__xludf.DUMMYFUNCTION("""COMPUTED_VALUE"""),43682.66666666667)</f>
        <v>43682.66667</v>
      </c>
      <c r="E1156" s="2">
        <f>IFERROR(__xludf.DUMMYFUNCTION("""COMPUTED_VALUE"""),37.7)</f>
        <v>37.7</v>
      </c>
      <c r="G1156" s="3">
        <f>IFERROR(__xludf.DUMMYFUNCTION("""COMPUTED_VALUE"""),43481.99861111111)</f>
        <v>43481.99861</v>
      </c>
      <c r="H1156" s="2">
        <f>IFERROR(__xludf.DUMMYFUNCTION("""COMPUTED_VALUE"""),3609.71)</f>
        <v>3609.71</v>
      </c>
    </row>
    <row r="1157">
      <c r="A1157" s="3">
        <f>IFERROR(__xludf.DUMMYFUNCTION("""COMPUTED_VALUE"""),43683.66666666667)</f>
        <v>43683.66667</v>
      </c>
      <c r="B1157" s="2">
        <f>IFERROR(__xludf.DUMMYFUNCTION("""COMPUTED_VALUE"""),85.88)</f>
        <v>85.88</v>
      </c>
      <c r="D1157" s="3">
        <f>IFERROR(__xludf.DUMMYFUNCTION("""COMPUTED_VALUE"""),43683.66666666667)</f>
        <v>43683.66667</v>
      </c>
      <c r="E1157" s="2">
        <f>IFERROR(__xludf.DUMMYFUNCTION("""COMPUTED_VALUE"""),38.09)</f>
        <v>38.09</v>
      </c>
      <c r="G1157" s="3">
        <f>IFERROR(__xludf.DUMMYFUNCTION("""COMPUTED_VALUE"""),43482.99861111111)</f>
        <v>43482.99861</v>
      </c>
      <c r="H1157" s="2">
        <f>IFERROR(__xludf.DUMMYFUNCTION("""COMPUTED_VALUE"""),3640.65)</f>
        <v>3640.65</v>
      </c>
    </row>
    <row r="1158">
      <c r="A1158" s="3">
        <f>IFERROR(__xludf.DUMMYFUNCTION("""COMPUTED_VALUE"""),43684.66666666667)</f>
        <v>43684.66667</v>
      </c>
      <c r="B1158" s="2">
        <f>IFERROR(__xludf.DUMMYFUNCTION("""COMPUTED_VALUE"""),85.23)</f>
        <v>85.23</v>
      </c>
      <c r="D1158" s="3">
        <f>IFERROR(__xludf.DUMMYFUNCTION("""COMPUTED_VALUE"""),43684.66666666667)</f>
        <v>43684.66667</v>
      </c>
      <c r="E1158" s="2">
        <f>IFERROR(__xludf.DUMMYFUNCTION("""COMPUTED_VALUE"""),38.47)</f>
        <v>38.47</v>
      </c>
      <c r="G1158" s="3">
        <f>IFERROR(__xludf.DUMMYFUNCTION("""COMPUTED_VALUE"""),43483.99861111111)</f>
        <v>43483.99861</v>
      </c>
      <c r="H1158" s="2">
        <f>IFERROR(__xludf.DUMMYFUNCTION("""COMPUTED_VALUE"""),3607.85)</f>
        <v>3607.85</v>
      </c>
    </row>
    <row r="1159">
      <c r="A1159" s="3">
        <f>IFERROR(__xludf.DUMMYFUNCTION("""COMPUTED_VALUE"""),43685.66666666667)</f>
        <v>43685.66667</v>
      </c>
      <c r="B1159" s="2">
        <f>IFERROR(__xludf.DUMMYFUNCTION("""COMPUTED_VALUE"""),89.26)</f>
        <v>89.26</v>
      </c>
      <c r="D1159" s="3">
        <f>IFERROR(__xludf.DUMMYFUNCTION("""COMPUTED_VALUE"""),43685.66666666667)</f>
        <v>43685.66667</v>
      </c>
      <c r="E1159" s="2">
        <f>IFERROR(__xludf.DUMMYFUNCTION("""COMPUTED_VALUE"""),39.57)</f>
        <v>39.57</v>
      </c>
      <c r="G1159" s="3">
        <f>IFERROR(__xludf.DUMMYFUNCTION("""COMPUTED_VALUE"""),43484.99861111111)</f>
        <v>43484.99861</v>
      </c>
      <c r="H1159" s="2">
        <f>IFERROR(__xludf.DUMMYFUNCTION("""COMPUTED_VALUE"""),3682.65)</f>
        <v>3682.65</v>
      </c>
    </row>
    <row r="1160">
      <c r="A1160" s="3">
        <f>IFERROR(__xludf.DUMMYFUNCTION("""COMPUTED_VALUE"""),43686.66666666667)</f>
        <v>43686.66667</v>
      </c>
      <c r="B1160" s="2">
        <f>IFERROR(__xludf.DUMMYFUNCTION("""COMPUTED_VALUE"""),87.39)</f>
        <v>87.39</v>
      </c>
      <c r="D1160" s="3">
        <f>IFERROR(__xludf.DUMMYFUNCTION("""COMPUTED_VALUE"""),43686.66666666667)</f>
        <v>43686.66667</v>
      </c>
      <c r="E1160" s="2">
        <f>IFERROR(__xludf.DUMMYFUNCTION("""COMPUTED_VALUE"""),38.55)</f>
        <v>38.55</v>
      </c>
      <c r="G1160" s="3">
        <f>IFERROR(__xludf.DUMMYFUNCTION("""COMPUTED_VALUE"""),43485.99861111111)</f>
        <v>43485.99861</v>
      </c>
      <c r="H1160" s="2">
        <f>IFERROR(__xludf.DUMMYFUNCTION("""COMPUTED_VALUE"""),3536.19)</f>
        <v>3536.19</v>
      </c>
    </row>
    <row r="1161">
      <c r="A1161" s="3">
        <f>IFERROR(__xludf.DUMMYFUNCTION("""COMPUTED_VALUE"""),43689.66666666667)</f>
        <v>43689.66667</v>
      </c>
      <c r="B1161" s="2">
        <f>IFERROR(__xludf.DUMMYFUNCTION("""COMPUTED_VALUE"""),86.26)</f>
        <v>86.26</v>
      </c>
      <c r="D1161" s="3">
        <f>IFERROR(__xludf.DUMMYFUNCTION("""COMPUTED_VALUE"""),43689.66666666667)</f>
        <v>43689.66667</v>
      </c>
      <c r="E1161" s="2">
        <f>IFERROR(__xludf.DUMMYFUNCTION("""COMPUTED_VALUE"""),37.86)</f>
        <v>37.86</v>
      </c>
      <c r="G1161" s="3">
        <f>IFERROR(__xludf.DUMMYFUNCTION("""COMPUTED_VALUE"""),43486.99861111111)</f>
        <v>43486.99861</v>
      </c>
      <c r="H1161" s="2">
        <f>IFERROR(__xludf.DUMMYFUNCTION("""COMPUTED_VALUE"""),3531.76)</f>
        <v>3531.76</v>
      </c>
    </row>
    <row r="1162">
      <c r="A1162" s="3">
        <f>IFERROR(__xludf.DUMMYFUNCTION("""COMPUTED_VALUE"""),43690.66666666667)</f>
        <v>43690.66667</v>
      </c>
      <c r="B1162" s="2">
        <f>IFERROR(__xludf.DUMMYFUNCTION("""COMPUTED_VALUE"""),88.47)</f>
        <v>88.47</v>
      </c>
      <c r="D1162" s="3">
        <f>IFERROR(__xludf.DUMMYFUNCTION("""COMPUTED_VALUE"""),43690.66666666667)</f>
        <v>43690.66667</v>
      </c>
      <c r="E1162" s="2">
        <f>IFERROR(__xludf.DUMMYFUNCTION("""COMPUTED_VALUE"""),39.01)</f>
        <v>39.01</v>
      </c>
      <c r="G1162" s="3">
        <f>IFERROR(__xludf.DUMMYFUNCTION("""COMPUTED_VALUE"""),43487.99861111111)</f>
        <v>43487.99861</v>
      </c>
      <c r="H1162" s="2">
        <f>IFERROR(__xludf.DUMMYFUNCTION("""COMPUTED_VALUE"""),3577.03)</f>
        <v>3577.03</v>
      </c>
    </row>
    <row r="1163">
      <c r="A1163" s="3">
        <f>IFERROR(__xludf.DUMMYFUNCTION("""COMPUTED_VALUE"""),43691.66666666667)</f>
        <v>43691.66667</v>
      </c>
      <c r="B1163" s="2">
        <f>IFERROR(__xludf.DUMMYFUNCTION("""COMPUTED_VALUE"""),84.01)</f>
        <v>84.01</v>
      </c>
      <c r="D1163" s="3">
        <f>IFERROR(__xludf.DUMMYFUNCTION("""COMPUTED_VALUE"""),43691.66666666667)</f>
        <v>43691.66667</v>
      </c>
      <c r="E1163" s="2">
        <f>IFERROR(__xludf.DUMMYFUNCTION("""COMPUTED_VALUE"""),37.52)</f>
        <v>37.52</v>
      </c>
      <c r="G1163" s="3">
        <f>IFERROR(__xludf.DUMMYFUNCTION("""COMPUTED_VALUE"""),43488.99861111111)</f>
        <v>43488.99861</v>
      </c>
      <c r="H1163" s="2">
        <f>IFERROR(__xludf.DUMMYFUNCTION("""COMPUTED_VALUE"""),3553.01)</f>
        <v>3553.01</v>
      </c>
    </row>
    <row r="1164">
      <c r="A1164" s="3">
        <f>IFERROR(__xludf.DUMMYFUNCTION("""COMPUTED_VALUE"""),43692.66666666667)</f>
        <v>43692.66667</v>
      </c>
      <c r="B1164" s="2">
        <f>IFERROR(__xludf.DUMMYFUNCTION("""COMPUTED_VALUE"""),83.34)</f>
        <v>83.34</v>
      </c>
      <c r="D1164" s="3">
        <f>IFERROR(__xludf.DUMMYFUNCTION("""COMPUTED_VALUE"""),43692.66666666667)</f>
        <v>43692.66667</v>
      </c>
      <c r="E1164" s="2">
        <f>IFERROR(__xludf.DUMMYFUNCTION("""COMPUTED_VALUE"""),37.19)</f>
        <v>37.19</v>
      </c>
      <c r="G1164" s="3">
        <f>IFERROR(__xludf.DUMMYFUNCTION("""COMPUTED_VALUE"""),43489.99861111111)</f>
        <v>43489.99861</v>
      </c>
      <c r="H1164" s="2">
        <f>IFERROR(__xludf.DUMMYFUNCTION("""COMPUTED_VALUE"""),3568.97)</f>
        <v>3568.97</v>
      </c>
    </row>
    <row r="1165">
      <c r="A1165" s="3">
        <f>IFERROR(__xludf.DUMMYFUNCTION("""COMPUTED_VALUE"""),43693.66666666667)</f>
        <v>43693.66667</v>
      </c>
      <c r="B1165" s="2">
        <f>IFERROR(__xludf.DUMMYFUNCTION("""COMPUTED_VALUE"""),85.69)</f>
        <v>85.69</v>
      </c>
      <c r="D1165" s="3">
        <f>IFERROR(__xludf.DUMMYFUNCTION("""COMPUTED_VALUE"""),43693.66666666667)</f>
        <v>43693.66667</v>
      </c>
      <c r="E1165" s="2">
        <f>IFERROR(__xludf.DUMMYFUNCTION("""COMPUTED_VALUE"""),39.89)</f>
        <v>39.89</v>
      </c>
      <c r="G1165" s="3">
        <f>IFERROR(__xludf.DUMMYFUNCTION("""COMPUTED_VALUE"""),43490.99861111111)</f>
        <v>43490.99861</v>
      </c>
      <c r="H1165" s="2">
        <f>IFERROR(__xludf.DUMMYFUNCTION("""COMPUTED_VALUE"""),3562.17)</f>
        <v>3562.17</v>
      </c>
    </row>
    <row r="1166">
      <c r="A1166" s="3">
        <f>IFERROR(__xludf.DUMMYFUNCTION("""COMPUTED_VALUE"""),43696.66666666667)</f>
        <v>43696.66667</v>
      </c>
      <c r="B1166" s="2">
        <f>IFERROR(__xludf.DUMMYFUNCTION("""COMPUTED_VALUE"""),87.37)</f>
        <v>87.37</v>
      </c>
      <c r="D1166" s="3">
        <f>IFERROR(__xludf.DUMMYFUNCTION("""COMPUTED_VALUE"""),43696.66666666667)</f>
        <v>43696.66667</v>
      </c>
      <c r="E1166" s="2">
        <f>IFERROR(__xludf.DUMMYFUNCTION("""COMPUTED_VALUE"""),42.7)</f>
        <v>42.7</v>
      </c>
      <c r="G1166" s="3">
        <f>IFERROR(__xludf.DUMMYFUNCTION("""COMPUTED_VALUE"""),43491.99861111111)</f>
        <v>43491.99861</v>
      </c>
      <c r="H1166" s="2">
        <f>IFERROR(__xludf.DUMMYFUNCTION("""COMPUTED_VALUE"""),3556.07)</f>
        <v>3556.07</v>
      </c>
    </row>
    <row r="1167">
      <c r="A1167" s="3">
        <f>IFERROR(__xludf.DUMMYFUNCTION("""COMPUTED_VALUE"""),43697.66666666667)</f>
        <v>43697.66667</v>
      </c>
      <c r="B1167" s="2">
        <f>IFERROR(__xludf.DUMMYFUNCTION("""COMPUTED_VALUE"""),87.3)</f>
        <v>87.3</v>
      </c>
      <c r="D1167" s="3">
        <f>IFERROR(__xludf.DUMMYFUNCTION("""COMPUTED_VALUE"""),43697.66666666667)</f>
        <v>43697.66667</v>
      </c>
      <c r="E1167" s="2">
        <f>IFERROR(__xludf.DUMMYFUNCTION("""COMPUTED_VALUE"""),41.97)</f>
        <v>41.97</v>
      </c>
      <c r="G1167" s="3">
        <f>IFERROR(__xludf.DUMMYFUNCTION("""COMPUTED_VALUE"""),43492.99861111111)</f>
        <v>43492.99861</v>
      </c>
      <c r="H1167" s="2">
        <f>IFERROR(__xludf.DUMMYFUNCTION("""COMPUTED_VALUE"""),3531.02)</f>
        <v>3531.02</v>
      </c>
    </row>
    <row r="1168">
      <c r="A1168" s="3">
        <f>IFERROR(__xludf.DUMMYFUNCTION("""COMPUTED_VALUE"""),43698.66666666667)</f>
        <v>43698.66667</v>
      </c>
      <c r="B1168" s="2">
        <f>IFERROR(__xludf.DUMMYFUNCTION("""COMPUTED_VALUE"""),89.14)</f>
        <v>89.14</v>
      </c>
      <c r="D1168" s="3">
        <f>IFERROR(__xludf.DUMMYFUNCTION("""COMPUTED_VALUE"""),43698.66666666667)</f>
        <v>43698.66667</v>
      </c>
      <c r="E1168" s="2">
        <f>IFERROR(__xludf.DUMMYFUNCTION("""COMPUTED_VALUE"""),42.81)</f>
        <v>42.81</v>
      </c>
      <c r="G1168" s="3">
        <f>IFERROR(__xludf.DUMMYFUNCTION("""COMPUTED_VALUE"""),43493.99861111111)</f>
        <v>43493.99861</v>
      </c>
      <c r="H1168" s="2">
        <f>IFERROR(__xludf.DUMMYFUNCTION("""COMPUTED_VALUE"""),3429.95)</f>
        <v>3429.95</v>
      </c>
    </row>
    <row r="1169">
      <c r="A1169" s="3">
        <f>IFERROR(__xludf.DUMMYFUNCTION("""COMPUTED_VALUE"""),43699.66666666667)</f>
        <v>43699.66667</v>
      </c>
      <c r="B1169" s="2">
        <f>IFERROR(__xludf.DUMMYFUNCTION("""COMPUTED_VALUE"""),100.35)</f>
        <v>100.35</v>
      </c>
      <c r="D1169" s="3">
        <f>IFERROR(__xludf.DUMMYFUNCTION("""COMPUTED_VALUE"""),43699.66666666667)</f>
        <v>43699.66667</v>
      </c>
      <c r="E1169" s="2">
        <f>IFERROR(__xludf.DUMMYFUNCTION("""COMPUTED_VALUE"""),42.87)</f>
        <v>42.87</v>
      </c>
      <c r="G1169" s="3">
        <f>IFERROR(__xludf.DUMMYFUNCTION("""COMPUTED_VALUE"""),43494.99861111111)</f>
        <v>43494.99861</v>
      </c>
      <c r="H1169" s="2">
        <f>IFERROR(__xludf.DUMMYFUNCTION("""COMPUTED_VALUE"""),3397.42)</f>
        <v>3397.42</v>
      </c>
    </row>
    <row r="1170">
      <c r="A1170" s="3">
        <f>IFERROR(__xludf.DUMMYFUNCTION("""COMPUTED_VALUE"""),43700.66666666667)</f>
        <v>43700.66667</v>
      </c>
      <c r="B1170" s="2">
        <f>IFERROR(__xludf.DUMMYFUNCTION("""COMPUTED_VALUE"""),93.18)</f>
        <v>93.18</v>
      </c>
      <c r="D1170" s="3">
        <f>IFERROR(__xludf.DUMMYFUNCTION("""COMPUTED_VALUE"""),43700.66666666667)</f>
        <v>43700.66667</v>
      </c>
      <c r="E1170" s="2">
        <f>IFERROR(__xludf.DUMMYFUNCTION("""COMPUTED_VALUE"""),40.61)</f>
        <v>40.61</v>
      </c>
      <c r="G1170" s="3">
        <f>IFERROR(__xludf.DUMMYFUNCTION("""COMPUTED_VALUE"""),43495.99861111111)</f>
        <v>43495.99861</v>
      </c>
      <c r="H1170" s="2">
        <f>IFERROR(__xludf.DUMMYFUNCTION("""COMPUTED_VALUE"""),3437.55)</f>
        <v>3437.55</v>
      </c>
    </row>
    <row r="1171">
      <c r="A1171" s="3">
        <f>IFERROR(__xludf.DUMMYFUNCTION("""COMPUTED_VALUE"""),43703.66666666667)</f>
        <v>43703.66667</v>
      </c>
      <c r="B1171" s="2">
        <f>IFERROR(__xludf.DUMMYFUNCTION("""COMPUTED_VALUE"""),95.17)</f>
        <v>95.17</v>
      </c>
      <c r="D1171" s="3">
        <f>IFERROR(__xludf.DUMMYFUNCTION("""COMPUTED_VALUE"""),43703.66666666667)</f>
        <v>43703.66667</v>
      </c>
      <c r="E1171" s="2">
        <f>IFERROR(__xludf.DUMMYFUNCTION("""COMPUTED_VALUE"""),41.36)</f>
        <v>41.36</v>
      </c>
      <c r="G1171" s="3">
        <f>IFERROR(__xludf.DUMMYFUNCTION("""COMPUTED_VALUE"""),43496.99861111111)</f>
        <v>43496.99861</v>
      </c>
      <c r="H1171" s="2">
        <f>IFERROR(__xludf.DUMMYFUNCTION("""COMPUTED_VALUE"""),3411.5)</f>
        <v>3411.5</v>
      </c>
    </row>
    <row r="1172">
      <c r="A1172" s="3">
        <f>IFERROR(__xludf.DUMMYFUNCTION("""COMPUTED_VALUE"""),43704.66666666667)</f>
        <v>43704.66667</v>
      </c>
      <c r="B1172" s="2">
        <f>IFERROR(__xludf.DUMMYFUNCTION("""COMPUTED_VALUE"""),94.51)</f>
        <v>94.51</v>
      </c>
      <c r="D1172" s="3">
        <f>IFERROR(__xludf.DUMMYFUNCTION("""COMPUTED_VALUE"""),43704.66666666667)</f>
        <v>43704.66667</v>
      </c>
      <c r="E1172" s="2">
        <f>IFERROR(__xludf.DUMMYFUNCTION("""COMPUTED_VALUE"""),40.45)</f>
        <v>40.45</v>
      </c>
      <c r="G1172" s="3">
        <f>IFERROR(__xludf.DUMMYFUNCTION("""COMPUTED_VALUE"""),43497.99861111111)</f>
        <v>43497.99861</v>
      </c>
      <c r="H1172" s="2">
        <f>IFERROR(__xludf.DUMMYFUNCTION("""COMPUTED_VALUE"""),3437.5)</f>
        <v>3437.5</v>
      </c>
    </row>
    <row r="1173">
      <c r="A1173" s="3">
        <f>IFERROR(__xludf.DUMMYFUNCTION("""COMPUTED_VALUE"""),43705.66666666667)</f>
        <v>43705.66667</v>
      </c>
      <c r="B1173" s="2">
        <f>IFERROR(__xludf.DUMMYFUNCTION("""COMPUTED_VALUE"""),96.09)</f>
        <v>96.09</v>
      </c>
      <c r="D1173" s="3">
        <f>IFERROR(__xludf.DUMMYFUNCTION("""COMPUTED_VALUE"""),43705.66666666667)</f>
        <v>43705.66667</v>
      </c>
      <c r="E1173" s="2">
        <f>IFERROR(__xludf.DUMMYFUNCTION("""COMPUTED_VALUE"""),40.31)</f>
        <v>40.31</v>
      </c>
      <c r="G1173" s="3">
        <f>IFERROR(__xludf.DUMMYFUNCTION("""COMPUTED_VALUE"""),43498.99861111111)</f>
        <v>43498.99861</v>
      </c>
      <c r="H1173" s="2">
        <f>IFERROR(__xludf.DUMMYFUNCTION("""COMPUTED_VALUE"""),3468.43)</f>
        <v>3468.43</v>
      </c>
    </row>
    <row r="1174">
      <c r="A1174" s="3">
        <f>IFERROR(__xludf.DUMMYFUNCTION("""COMPUTED_VALUE"""),43706.66666666667)</f>
        <v>43706.66667</v>
      </c>
      <c r="B1174" s="2">
        <f>IFERROR(__xludf.DUMMYFUNCTION("""COMPUTED_VALUE"""),96.82)</f>
        <v>96.82</v>
      </c>
      <c r="D1174" s="3">
        <f>IFERROR(__xludf.DUMMYFUNCTION("""COMPUTED_VALUE"""),43706.66666666667)</f>
        <v>43706.66667</v>
      </c>
      <c r="E1174" s="2">
        <f>IFERROR(__xludf.DUMMYFUNCTION("""COMPUTED_VALUE"""),41.75)</f>
        <v>41.75</v>
      </c>
      <c r="G1174" s="3">
        <f>IFERROR(__xludf.DUMMYFUNCTION("""COMPUTED_VALUE"""),43499.99861111111)</f>
        <v>43499.99861</v>
      </c>
      <c r="H1174" s="2">
        <f>IFERROR(__xludf.DUMMYFUNCTION("""COMPUTED_VALUE"""),3414.78)</f>
        <v>3414.78</v>
      </c>
    </row>
    <row r="1175">
      <c r="A1175" s="3">
        <f>IFERROR(__xludf.DUMMYFUNCTION("""COMPUTED_VALUE"""),43707.66666666667)</f>
        <v>43707.66667</v>
      </c>
      <c r="B1175" s="2">
        <f>IFERROR(__xludf.DUMMYFUNCTION("""COMPUTED_VALUE"""),96.86)</f>
        <v>96.86</v>
      </c>
      <c r="D1175" s="3">
        <f>IFERROR(__xludf.DUMMYFUNCTION("""COMPUTED_VALUE"""),43707.66666666667)</f>
        <v>43707.66667</v>
      </c>
      <c r="E1175" s="2">
        <f>IFERROR(__xludf.DUMMYFUNCTION("""COMPUTED_VALUE"""),41.88)</f>
        <v>41.88</v>
      </c>
      <c r="G1175" s="3">
        <f>IFERROR(__xludf.DUMMYFUNCTION("""COMPUTED_VALUE"""),43500.99861111111)</f>
        <v>43500.99861</v>
      </c>
      <c r="H1175" s="2">
        <f>IFERROR(__xludf.DUMMYFUNCTION("""COMPUTED_VALUE"""),3409.57)</f>
        <v>3409.57</v>
      </c>
    </row>
    <row r="1176">
      <c r="A1176" s="3">
        <f>IFERROR(__xludf.DUMMYFUNCTION("""COMPUTED_VALUE"""),43711.66666666667)</f>
        <v>43711.66667</v>
      </c>
      <c r="B1176" s="2">
        <f>IFERROR(__xludf.DUMMYFUNCTION("""COMPUTED_VALUE"""),94.79)</f>
        <v>94.79</v>
      </c>
      <c r="D1176" s="3">
        <f>IFERROR(__xludf.DUMMYFUNCTION("""COMPUTED_VALUE"""),43711.66666666667)</f>
        <v>43711.66667</v>
      </c>
      <c r="E1176" s="2">
        <f>IFERROR(__xludf.DUMMYFUNCTION("""COMPUTED_VALUE"""),41.04)</f>
        <v>41.04</v>
      </c>
      <c r="G1176" s="3">
        <f>IFERROR(__xludf.DUMMYFUNCTION("""COMPUTED_VALUE"""),43501.99861111111)</f>
        <v>43501.99861</v>
      </c>
      <c r="H1176" s="2">
        <f>IFERROR(__xludf.DUMMYFUNCTION("""COMPUTED_VALUE"""),3428.4)</f>
        <v>3428.4</v>
      </c>
    </row>
    <row r="1177">
      <c r="A1177" s="3">
        <f>IFERROR(__xludf.DUMMYFUNCTION("""COMPUTED_VALUE"""),43712.66666666667)</f>
        <v>43712.66667</v>
      </c>
      <c r="B1177" s="2">
        <f>IFERROR(__xludf.DUMMYFUNCTION("""COMPUTED_VALUE"""),95.84)</f>
        <v>95.84</v>
      </c>
      <c r="D1177" s="3">
        <f>IFERROR(__xludf.DUMMYFUNCTION("""COMPUTED_VALUE"""),43712.66666666667)</f>
        <v>43712.66667</v>
      </c>
      <c r="E1177" s="2">
        <f>IFERROR(__xludf.DUMMYFUNCTION("""COMPUTED_VALUE"""),42.19)</f>
        <v>42.19</v>
      </c>
      <c r="G1177" s="3">
        <f>IFERROR(__xludf.DUMMYFUNCTION("""COMPUTED_VALUE"""),43502.99861111111)</f>
        <v>43502.99861</v>
      </c>
      <c r="H1177" s="2">
        <f>IFERROR(__xludf.DUMMYFUNCTION("""COMPUTED_VALUE"""),3367.36)</f>
        <v>3367.36</v>
      </c>
    </row>
    <row r="1178">
      <c r="A1178" s="3">
        <f>IFERROR(__xludf.DUMMYFUNCTION("""COMPUTED_VALUE"""),43713.66666666667)</f>
        <v>43713.66667</v>
      </c>
      <c r="B1178" s="2">
        <f>IFERROR(__xludf.DUMMYFUNCTION("""COMPUTED_VALUE"""),99.3)</f>
        <v>99.3</v>
      </c>
      <c r="D1178" s="3">
        <f>IFERROR(__xludf.DUMMYFUNCTION("""COMPUTED_VALUE"""),43713.66666666667)</f>
        <v>43713.66667</v>
      </c>
      <c r="E1178" s="2">
        <f>IFERROR(__xludf.DUMMYFUNCTION("""COMPUTED_VALUE"""),44.94)</f>
        <v>44.94</v>
      </c>
      <c r="G1178" s="3">
        <f>IFERROR(__xludf.DUMMYFUNCTION("""COMPUTED_VALUE"""),43503.99861111111)</f>
        <v>43503.99861</v>
      </c>
      <c r="H1178" s="2">
        <f>IFERROR(__xludf.DUMMYFUNCTION("""COMPUTED_VALUE"""),3359.0)</f>
        <v>3359</v>
      </c>
    </row>
    <row r="1179">
      <c r="A1179" s="3">
        <f>IFERROR(__xludf.DUMMYFUNCTION("""COMPUTED_VALUE"""),43714.66666666667)</f>
        <v>43714.66667</v>
      </c>
      <c r="B1179" s="2">
        <f>IFERROR(__xludf.DUMMYFUNCTION("""COMPUTED_VALUE"""),98.05)</f>
        <v>98.05</v>
      </c>
      <c r="D1179" s="3">
        <f>IFERROR(__xludf.DUMMYFUNCTION("""COMPUTED_VALUE"""),43714.66666666667)</f>
        <v>43714.66667</v>
      </c>
      <c r="E1179" s="2">
        <f>IFERROR(__xludf.DUMMYFUNCTION("""COMPUTED_VALUE"""),44.66)</f>
        <v>44.66</v>
      </c>
      <c r="G1179" s="3">
        <f>IFERROR(__xludf.DUMMYFUNCTION("""COMPUTED_VALUE"""),43504.99861111111)</f>
        <v>43504.99861</v>
      </c>
      <c r="H1179" s="2">
        <f>IFERROR(__xludf.DUMMYFUNCTION("""COMPUTED_VALUE"""),3621.99)</f>
        <v>3621.99</v>
      </c>
    </row>
    <row r="1180">
      <c r="A1180" s="3">
        <f>IFERROR(__xludf.DUMMYFUNCTION("""COMPUTED_VALUE"""),43717.66666666667)</f>
        <v>43717.66667</v>
      </c>
      <c r="B1180" s="2">
        <f>IFERROR(__xludf.DUMMYFUNCTION("""COMPUTED_VALUE"""),98.63)</f>
        <v>98.63</v>
      </c>
      <c r="D1180" s="3">
        <f>IFERROR(__xludf.DUMMYFUNCTION("""COMPUTED_VALUE"""),43717.66666666667)</f>
        <v>43717.66667</v>
      </c>
      <c r="E1180" s="2">
        <f>IFERROR(__xludf.DUMMYFUNCTION("""COMPUTED_VALUE"""),45.13)</f>
        <v>45.13</v>
      </c>
      <c r="G1180" s="3">
        <f>IFERROR(__xludf.DUMMYFUNCTION("""COMPUTED_VALUE"""),43505.99861111111)</f>
        <v>43505.99861</v>
      </c>
      <c r="H1180" s="2">
        <f>IFERROR(__xludf.DUMMYFUNCTION("""COMPUTED_VALUE"""),3623.73)</f>
        <v>3623.73</v>
      </c>
    </row>
    <row r="1181">
      <c r="A1181" s="3">
        <f>IFERROR(__xludf.DUMMYFUNCTION("""COMPUTED_VALUE"""),43718.66666666667)</f>
        <v>43718.66667</v>
      </c>
      <c r="B1181" s="2">
        <f>IFERROR(__xludf.DUMMYFUNCTION("""COMPUTED_VALUE"""),98.44)</f>
        <v>98.44</v>
      </c>
      <c r="D1181" s="3">
        <f>IFERROR(__xludf.DUMMYFUNCTION("""COMPUTED_VALUE"""),43718.66666666667)</f>
        <v>43718.66667</v>
      </c>
      <c r="E1181" s="2">
        <f>IFERROR(__xludf.DUMMYFUNCTION("""COMPUTED_VALUE"""),45.8)</f>
        <v>45.8</v>
      </c>
      <c r="G1181" s="3">
        <f>IFERROR(__xludf.DUMMYFUNCTION("""COMPUTED_VALUE"""),43506.99861111111)</f>
        <v>43506.99861</v>
      </c>
      <c r="H1181" s="2">
        <f>IFERROR(__xludf.DUMMYFUNCTION("""COMPUTED_VALUE"""),3648.84)</f>
        <v>3648.84</v>
      </c>
    </row>
    <row r="1182">
      <c r="A1182" s="3">
        <f>IFERROR(__xludf.DUMMYFUNCTION("""COMPUTED_VALUE"""),43719.66666666667)</f>
        <v>43719.66667</v>
      </c>
      <c r="B1182" s="2">
        <f>IFERROR(__xludf.DUMMYFUNCTION("""COMPUTED_VALUE"""),98.53)</f>
        <v>98.53</v>
      </c>
      <c r="D1182" s="3">
        <f>IFERROR(__xludf.DUMMYFUNCTION("""COMPUTED_VALUE"""),43719.66666666667)</f>
        <v>43719.66667</v>
      </c>
      <c r="E1182" s="2">
        <f>IFERROR(__xludf.DUMMYFUNCTION("""COMPUTED_VALUE"""),46.08)</f>
        <v>46.08</v>
      </c>
      <c r="G1182" s="3">
        <f>IFERROR(__xludf.DUMMYFUNCTION("""COMPUTED_VALUE"""),43507.99861111111)</f>
        <v>43507.99861</v>
      </c>
      <c r="H1182" s="2">
        <f>IFERROR(__xludf.DUMMYFUNCTION("""COMPUTED_VALUE"""),3590.36)</f>
        <v>3590.36</v>
      </c>
    </row>
    <row r="1183">
      <c r="A1183" s="3">
        <f>IFERROR(__xludf.DUMMYFUNCTION("""COMPUTED_VALUE"""),43720.66666666667)</f>
        <v>43720.66667</v>
      </c>
      <c r="B1183" s="2">
        <f>IFERROR(__xludf.DUMMYFUNCTION("""COMPUTED_VALUE"""),99.04)</f>
        <v>99.04</v>
      </c>
      <c r="D1183" s="3">
        <f>IFERROR(__xludf.DUMMYFUNCTION("""COMPUTED_VALUE"""),43720.66666666667)</f>
        <v>43720.66667</v>
      </c>
      <c r="E1183" s="2">
        <f>IFERROR(__xludf.DUMMYFUNCTION("""COMPUTED_VALUE"""),46.07)</f>
        <v>46.07</v>
      </c>
      <c r="G1183" s="3">
        <f>IFERROR(__xludf.DUMMYFUNCTION("""COMPUTED_VALUE"""),43508.99861111111)</f>
        <v>43508.99861</v>
      </c>
      <c r="H1183" s="2">
        <f>IFERROR(__xludf.DUMMYFUNCTION("""COMPUTED_VALUE"""),3588.06)</f>
        <v>3588.06</v>
      </c>
    </row>
    <row r="1184">
      <c r="A1184" s="3">
        <f>IFERROR(__xludf.DUMMYFUNCTION("""COMPUTED_VALUE"""),43721.66666666667)</f>
        <v>43721.66667</v>
      </c>
      <c r="B1184" s="2">
        <f>IFERROR(__xludf.DUMMYFUNCTION("""COMPUTED_VALUE"""),99.58)</f>
        <v>99.58</v>
      </c>
      <c r="D1184" s="3">
        <f>IFERROR(__xludf.DUMMYFUNCTION("""COMPUTED_VALUE"""),43721.66666666667)</f>
        <v>43721.66667</v>
      </c>
      <c r="E1184" s="2">
        <f>IFERROR(__xludf.DUMMYFUNCTION("""COMPUTED_VALUE"""),45.49)</f>
        <v>45.49</v>
      </c>
      <c r="G1184" s="3">
        <f>IFERROR(__xludf.DUMMYFUNCTION("""COMPUTED_VALUE"""),43509.99861111111)</f>
        <v>43509.99861</v>
      </c>
      <c r="H1184" s="2">
        <f>IFERROR(__xludf.DUMMYFUNCTION("""COMPUTED_VALUE"""),3576.68)</f>
        <v>3576.68</v>
      </c>
    </row>
    <row r="1185">
      <c r="A1185" s="3">
        <f>IFERROR(__xludf.DUMMYFUNCTION("""COMPUTED_VALUE"""),43724.66666666667)</f>
        <v>43724.66667</v>
      </c>
      <c r="B1185" s="2">
        <f>IFERROR(__xludf.DUMMYFUNCTION("""COMPUTED_VALUE"""),98.98)</f>
        <v>98.98</v>
      </c>
      <c r="D1185" s="3">
        <f>IFERROR(__xludf.DUMMYFUNCTION("""COMPUTED_VALUE"""),43724.66666666667)</f>
        <v>43724.66667</v>
      </c>
      <c r="E1185" s="2">
        <f>IFERROR(__xludf.DUMMYFUNCTION("""COMPUTED_VALUE"""),45.05)</f>
        <v>45.05</v>
      </c>
      <c r="G1185" s="3">
        <f>IFERROR(__xludf.DUMMYFUNCTION("""COMPUTED_VALUE"""),43510.99861111111)</f>
        <v>43510.99861</v>
      </c>
      <c r="H1185" s="2">
        <f>IFERROR(__xludf.DUMMYFUNCTION("""COMPUTED_VALUE"""),3561.5)</f>
        <v>3561.5</v>
      </c>
    </row>
    <row r="1186">
      <c r="A1186" s="3">
        <f>IFERROR(__xludf.DUMMYFUNCTION("""COMPUTED_VALUE"""),43725.66666666667)</f>
        <v>43725.66667</v>
      </c>
      <c r="B1186" s="2">
        <f>IFERROR(__xludf.DUMMYFUNCTION("""COMPUTED_VALUE"""),101.38)</f>
        <v>101.38</v>
      </c>
      <c r="D1186" s="3">
        <f>IFERROR(__xludf.DUMMYFUNCTION("""COMPUTED_VALUE"""),43725.66666666667)</f>
        <v>43725.66667</v>
      </c>
      <c r="E1186" s="2">
        <f>IFERROR(__xludf.DUMMYFUNCTION("""COMPUTED_VALUE"""),45.27)</f>
        <v>45.27</v>
      </c>
      <c r="G1186" s="3">
        <f>IFERROR(__xludf.DUMMYFUNCTION("""COMPUTED_VALUE"""),43511.99861111111)</f>
        <v>43511.99861</v>
      </c>
      <c r="H1186" s="2">
        <f>IFERROR(__xludf.DUMMYFUNCTION("""COMPUTED_VALUE"""),3566.59)</f>
        <v>3566.59</v>
      </c>
    </row>
    <row r="1187">
      <c r="A1187" s="3">
        <f>IFERROR(__xludf.DUMMYFUNCTION("""COMPUTED_VALUE"""),43726.66666666667)</f>
        <v>43726.66667</v>
      </c>
      <c r="B1187" s="2">
        <f>IFERROR(__xludf.DUMMYFUNCTION("""COMPUTED_VALUE"""),101.34)</f>
        <v>101.34</v>
      </c>
      <c r="D1187" s="3">
        <f>IFERROR(__xludf.DUMMYFUNCTION("""COMPUTED_VALUE"""),43726.66666666667)</f>
        <v>43726.66667</v>
      </c>
      <c r="E1187" s="2">
        <f>IFERROR(__xludf.DUMMYFUNCTION("""COMPUTED_VALUE"""),45.0)</f>
        <v>45</v>
      </c>
      <c r="G1187" s="3">
        <f>IFERROR(__xludf.DUMMYFUNCTION("""COMPUTED_VALUE"""),43512.99861111111)</f>
        <v>43512.99861</v>
      </c>
      <c r="H1187" s="2">
        <f>IFERROR(__xludf.DUMMYFUNCTION("""COMPUTED_VALUE"""),3582.37)</f>
        <v>3582.37</v>
      </c>
    </row>
    <row r="1188">
      <c r="A1188" s="3">
        <f>IFERROR(__xludf.DUMMYFUNCTION("""COMPUTED_VALUE"""),43727.66666666667)</f>
        <v>43727.66667</v>
      </c>
      <c r="B1188" s="2">
        <f>IFERROR(__xludf.DUMMYFUNCTION("""COMPUTED_VALUE"""),100.01)</f>
        <v>100.01</v>
      </c>
      <c r="D1188" s="3">
        <f>IFERROR(__xludf.DUMMYFUNCTION("""COMPUTED_VALUE"""),43727.66666666667)</f>
        <v>43727.66667</v>
      </c>
      <c r="E1188" s="2">
        <f>IFERROR(__xludf.DUMMYFUNCTION("""COMPUTED_VALUE"""),44.24)</f>
        <v>44.24</v>
      </c>
      <c r="G1188" s="3">
        <f>IFERROR(__xludf.DUMMYFUNCTION("""COMPUTED_VALUE"""),43513.99861111111)</f>
        <v>43513.99861</v>
      </c>
      <c r="H1188" s="2">
        <f>IFERROR(__xludf.DUMMYFUNCTION("""COMPUTED_VALUE"""),3625.08)</f>
        <v>3625.08</v>
      </c>
    </row>
    <row r="1189">
      <c r="A1189" s="3">
        <f>IFERROR(__xludf.DUMMYFUNCTION("""COMPUTED_VALUE"""),43728.66666666667)</f>
        <v>43728.66667</v>
      </c>
      <c r="B1189" s="2">
        <f>IFERROR(__xludf.DUMMYFUNCTION("""COMPUTED_VALUE"""),98.77)</f>
        <v>98.77</v>
      </c>
      <c r="D1189" s="3">
        <f>IFERROR(__xludf.DUMMYFUNCTION("""COMPUTED_VALUE"""),43728.66666666667)</f>
        <v>43728.66667</v>
      </c>
      <c r="E1189" s="2">
        <f>IFERROR(__xludf.DUMMYFUNCTION("""COMPUTED_VALUE"""),43.17)</f>
        <v>43.17</v>
      </c>
      <c r="G1189" s="3">
        <f>IFERROR(__xludf.DUMMYFUNCTION("""COMPUTED_VALUE"""),43514.99861111111)</f>
        <v>43514.99861</v>
      </c>
      <c r="H1189" s="2">
        <f>IFERROR(__xludf.DUMMYFUNCTION("""COMPUTED_VALUE"""),3867.0)</f>
        <v>3867</v>
      </c>
    </row>
    <row r="1190">
      <c r="A1190" s="3">
        <f>IFERROR(__xludf.DUMMYFUNCTION("""COMPUTED_VALUE"""),43731.66666666667)</f>
        <v>43731.66667</v>
      </c>
      <c r="B1190" s="2">
        <f>IFERROR(__xludf.DUMMYFUNCTION("""COMPUTED_VALUE"""),99.87)</f>
        <v>99.87</v>
      </c>
      <c r="D1190" s="3">
        <f>IFERROR(__xludf.DUMMYFUNCTION("""COMPUTED_VALUE"""),43731.66666666667)</f>
        <v>43731.66667</v>
      </c>
      <c r="E1190" s="2">
        <f>IFERROR(__xludf.DUMMYFUNCTION("""COMPUTED_VALUE"""),43.71)</f>
        <v>43.71</v>
      </c>
      <c r="G1190" s="3">
        <f>IFERROR(__xludf.DUMMYFUNCTION("""COMPUTED_VALUE"""),43515.99861111111)</f>
        <v>43515.99861</v>
      </c>
      <c r="H1190" s="2">
        <f>IFERROR(__xludf.DUMMYFUNCTION("""COMPUTED_VALUE"""),3888.01)</f>
        <v>3888.01</v>
      </c>
    </row>
    <row r="1191">
      <c r="A1191" s="3">
        <f>IFERROR(__xludf.DUMMYFUNCTION("""COMPUTED_VALUE"""),43732.66666666667)</f>
        <v>43732.66667</v>
      </c>
      <c r="B1191" s="2">
        <f>IFERROR(__xludf.DUMMYFUNCTION("""COMPUTED_VALUE"""),98.1)</f>
        <v>98.1</v>
      </c>
      <c r="D1191" s="3">
        <f>IFERROR(__xludf.DUMMYFUNCTION("""COMPUTED_VALUE"""),43732.66666666667)</f>
        <v>43732.66667</v>
      </c>
      <c r="E1191" s="2">
        <f>IFERROR(__xludf.DUMMYFUNCTION("""COMPUTED_VALUE"""),43.13)</f>
        <v>43.13</v>
      </c>
      <c r="G1191" s="3">
        <f>IFERROR(__xludf.DUMMYFUNCTION("""COMPUTED_VALUE"""),43516.99861111111)</f>
        <v>43516.99861</v>
      </c>
      <c r="H1191" s="2">
        <f>IFERROR(__xludf.DUMMYFUNCTION("""COMPUTED_VALUE"""),3938.99)</f>
        <v>3938.99</v>
      </c>
    </row>
    <row r="1192">
      <c r="A1192" s="3">
        <f>IFERROR(__xludf.DUMMYFUNCTION("""COMPUTED_VALUE"""),43733.66666666667)</f>
        <v>43733.66667</v>
      </c>
      <c r="B1192" s="2">
        <f>IFERROR(__xludf.DUMMYFUNCTION("""COMPUTED_VALUE"""),99.6)</f>
        <v>99.6</v>
      </c>
      <c r="D1192" s="3">
        <f>IFERROR(__xludf.DUMMYFUNCTION("""COMPUTED_VALUE"""),43733.66666666667)</f>
        <v>43733.66667</v>
      </c>
      <c r="E1192" s="2">
        <f>IFERROR(__xludf.DUMMYFUNCTION("""COMPUTED_VALUE"""),44.56)</f>
        <v>44.56</v>
      </c>
      <c r="G1192" s="3">
        <f>IFERROR(__xludf.DUMMYFUNCTION("""COMPUTED_VALUE"""),43517.99861111111)</f>
        <v>43517.99861</v>
      </c>
      <c r="H1192" s="2">
        <f>IFERROR(__xludf.DUMMYFUNCTION("""COMPUTED_VALUE"""),3897.71)</f>
        <v>3897.71</v>
      </c>
    </row>
    <row r="1193">
      <c r="A1193" s="3">
        <f>IFERROR(__xludf.DUMMYFUNCTION("""COMPUTED_VALUE"""),43734.66666666667)</f>
        <v>43734.66667</v>
      </c>
      <c r="B1193" s="2">
        <f>IFERROR(__xludf.DUMMYFUNCTION("""COMPUTED_VALUE"""),99.28)</f>
        <v>99.28</v>
      </c>
      <c r="D1193" s="3">
        <f>IFERROR(__xludf.DUMMYFUNCTION("""COMPUTED_VALUE"""),43734.66666666667)</f>
        <v>43734.66667</v>
      </c>
      <c r="E1193" s="2">
        <f>IFERROR(__xludf.DUMMYFUNCTION("""COMPUTED_VALUE"""),44.34)</f>
        <v>44.34</v>
      </c>
      <c r="G1193" s="3">
        <f>IFERROR(__xludf.DUMMYFUNCTION("""COMPUTED_VALUE"""),43518.99861111111)</f>
        <v>43518.99861</v>
      </c>
      <c r="H1193" s="2">
        <f>IFERROR(__xludf.DUMMYFUNCTION("""COMPUTED_VALUE"""),3942.02)</f>
        <v>3942.02</v>
      </c>
    </row>
    <row r="1194">
      <c r="A1194" s="3">
        <f>IFERROR(__xludf.DUMMYFUNCTION("""COMPUTED_VALUE"""),43735.66666666667)</f>
        <v>43735.66667</v>
      </c>
      <c r="B1194" s="2">
        <f>IFERROR(__xludf.DUMMYFUNCTION("""COMPUTED_VALUE"""),96.29)</f>
        <v>96.29</v>
      </c>
      <c r="D1194" s="3">
        <f>IFERROR(__xludf.DUMMYFUNCTION("""COMPUTED_VALUE"""),43735.66666666667)</f>
        <v>43735.66667</v>
      </c>
      <c r="E1194" s="2">
        <f>IFERROR(__xludf.DUMMYFUNCTION("""COMPUTED_VALUE"""),42.94)</f>
        <v>42.94</v>
      </c>
      <c r="G1194" s="3">
        <f>IFERROR(__xludf.DUMMYFUNCTION("""COMPUTED_VALUE"""),43519.99861111111)</f>
        <v>43519.99861</v>
      </c>
      <c r="H1194" s="2">
        <f>IFERROR(__xludf.DUMMYFUNCTION("""COMPUTED_VALUE"""),4110.0)</f>
        <v>4110</v>
      </c>
    </row>
    <row r="1195">
      <c r="A1195" s="3">
        <f>IFERROR(__xludf.DUMMYFUNCTION("""COMPUTED_VALUE"""),43738.66666666667)</f>
        <v>43738.66667</v>
      </c>
      <c r="B1195" s="2">
        <f>IFERROR(__xludf.DUMMYFUNCTION("""COMPUTED_VALUE"""),97.25)</f>
        <v>97.25</v>
      </c>
      <c r="D1195" s="3">
        <f>IFERROR(__xludf.DUMMYFUNCTION("""COMPUTED_VALUE"""),43738.66666666667)</f>
        <v>43738.66667</v>
      </c>
      <c r="E1195" s="2">
        <f>IFERROR(__xludf.DUMMYFUNCTION("""COMPUTED_VALUE"""),43.52)</f>
        <v>43.52</v>
      </c>
      <c r="G1195" s="3">
        <f>IFERROR(__xludf.DUMMYFUNCTION("""COMPUTED_VALUE"""),43520.99861111111)</f>
        <v>43520.99861</v>
      </c>
      <c r="H1195" s="2">
        <f>IFERROR(__xludf.DUMMYFUNCTION("""COMPUTED_VALUE"""),3734.22)</f>
        <v>3734.22</v>
      </c>
    </row>
    <row r="1196">
      <c r="A1196" s="3">
        <f>IFERROR(__xludf.DUMMYFUNCTION("""COMPUTED_VALUE"""),43739.66666666667)</f>
        <v>43739.66667</v>
      </c>
      <c r="B1196" s="2">
        <f>IFERROR(__xludf.DUMMYFUNCTION("""COMPUTED_VALUE"""),95.92)</f>
        <v>95.92</v>
      </c>
      <c r="D1196" s="3">
        <f>IFERROR(__xludf.DUMMYFUNCTION("""COMPUTED_VALUE"""),43739.66666666667)</f>
        <v>43739.66667</v>
      </c>
      <c r="E1196" s="2">
        <f>IFERROR(__xludf.DUMMYFUNCTION("""COMPUTED_VALUE"""),43.5)</f>
        <v>43.5</v>
      </c>
      <c r="G1196" s="3">
        <f>IFERROR(__xludf.DUMMYFUNCTION("""COMPUTED_VALUE"""),43521.99861111111)</f>
        <v>43521.99861</v>
      </c>
      <c r="H1196" s="2">
        <f>IFERROR(__xludf.DUMMYFUNCTION("""COMPUTED_VALUE"""),3818.79)</f>
        <v>3818.79</v>
      </c>
    </row>
    <row r="1197">
      <c r="A1197" s="3">
        <f>IFERROR(__xludf.DUMMYFUNCTION("""COMPUTED_VALUE"""),43740.66666666667)</f>
        <v>43740.66667</v>
      </c>
      <c r="B1197" s="2">
        <f>IFERROR(__xludf.DUMMYFUNCTION("""COMPUTED_VALUE"""),94.8)</f>
        <v>94.8</v>
      </c>
      <c r="D1197" s="3">
        <f>IFERROR(__xludf.DUMMYFUNCTION("""COMPUTED_VALUE"""),43740.66666666667)</f>
        <v>43740.66667</v>
      </c>
      <c r="E1197" s="2">
        <f>IFERROR(__xludf.DUMMYFUNCTION("""COMPUTED_VALUE"""),43.26)</f>
        <v>43.26</v>
      </c>
      <c r="G1197" s="3">
        <f>IFERROR(__xludf.DUMMYFUNCTION("""COMPUTED_VALUE"""),43522.99861111111)</f>
        <v>43522.99861</v>
      </c>
      <c r="H1197" s="2">
        <f>IFERROR(__xludf.DUMMYFUNCTION("""COMPUTED_VALUE"""),3799.48)</f>
        <v>3799.48</v>
      </c>
    </row>
    <row r="1198">
      <c r="A1198" s="3">
        <f>IFERROR(__xludf.DUMMYFUNCTION("""COMPUTED_VALUE"""),43741.66666666667)</f>
        <v>43741.66667</v>
      </c>
      <c r="B1198" s="2">
        <f>IFERROR(__xludf.DUMMYFUNCTION("""COMPUTED_VALUE"""),95.46)</f>
        <v>95.46</v>
      </c>
      <c r="D1198" s="3">
        <f>IFERROR(__xludf.DUMMYFUNCTION("""COMPUTED_VALUE"""),43741.66666666667)</f>
        <v>43741.66667</v>
      </c>
      <c r="E1198" s="2">
        <f>IFERROR(__xludf.DUMMYFUNCTION("""COMPUTED_VALUE"""),45.33)</f>
        <v>45.33</v>
      </c>
      <c r="G1198" s="3">
        <f>IFERROR(__xludf.DUMMYFUNCTION("""COMPUTED_VALUE"""),43523.99861111111)</f>
        <v>43523.99861</v>
      </c>
      <c r="H1198" s="2">
        <f>IFERROR(__xludf.DUMMYFUNCTION("""COMPUTED_VALUE"""),3799.91)</f>
        <v>3799.91</v>
      </c>
    </row>
    <row r="1199">
      <c r="A1199" s="3">
        <f>IFERROR(__xludf.DUMMYFUNCTION("""COMPUTED_VALUE"""),43742.66666666667)</f>
        <v>43742.66667</v>
      </c>
      <c r="B1199" s="2">
        <f>IFERROR(__xludf.DUMMYFUNCTION("""COMPUTED_VALUE"""),96.58)</f>
        <v>96.58</v>
      </c>
      <c r="D1199" s="3">
        <f>IFERROR(__xludf.DUMMYFUNCTION("""COMPUTED_VALUE"""),43742.66666666667)</f>
        <v>43742.66667</v>
      </c>
      <c r="E1199" s="2">
        <f>IFERROR(__xludf.DUMMYFUNCTION("""COMPUTED_VALUE"""),45.49)</f>
        <v>45.49</v>
      </c>
      <c r="G1199" s="3">
        <f>IFERROR(__xludf.DUMMYFUNCTION("""COMPUTED_VALUE"""),43524.99861111111)</f>
        <v>43524.99861</v>
      </c>
      <c r="H1199" s="2">
        <f>IFERROR(__xludf.DUMMYFUNCTION("""COMPUTED_VALUE"""),3792.14)</f>
        <v>3792.14</v>
      </c>
    </row>
    <row r="1200">
      <c r="A1200" s="3">
        <f>IFERROR(__xludf.DUMMYFUNCTION("""COMPUTED_VALUE"""),43745.66666666667)</f>
        <v>43745.66667</v>
      </c>
      <c r="B1200" s="2">
        <f>IFERROR(__xludf.DUMMYFUNCTION("""COMPUTED_VALUE"""),96.21)</f>
        <v>96.21</v>
      </c>
      <c r="D1200" s="3">
        <f>IFERROR(__xludf.DUMMYFUNCTION("""COMPUTED_VALUE"""),43745.66666666667)</f>
        <v>43745.66667</v>
      </c>
      <c r="E1200" s="2">
        <f>IFERROR(__xludf.DUMMYFUNCTION("""COMPUTED_VALUE"""),46.08)</f>
        <v>46.08</v>
      </c>
      <c r="G1200" s="3">
        <f>IFERROR(__xludf.DUMMYFUNCTION("""COMPUTED_VALUE"""),43525.99861111111)</f>
        <v>43525.99861</v>
      </c>
      <c r="H1200" s="2">
        <f>IFERROR(__xludf.DUMMYFUNCTION("""COMPUTED_VALUE"""),3806.17)</f>
        <v>3806.17</v>
      </c>
    </row>
    <row r="1201">
      <c r="A1201" s="3">
        <f>IFERROR(__xludf.DUMMYFUNCTION("""COMPUTED_VALUE"""),43746.66666666667)</f>
        <v>43746.66667</v>
      </c>
      <c r="B1201" s="2">
        <f>IFERROR(__xludf.DUMMYFUNCTION("""COMPUTED_VALUE"""),91.42)</f>
        <v>91.42</v>
      </c>
      <c r="D1201" s="3">
        <f>IFERROR(__xludf.DUMMYFUNCTION("""COMPUTED_VALUE"""),43746.66666666667)</f>
        <v>43746.66667</v>
      </c>
      <c r="E1201" s="2">
        <f>IFERROR(__xludf.DUMMYFUNCTION("""COMPUTED_VALUE"""),44.31)</f>
        <v>44.31</v>
      </c>
      <c r="G1201" s="3">
        <f>IFERROR(__xludf.DUMMYFUNCTION("""COMPUTED_VALUE"""),43526.99861111111)</f>
        <v>43526.99861</v>
      </c>
      <c r="H1201" s="2">
        <f>IFERROR(__xludf.DUMMYFUNCTION("""COMPUTED_VALUE"""),3809.7)</f>
        <v>3809.7</v>
      </c>
    </row>
    <row r="1202">
      <c r="A1202" s="3">
        <f>IFERROR(__xludf.DUMMYFUNCTION("""COMPUTED_VALUE"""),43747.66666666667)</f>
        <v>43747.66667</v>
      </c>
      <c r="B1202" s="2">
        <f>IFERROR(__xludf.DUMMYFUNCTION("""COMPUTED_VALUE"""),94.61)</f>
        <v>94.61</v>
      </c>
      <c r="D1202" s="3">
        <f>IFERROR(__xludf.DUMMYFUNCTION("""COMPUTED_VALUE"""),43747.66666666667)</f>
        <v>43747.66667</v>
      </c>
      <c r="E1202" s="2">
        <f>IFERROR(__xludf.DUMMYFUNCTION("""COMPUTED_VALUE"""),45.18)</f>
        <v>45.18</v>
      </c>
      <c r="G1202" s="3">
        <f>IFERROR(__xludf.DUMMYFUNCTION("""COMPUTED_VALUE"""),43527.99861111111)</f>
        <v>43527.99861</v>
      </c>
      <c r="H1202" s="2">
        <f>IFERROR(__xludf.DUMMYFUNCTION("""COMPUTED_VALUE"""),3786.93)</f>
        <v>3786.93</v>
      </c>
    </row>
    <row r="1203">
      <c r="A1203" s="3">
        <f>IFERROR(__xludf.DUMMYFUNCTION("""COMPUTED_VALUE"""),43748.66666666667)</f>
        <v>43748.66667</v>
      </c>
      <c r="B1203" s="2">
        <f>IFERROR(__xludf.DUMMYFUNCTION("""COMPUTED_VALUE"""),94.43)</f>
        <v>94.43</v>
      </c>
      <c r="D1203" s="3">
        <f>IFERROR(__xludf.DUMMYFUNCTION("""COMPUTED_VALUE"""),43748.66666666667)</f>
        <v>43748.66667</v>
      </c>
      <c r="E1203" s="2">
        <f>IFERROR(__xludf.DUMMYFUNCTION("""COMPUTED_VALUE"""),45.76)</f>
        <v>45.76</v>
      </c>
      <c r="G1203" s="3">
        <f>IFERROR(__xludf.DUMMYFUNCTION("""COMPUTED_VALUE"""),43528.99861111111)</f>
        <v>43528.99861</v>
      </c>
      <c r="H1203" s="2">
        <f>IFERROR(__xludf.DUMMYFUNCTION("""COMPUTED_VALUE"""),3700.72)</f>
        <v>3700.72</v>
      </c>
    </row>
    <row r="1204">
      <c r="A1204" s="3">
        <f>IFERROR(__xludf.DUMMYFUNCTION("""COMPUTED_VALUE"""),43749.66666666667)</f>
        <v>43749.66667</v>
      </c>
      <c r="B1204" s="2">
        <f>IFERROR(__xludf.DUMMYFUNCTION("""COMPUTED_VALUE"""),95.0)</f>
        <v>95</v>
      </c>
      <c r="D1204" s="3">
        <f>IFERROR(__xludf.DUMMYFUNCTION("""COMPUTED_VALUE"""),43749.66666666667)</f>
        <v>43749.66667</v>
      </c>
      <c r="E1204" s="2">
        <f>IFERROR(__xludf.DUMMYFUNCTION("""COMPUTED_VALUE"""),46.5)</f>
        <v>46.5</v>
      </c>
      <c r="G1204" s="3">
        <f>IFERROR(__xludf.DUMMYFUNCTION("""COMPUTED_VALUE"""),43529.99861111111)</f>
        <v>43529.99861</v>
      </c>
      <c r="H1204" s="2">
        <f>IFERROR(__xludf.DUMMYFUNCTION("""COMPUTED_VALUE"""),3844.59)</f>
        <v>3844.59</v>
      </c>
    </row>
    <row r="1205">
      <c r="A1205" s="3">
        <f>IFERROR(__xludf.DUMMYFUNCTION("""COMPUTED_VALUE"""),43752.66666666667)</f>
        <v>43752.66667</v>
      </c>
      <c r="B1205" s="2">
        <f>IFERROR(__xludf.DUMMYFUNCTION("""COMPUTED_VALUE"""),95.48)</f>
        <v>95.48</v>
      </c>
      <c r="D1205" s="3">
        <f>IFERROR(__xludf.DUMMYFUNCTION("""COMPUTED_VALUE"""),43752.66666666667)</f>
        <v>43752.66667</v>
      </c>
      <c r="E1205" s="2">
        <f>IFERROR(__xludf.DUMMYFUNCTION("""COMPUTED_VALUE"""),46.63)</f>
        <v>46.63</v>
      </c>
      <c r="G1205" s="3">
        <f>IFERROR(__xludf.DUMMYFUNCTION("""COMPUTED_VALUE"""),43530.99861111111)</f>
        <v>43530.99861</v>
      </c>
      <c r="H1205" s="2">
        <f>IFERROR(__xludf.DUMMYFUNCTION("""COMPUTED_VALUE"""),3851.89)</f>
        <v>3851.89</v>
      </c>
    </row>
    <row r="1206">
      <c r="A1206" s="3">
        <f>IFERROR(__xludf.DUMMYFUNCTION("""COMPUTED_VALUE"""),43753.66666666667)</f>
        <v>43753.66667</v>
      </c>
      <c r="B1206" s="2">
        <f>IFERROR(__xludf.DUMMYFUNCTION("""COMPUTED_VALUE"""),97.73)</f>
        <v>97.73</v>
      </c>
      <c r="D1206" s="3">
        <f>IFERROR(__xludf.DUMMYFUNCTION("""COMPUTED_VALUE"""),43753.66666666667)</f>
        <v>43753.66667</v>
      </c>
      <c r="E1206" s="2">
        <f>IFERROR(__xludf.DUMMYFUNCTION("""COMPUTED_VALUE"""),49.09)</f>
        <v>49.09</v>
      </c>
      <c r="G1206" s="3">
        <f>IFERROR(__xludf.DUMMYFUNCTION("""COMPUTED_VALUE"""),43531.99861111111)</f>
        <v>43531.99861</v>
      </c>
      <c r="H1206" s="2">
        <f>IFERROR(__xludf.DUMMYFUNCTION("""COMPUTED_VALUE"""),3857.05)</f>
        <v>3857.05</v>
      </c>
    </row>
    <row r="1207">
      <c r="A1207" s="3">
        <f>IFERROR(__xludf.DUMMYFUNCTION("""COMPUTED_VALUE"""),43754.66666666667)</f>
        <v>43754.66667</v>
      </c>
      <c r="B1207" s="2">
        <f>IFERROR(__xludf.DUMMYFUNCTION("""COMPUTED_VALUE"""),95.59)</f>
        <v>95.59</v>
      </c>
      <c r="D1207" s="3">
        <f>IFERROR(__xludf.DUMMYFUNCTION("""COMPUTED_VALUE"""),43754.66666666667)</f>
        <v>43754.66667</v>
      </c>
      <c r="E1207" s="2">
        <f>IFERROR(__xludf.DUMMYFUNCTION("""COMPUTED_VALUE"""),48.55)</f>
        <v>48.55</v>
      </c>
      <c r="G1207" s="3">
        <f>IFERROR(__xludf.DUMMYFUNCTION("""COMPUTED_VALUE"""),43532.99861111111)</f>
        <v>43532.99861</v>
      </c>
      <c r="H1207" s="2">
        <f>IFERROR(__xludf.DUMMYFUNCTION("""COMPUTED_VALUE"""),3843.12)</f>
        <v>3843.12</v>
      </c>
    </row>
    <row r="1208">
      <c r="A1208" s="3">
        <f>IFERROR(__xludf.DUMMYFUNCTION("""COMPUTED_VALUE"""),43755.66666666667)</f>
        <v>43755.66667</v>
      </c>
      <c r="B1208" s="2">
        <f>IFERROR(__xludf.DUMMYFUNCTION("""COMPUTED_VALUE"""),97.04)</f>
        <v>97.04</v>
      </c>
      <c r="D1208" s="3">
        <f>IFERROR(__xludf.DUMMYFUNCTION("""COMPUTED_VALUE"""),43755.66666666667)</f>
        <v>43755.66667</v>
      </c>
      <c r="E1208" s="2">
        <f>IFERROR(__xludf.DUMMYFUNCTION("""COMPUTED_VALUE"""),48.57)</f>
        <v>48.57</v>
      </c>
      <c r="G1208" s="3">
        <f>IFERROR(__xludf.DUMMYFUNCTION("""COMPUTED_VALUE"""),43533.99861111111)</f>
        <v>43533.99861</v>
      </c>
      <c r="H1208" s="2">
        <f>IFERROR(__xludf.DUMMYFUNCTION("""COMPUTED_VALUE"""),3917.0)</f>
        <v>3917</v>
      </c>
    </row>
    <row r="1209">
      <c r="A1209" s="3">
        <f>IFERROR(__xludf.DUMMYFUNCTION("""COMPUTED_VALUE"""),43756.66666666667)</f>
        <v>43756.66667</v>
      </c>
      <c r="B1209" s="2">
        <f>IFERROR(__xludf.DUMMYFUNCTION("""COMPUTED_VALUE"""),98.26)</f>
        <v>98.26</v>
      </c>
      <c r="D1209" s="3">
        <f>IFERROR(__xludf.DUMMYFUNCTION("""COMPUTED_VALUE"""),43756.66666666667)</f>
        <v>43756.66667</v>
      </c>
      <c r="E1209" s="2">
        <f>IFERROR(__xludf.DUMMYFUNCTION("""COMPUTED_VALUE"""),47.62)</f>
        <v>47.62</v>
      </c>
      <c r="G1209" s="3">
        <f>IFERROR(__xludf.DUMMYFUNCTION("""COMPUTED_VALUE"""),43534.99861111111)</f>
        <v>43534.99861</v>
      </c>
      <c r="H1209" s="2">
        <f>IFERROR(__xludf.DUMMYFUNCTION("""COMPUTED_VALUE"""),3900.92)</f>
        <v>3900.92</v>
      </c>
    </row>
    <row r="1210">
      <c r="A1210" s="3">
        <f>IFERROR(__xludf.DUMMYFUNCTION("""COMPUTED_VALUE"""),43759.66666666667)</f>
        <v>43759.66667</v>
      </c>
      <c r="B1210" s="2">
        <f>IFERROR(__xludf.DUMMYFUNCTION("""COMPUTED_VALUE"""),102.97)</f>
        <v>102.97</v>
      </c>
      <c r="D1210" s="3">
        <f>IFERROR(__xludf.DUMMYFUNCTION("""COMPUTED_VALUE"""),43759.66666666667)</f>
        <v>43759.66667</v>
      </c>
      <c r="E1210" s="2">
        <f>IFERROR(__xludf.DUMMYFUNCTION("""COMPUTED_VALUE"""),49.0)</f>
        <v>49</v>
      </c>
      <c r="G1210" s="3">
        <f>IFERROR(__xludf.DUMMYFUNCTION("""COMPUTED_VALUE"""),43535.99861111111)</f>
        <v>43535.99861</v>
      </c>
      <c r="H1210" s="2">
        <f>IFERROR(__xludf.DUMMYFUNCTION("""COMPUTED_VALUE"""),3849.68)</f>
        <v>3849.68</v>
      </c>
    </row>
    <row r="1211">
      <c r="A1211" s="3">
        <f>IFERROR(__xludf.DUMMYFUNCTION("""COMPUTED_VALUE"""),43760.66666666667)</f>
        <v>43760.66667</v>
      </c>
      <c r="B1211" s="2">
        <f>IFERROR(__xludf.DUMMYFUNCTION("""COMPUTED_VALUE"""),102.5)</f>
        <v>102.5</v>
      </c>
      <c r="D1211" s="3">
        <f>IFERROR(__xludf.DUMMYFUNCTION("""COMPUTED_VALUE"""),43760.66666666667)</f>
        <v>43760.66667</v>
      </c>
      <c r="E1211" s="2">
        <f>IFERROR(__xludf.DUMMYFUNCTION("""COMPUTED_VALUE"""),48.9)</f>
        <v>48.9</v>
      </c>
      <c r="G1211" s="3">
        <f>IFERROR(__xludf.DUMMYFUNCTION("""COMPUTED_VALUE"""),43536.99861111111)</f>
        <v>43536.99861</v>
      </c>
      <c r="H1211" s="2">
        <f>IFERROR(__xludf.DUMMYFUNCTION("""COMPUTED_VALUE"""),3860.0)</f>
        <v>3860</v>
      </c>
    </row>
    <row r="1212">
      <c r="A1212" s="3">
        <f>IFERROR(__xludf.DUMMYFUNCTION("""COMPUTED_VALUE"""),43761.66666666667)</f>
        <v>43761.66667</v>
      </c>
      <c r="B1212" s="2">
        <f>IFERROR(__xludf.DUMMYFUNCTION("""COMPUTED_VALUE"""),103.43)</f>
        <v>103.43</v>
      </c>
      <c r="D1212" s="3">
        <f>IFERROR(__xludf.DUMMYFUNCTION("""COMPUTED_VALUE"""),43761.66666666667)</f>
        <v>43761.66667</v>
      </c>
      <c r="E1212" s="2">
        <f>IFERROR(__xludf.DUMMYFUNCTION("""COMPUTED_VALUE"""),48.77)</f>
        <v>48.77</v>
      </c>
      <c r="G1212" s="3">
        <f>IFERROR(__xludf.DUMMYFUNCTION("""COMPUTED_VALUE"""),43537.99861111111)</f>
        <v>43537.99861</v>
      </c>
      <c r="H1212" s="2">
        <f>IFERROR(__xludf.DUMMYFUNCTION("""COMPUTED_VALUE"""),3851.02)</f>
        <v>3851.02</v>
      </c>
    </row>
    <row r="1213">
      <c r="A1213" s="3">
        <f>IFERROR(__xludf.DUMMYFUNCTION("""COMPUTED_VALUE"""),43762.66666666667)</f>
        <v>43762.66667</v>
      </c>
      <c r="B1213" s="2">
        <f>IFERROR(__xludf.DUMMYFUNCTION("""COMPUTED_VALUE"""),100.73)</f>
        <v>100.73</v>
      </c>
      <c r="D1213" s="3">
        <f>IFERROR(__xludf.DUMMYFUNCTION("""COMPUTED_VALUE"""),43762.66666666667)</f>
        <v>43762.66667</v>
      </c>
      <c r="E1213" s="2">
        <f>IFERROR(__xludf.DUMMYFUNCTION("""COMPUTED_VALUE"""),49.22)</f>
        <v>49.22</v>
      </c>
      <c r="G1213" s="3">
        <f>IFERROR(__xludf.DUMMYFUNCTION("""COMPUTED_VALUE"""),43538.99861111111)</f>
        <v>43538.99861</v>
      </c>
      <c r="H1213" s="2">
        <f>IFERROR(__xludf.DUMMYFUNCTION("""COMPUTED_VALUE"""),3853.95)</f>
        <v>3853.95</v>
      </c>
    </row>
    <row r="1214">
      <c r="A1214" s="3">
        <f>IFERROR(__xludf.DUMMYFUNCTION("""COMPUTED_VALUE"""),43763.66666666667)</f>
        <v>43763.66667</v>
      </c>
      <c r="B1214" s="2">
        <f>IFERROR(__xludf.DUMMYFUNCTION("""COMPUTED_VALUE"""),101.28)</f>
        <v>101.28</v>
      </c>
      <c r="D1214" s="3">
        <f>IFERROR(__xludf.DUMMYFUNCTION("""COMPUTED_VALUE"""),43763.66666666667)</f>
        <v>43763.66667</v>
      </c>
      <c r="E1214" s="2">
        <f>IFERROR(__xludf.DUMMYFUNCTION("""COMPUTED_VALUE"""),51.14)</f>
        <v>51.14</v>
      </c>
      <c r="G1214" s="3">
        <f>IFERROR(__xludf.DUMMYFUNCTION("""COMPUTED_VALUE"""),43539.99861111111)</f>
        <v>43539.99861</v>
      </c>
      <c r="H1214" s="2">
        <f>IFERROR(__xludf.DUMMYFUNCTION("""COMPUTED_VALUE"""),3902.8)</f>
        <v>3902.8</v>
      </c>
    </row>
    <row r="1215">
      <c r="A1215" s="3">
        <f>IFERROR(__xludf.DUMMYFUNCTION("""COMPUTED_VALUE"""),43766.66666666667)</f>
        <v>43766.66667</v>
      </c>
      <c r="B1215" s="2">
        <f>IFERROR(__xludf.DUMMYFUNCTION("""COMPUTED_VALUE"""),102.43)</f>
        <v>102.43</v>
      </c>
      <c r="D1215" s="3">
        <f>IFERROR(__xludf.DUMMYFUNCTION("""COMPUTED_VALUE"""),43766.66666666667)</f>
        <v>43766.66667</v>
      </c>
      <c r="E1215" s="2">
        <f>IFERROR(__xludf.DUMMYFUNCTION("""COMPUTED_VALUE"""),51.7)</f>
        <v>51.7</v>
      </c>
      <c r="G1215" s="3">
        <f>IFERROR(__xludf.DUMMYFUNCTION("""COMPUTED_VALUE"""),43540.99861111111)</f>
        <v>43540.99861</v>
      </c>
      <c r="H1215" s="2">
        <f>IFERROR(__xludf.DUMMYFUNCTION("""COMPUTED_VALUE"""),3990.0)</f>
        <v>3990</v>
      </c>
    </row>
    <row r="1216">
      <c r="A1216" s="3">
        <f>IFERROR(__xludf.DUMMYFUNCTION("""COMPUTED_VALUE"""),43767.66666666667)</f>
        <v>43767.66667</v>
      </c>
      <c r="B1216" s="2">
        <f>IFERROR(__xludf.DUMMYFUNCTION("""COMPUTED_VALUE"""),104.39)</f>
        <v>104.39</v>
      </c>
      <c r="D1216" s="3">
        <f>IFERROR(__xludf.DUMMYFUNCTION("""COMPUTED_VALUE"""),43767.66666666667)</f>
        <v>43767.66667</v>
      </c>
      <c r="E1216" s="2">
        <f>IFERROR(__xludf.DUMMYFUNCTION("""COMPUTED_VALUE"""),50.73)</f>
        <v>50.73</v>
      </c>
      <c r="G1216" s="3">
        <f>IFERROR(__xludf.DUMMYFUNCTION("""COMPUTED_VALUE"""),43541.99861111111)</f>
        <v>43541.99861</v>
      </c>
      <c r="H1216" s="2">
        <f>IFERROR(__xludf.DUMMYFUNCTION("""COMPUTED_VALUE"""),3967.01)</f>
        <v>3967.01</v>
      </c>
    </row>
    <row r="1217">
      <c r="A1217" s="3">
        <f>IFERROR(__xludf.DUMMYFUNCTION("""COMPUTED_VALUE"""),43768.66666666667)</f>
        <v>43768.66667</v>
      </c>
      <c r="B1217" s="2">
        <f>IFERROR(__xludf.DUMMYFUNCTION("""COMPUTED_VALUE"""),103.28)</f>
        <v>103.28</v>
      </c>
      <c r="D1217" s="3">
        <f>IFERROR(__xludf.DUMMYFUNCTION("""COMPUTED_VALUE"""),43768.66666666667)</f>
        <v>43768.66667</v>
      </c>
      <c r="E1217" s="2">
        <f>IFERROR(__xludf.DUMMYFUNCTION("""COMPUTED_VALUE"""),50.75)</f>
        <v>50.75</v>
      </c>
      <c r="G1217" s="3">
        <f>IFERROR(__xludf.DUMMYFUNCTION("""COMPUTED_VALUE"""),43542.99861111111)</f>
        <v>43542.99861</v>
      </c>
      <c r="H1217" s="2">
        <f>IFERROR(__xludf.DUMMYFUNCTION("""COMPUTED_VALUE"""),3970.5)</f>
        <v>3970.5</v>
      </c>
    </row>
    <row r="1218">
      <c r="A1218" s="3">
        <f>IFERROR(__xludf.DUMMYFUNCTION("""COMPUTED_VALUE"""),43769.66666666667)</f>
        <v>43769.66667</v>
      </c>
      <c r="B1218" s="2">
        <f>IFERROR(__xludf.DUMMYFUNCTION("""COMPUTED_VALUE"""),100.91)</f>
        <v>100.91</v>
      </c>
      <c r="D1218" s="3">
        <f>IFERROR(__xludf.DUMMYFUNCTION("""COMPUTED_VALUE"""),43769.66666666667)</f>
        <v>43769.66667</v>
      </c>
      <c r="E1218" s="2">
        <f>IFERROR(__xludf.DUMMYFUNCTION("""COMPUTED_VALUE"""),50.26)</f>
        <v>50.26</v>
      </c>
      <c r="G1218" s="3">
        <f>IFERROR(__xludf.DUMMYFUNCTION("""COMPUTED_VALUE"""),43543.99861111111)</f>
        <v>43543.99861</v>
      </c>
      <c r="H1218" s="2">
        <f>IFERROR(__xludf.DUMMYFUNCTION("""COMPUTED_VALUE"""),4000.85)</f>
        <v>4000.85</v>
      </c>
    </row>
    <row r="1219">
      <c r="A1219" s="3">
        <f>IFERROR(__xludf.DUMMYFUNCTION("""COMPUTED_VALUE"""),43770.66666666667)</f>
        <v>43770.66667</v>
      </c>
      <c r="B1219" s="2">
        <f>IFERROR(__xludf.DUMMYFUNCTION("""COMPUTED_VALUE"""),101.9)</f>
        <v>101.9</v>
      </c>
      <c r="D1219" s="3">
        <f>IFERROR(__xludf.DUMMYFUNCTION("""COMPUTED_VALUE"""),43770.66666666667)</f>
        <v>43770.66667</v>
      </c>
      <c r="E1219" s="2">
        <f>IFERROR(__xludf.DUMMYFUNCTION("""COMPUTED_VALUE"""),50.65)</f>
        <v>50.65</v>
      </c>
      <c r="G1219" s="3">
        <f>IFERROR(__xludf.DUMMYFUNCTION("""COMPUTED_VALUE"""),43544.99861111111)</f>
        <v>43544.99861</v>
      </c>
      <c r="H1219" s="2">
        <f>IFERROR(__xludf.DUMMYFUNCTION("""COMPUTED_VALUE"""),4033.0)</f>
        <v>4033</v>
      </c>
    </row>
    <row r="1220">
      <c r="A1220" s="3">
        <f>IFERROR(__xludf.DUMMYFUNCTION("""COMPUTED_VALUE"""),43773.66666666667)</f>
        <v>43773.66667</v>
      </c>
      <c r="B1220" s="2">
        <f>IFERROR(__xludf.DUMMYFUNCTION("""COMPUTED_VALUE"""),104.3)</f>
        <v>104.3</v>
      </c>
      <c r="D1220" s="3">
        <f>IFERROR(__xludf.DUMMYFUNCTION("""COMPUTED_VALUE"""),43773.66666666667)</f>
        <v>43773.66667</v>
      </c>
      <c r="E1220" s="2">
        <f>IFERROR(__xludf.DUMMYFUNCTION("""COMPUTED_VALUE"""),52.63)</f>
        <v>52.63</v>
      </c>
      <c r="G1220" s="3">
        <f>IFERROR(__xludf.DUMMYFUNCTION("""COMPUTED_VALUE"""),43545.99861111111)</f>
        <v>43545.99861</v>
      </c>
      <c r="H1220" s="2">
        <f>IFERROR(__xludf.DUMMYFUNCTION("""COMPUTED_VALUE"""),3972.76)</f>
        <v>3972.76</v>
      </c>
    </row>
    <row r="1221">
      <c r="A1221" s="3">
        <f>IFERROR(__xludf.DUMMYFUNCTION("""COMPUTED_VALUE"""),43774.66666666667)</f>
        <v>43774.66667</v>
      </c>
      <c r="B1221" s="2">
        <f>IFERROR(__xludf.DUMMYFUNCTION("""COMPUTED_VALUE"""),104.12)</f>
        <v>104.12</v>
      </c>
      <c r="D1221" s="3">
        <f>IFERROR(__xludf.DUMMYFUNCTION("""COMPUTED_VALUE"""),43774.66666666667)</f>
        <v>43774.66667</v>
      </c>
      <c r="E1221" s="2">
        <f>IFERROR(__xludf.DUMMYFUNCTION("""COMPUTED_VALUE"""),52.4)</f>
        <v>52.4</v>
      </c>
      <c r="G1221" s="3">
        <f>IFERROR(__xludf.DUMMYFUNCTION("""COMPUTED_VALUE"""),43546.99861111111)</f>
        <v>43546.99861</v>
      </c>
      <c r="H1221" s="2">
        <f>IFERROR(__xludf.DUMMYFUNCTION("""COMPUTED_VALUE"""),3983.78)</f>
        <v>3983.78</v>
      </c>
    </row>
    <row r="1222">
      <c r="A1222" s="3">
        <f>IFERROR(__xludf.DUMMYFUNCTION("""COMPUTED_VALUE"""),43775.66666666667)</f>
        <v>43775.66667</v>
      </c>
      <c r="B1222" s="2">
        <f>IFERROR(__xludf.DUMMYFUNCTION("""COMPUTED_VALUE"""),103.38)</f>
        <v>103.38</v>
      </c>
      <c r="D1222" s="3">
        <f>IFERROR(__xludf.DUMMYFUNCTION("""COMPUTED_VALUE"""),43775.66666666667)</f>
        <v>43775.66667</v>
      </c>
      <c r="E1222" s="2">
        <f>IFERROR(__xludf.DUMMYFUNCTION("""COMPUTED_VALUE"""),51.91)</f>
        <v>51.91</v>
      </c>
      <c r="G1222" s="3">
        <f>IFERROR(__xludf.DUMMYFUNCTION("""COMPUTED_VALUE"""),43547.99861111111)</f>
        <v>43547.99861</v>
      </c>
      <c r="H1222" s="2">
        <f>IFERROR(__xludf.DUMMYFUNCTION("""COMPUTED_VALUE"""),3983.43)</f>
        <v>3983.43</v>
      </c>
    </row>
    <row r="1223">
      <c r="A1223" s="3">
        <f>IFERROR(__xludf.DUMMYFUNCTION("""COMPUTED_VALUE"""),43776.66666666667)</f>
        <v>43776.66667</v>
      </c>
      <c r="B1223" s="2">
        <f>IFERROR(__xludf.DUMMYFUNCTION("""COMPUTED_VALUE"""),103.72)</f>
        <v>103.72</v>
      </c>
      <c r="D1223" s="3">
        <f>IFERROR(__xludf.DUMMYFUNCTION("""COMPUTED_VALUE"""),43776.66666666667)</f>
        <v>43776.66667</v>
      </c>
      <c r="E1223" s="2">
        <f>IFERROR(__xludf.DUMMYFUNCTION("""COMPUTED_VALUE"""),52.09)</f>
        <v>52.09</v>
      </c>
      <c r="G1223" s="3">
        <f>IFERROR(__xludf.DUMMYFUNCTION("""COMPUTED_VALUE"""),43548.99861111111)</f>
        <v>43548.99861</v>
      </c>
      <c r="H1223" s="2">
        <f>IFERROR(__xludf.DUMMYFUNCTION("""COMPUTED_VALUE"""),3969.52)</f>
        <v>3969.52</v>
      </c>
    </row>
    <row r="1224">
      <c r="A1224" s="3">
        <f>IFERROR(__xludf.DUMMYFUNCTION("""COMPUTED_VALUE"""),43777.66666666667)</f>
        <v>43777.66667</v>
      </c>
      <c r="B1224" s="2">
        <f>IFERROR(__xludf.DUMMYFUNCTION("""COMPUTED_VALUE"""),105.25)</f>
        <v>105.25</v>
      </c>
      <c r="D1224" s="3">
        <f>IFERROR(__xludf.DUMMYFUNCTION("""COMPUTED_VALUE"""),43777.66666666667)</f>
        <v>43777.66667</v>
      </c>
      <c r="E1224" s="2">
        <f>IFERROR(__xludf.DUMMYFUNCTION("""COMPUTED_VALUE"""),51.95)</f>
        <v>51.95</v>
      </c>
      <c r="G1224" s="3">
        <f>IFERROR(__xludf.DUMMYFUNCTION("""COMPUTED_VALUE"""),43549.99861111111)</f>
        <v>43549.99861</v>
      </c>
      <c r="H1224" s="2">
        <f>IFERROR(__xludf.DUMMYFUNCTION("""COMPUTED_VALUE"""),3908.01)</f>
        <v>3908.01</v>
      </c>
    </row>
    <row r="1225">
      <c r="A1225" s="3">
        <f>IFERROR(__xludf.DUMMYFUNCTION("""COMPUTED_VALUE"""),43780.66666666667)</f>
        <v>43780.66667</v>
      </c>
      <c r="B1225" s="2">
        <f>IFERROR(__xludf.DUMMYFUNCTION("""COMPUTED_VALUE"""),105.62)</f>
        <v>105.62</v>
      </c>
      <c r="D1225" s="3">
        <f>IFERROR(__xludf.DUMMYFUNCTION("""COMPUTED_VALUE"""),43780.66666666667)</f>
        <v>43780.66667</v>
      </c>
      <c r="E1225" s="2">
        <f>IFERROR(__xludf.DUMMYFUNCTION("""COMPUTED_VALUE"""),52.05)</f>
        <v>52.05</v>
      </c>
      <c r="G1225" s="3">
        <f>IFERROR(__xludf.DUMMYFUNCTION("""COMPUTED_VALUE"""),43550.99861111111)</f>
        <v>43550.99861</v>
      </c>
      <c r="H1225" s="2">
        <f>IFERROR(__xludf.DUMMYFUNCTION("""COMPUTED_VALUE"""),3922.42)</f>
        <v>3922.42</v>
      </c>
    </row>
    <row r="1226">
      <c r="A1226" s="3">
        <f>IFERROR(__xludf.DUMMYFUNCTION("""COMPUTED_VALUE"""),43781.66666666667)</f>
        <v>43781.66667</v>
      </c>
      <c r="B1226" s="2">
        <f>IFERROR(__xludf.DUMMYFUNCTION("""COMPUTED_VALUE"""),107.06)</f>
        <v>107.06</v>
      </c>
      <c r="D1226" s="3">
        <f>IFERROR(__xludf.DUMMYFUNCTION("""COMPUTED_VALUE"""),43781.66666666667)</f>
        <v>43781.66667</v>
      </c>
      <c r="E1226" s="2">
        <f>IFERROR(__xludf.DUMMYFUNCTION("""COMPUTED_VALUE"""),52.4)</f>
        <v>52.4</v>
      </c>
      <c r="G1226" s="3">
        <f>IFERROR(__xludf.DUMMYFUNCTION("""COMPUTED_VALUE"""),43551.99861111111)</f>
        <v>43551.99861</v>
      </c>
      <c r="H1226" s="2">
        <f>IFERROR(__xludf.DUMMYFUNCTION("""COMPUTED_VALUE"""),4026.53)</f>
        <v>4026.53</v>
      </c>
    </row>
    <row r="1227">
      <c r="A1227" s="3">
        <f>IFERROR(__xludf.DUMMYFUNCTION("""COMPUTED_VALUE"""),43782.66666666667)</f>
        <v>43782.66667</v>
      </c>
      <c r="B1227" s="2">
        <f>IFERROR(__xludf.DUMMYFUNCTION("""COMPUTED_VALUE"""),106.65)</f>
        <v>106.65</v>
      </c>
      <c r="D1227" s="3">
        <f>IFERROR(__xludf.DUMMYFUNCTION("""COMPUTED_VALUE"""),43782.66666666667)</f>
        <v>43782.66667</v>
      </c>
      <c r="E1227" s="2">
        <f>IFERROR(__xludf.DUMMYFUNCTION("""COMPUTED_VALUE"""),52.14)</f>
        <v>52.14</v>
      </c>
      <c r="G1227" s="3">
        <f>IFERROR(__xludf.DUMMYFUNCTION("""COMPUTED_VALUE"""),43552.99861111111)</f>
        <v>43552.99861</v>
      </c>
      <c r="H1227" s="2">
        <f>IFERROR(__xludf.DUMMYFUNCTION("""COMPUTED_VALUE"""),4011.17)</f>
        <v>4011.17</v>
      </c>
    </row>
    <row r="1228">
      <c r="A1228" s="3">
        <f>IFERROR(__xludf.DUMMYFUNCTION("""COMPUTED_VALUE"""),43783.66666666667)</f>
        <v>43783.66667</v>
      </c>
      <c r="B1228" s="2">
        <f>IFERROR(__xludf.DUMMYFUNCTION("""COMPUTED_VALUE"""),106.83)</f>
        <v>106.83</v>
      </c>
      <c r="D1228" s="3">
        <f>IFERROR(__xludf.DUMMYFUNCTION("""COMPUTED_VALUE"""),43783.66666666667)</f>
        <v>43783.66667</v>
      </c>
      <c r="E1228" s="2">
        <f>IFERROR(__xludf.DUMMYFUNCTION("""COMPUTED_VALUE"""),52.45)</f>
        <v>52.45</v>
      </c>
      <c r="G1228" s="3">
        <f>IFERROR(__xludf.DUMMYFUNCTION("""COMPUTED_VALUE"""),43553.99861111111)</f>
        <v>43553.99861</v>
      </c>
      <c r="H1228" s="2">
        <f>IFERROR(__xludf.DUMMYFUNCTION("""COMPUTED_VALUE"""),4091.01)</f>
        <v>4091.01</v>
      </c>
    </row>
    <row r="1229">
      <c r="A1229" s="3">
        <f>IFERROR(__xludf.DUMMYFUNCTION("""COMPUTED_VALUE"""),43784.66666666667)</f>
        <v>43784.66667</v>
      </c>
      <c r="B1229" s="2">
        <f>IFERROR(__xludf.DUMMYFUNCTION("""COMPUTED_VALUE"""),109.08)</f>
        <v>109.08</v>
      </c>
      <c r="D1229" s="3">
        <f>IFERROR(__xludf.DUMMYFUNCTION("""COMPUTED_VALUE"""),43784.66666666667)</f>
        <v>43784.66667</v>
      </c>
      <c r="E1229" s="2">
        <f>IFERROR(__xludf.DUMMYFUNCTION("""COMPUTED_VALUE"""),51.05)</f>
        <v>51.05</v>
      </c>
      <c r="G1229" s="3">
        <f>IFERROR(__xludf.DUMMYFUNCTION("""COMPUTED_VALUE"""),43554.99861111111)</f>
        <v>43554.99861</v>
      </c>
      <c r="H1229" s="2">
        <f>IFERROR(__xludf.DUMMYFUNCTION("""COMPUTED_VALUE"""),4094.14)</f>
        <v>4094.14</v>
      </c>
    </row>
    <row r="1230">
      <c r="A1230" s="3">
        <f>IFERROR(__xludf.DUMMYFUNCTION("""COMPUTED_VALUE"""),43787.66666666667)</f>
        <v>43787.66667</v>
      </c>
      <c r="B1230" s="2">
        <f>IFERROR(__xludf.DUMMYFUNCTION("""COMPUTED_VALUE"""),107.37)</f>
        <v>107.37</v>
      </c>
      <c r="D1230" s="3">
        <f>IFERROR(__xludf.DUMMYFUNCTION("""COMPUTED_VALUE"""),43787.66666666667)</f>
        <v>43787.66667</v>
      </c>
      <c r="E1230" s="2">
        <f>IFERROR(__xludf.DUMMYFUNCTION("""COMPUTED_VALUE"""),53.07)</f>
        <v>53.07</v>
      </c>
      <c r="G1230" s="3">
        <f>IFERROR(__xludf.DUMMYFUNCTION("""COMPUTED_VALUE"""),43555.99861111111)</f>
        <v>43555.99861</v>
      </c>
      <c r="H1230" s="2">
        <f>IFERROR(__xludf.DUMMYFUNCTION("""COMPUTED_VALUE"""),4095.0)</f>
        <v>4095</v>
      </c>
    </row>
    <row r="1231">
      <c r="A1231" s="3">
        <f>IFERROR(__xludf.DUMMYFUNCTION("""COMPUTED_VALUE"""),43788.66666666667)</f>
        <v>43788.66667</v>
      </c>
      <c r="B1231" s="2">
        <f>IFERROR(__xludf.DUMMYFUNCTION("""COMPUTED_VALUE"""),108.13)</f>
        <v>108.13</v>
      </c>
      <c r="D1231" s="3">
        <f>IFERROR(__xludf.DUMMYFUNCTION("""COMPUTED_VALUE"""),43788.66666666667)</f>
        <v>43788.66667</v>
      </c>
      <c r="E1231" s="2">
        <f>IFERROR(__xludf.DUMMYFUNCTION("""COMPUTED_VALUE"""),52.0)</f>
        <v>52</v>
      </c>
      <c r="G1231" s="3">
        <f>IFERROR(__xludf.DUMMYFUNCTION("""COMPUTED_VALUE"""),43556.99861111111)</f>
        <v>43556.99861</v>
      </c>
      <c r="H1231" s="2">
        <f>IFERROR(__xludf.DUMMYFUNCTION("""COMPUTED_VALUE"""),4137.01)</f>
        <v>4137.01</v>
      </c>
    </row>
    <row r="1232">
      <c r="A1232" s="3">
        <f>IFERROR(__xludf.DUMMYFUNCTION("""COMPUTED_VALUE"""),43789.66666666667)</f>
        <v>43789.66667</v>
      </c>
      <c r="B1232" s="2">
        <f>IFERROR(__xludf.DUMMYFUNCTION("""COMPUTED_VALUE"""),107.51)</f>
        <v>107.51</v>
      </c>
      <c r="D1232" s="3">
        <f>IFERROR(__xludf.DUMMYFUNCTION("""COMPUTED_VALUE"""),43789.66666666667)</f>
        <v>43789.66667</v>
      </c>
      <c r="E1232" s="2">
        <f>IFERROR(__xludf.DUMMYFUNCTION("""COMPUTED_VALUE"""),52.8)</f>
        <v>52.8</v>
      </c>
      <c r="G1232" s="3">
        <f>IFERROR(__xludf.DUMMYFUNCTION("""COMPUTED_VALUE"""),43557.99861111111)</f>
        <v>43557.99861</v>
      </c>
      <c r="H1232" s="2">
        <f>IFERROR(__xludf.DUMMYFUNCTION("""COMPUTED_VALUE"""),4901.93)</f>
        <v>4901.93</v>
      </c>
    </row>
    <row r="1233">
      <c r="A1233" s="3">
        <f>IFERROR(__xludf.DUMMYFUNCTION("""COMPUTED_VALUE"""),43790.66666666667)</f>
        <v>43790.66667</v>
      </c>
      <c r="B1233" s="2">
        <f>IFERROR(__xludf.DUMMYFUNCTION("""COMPUTED_VALUE"""),105.75)</f>
        <v>105.75</v>
      </c>
      <c r="D1233" s="3">
        <f>IFERROR(__xludf.DUMMYFUNCTION("""COMPUTED_VALUE"""),43790.66666666667)</f>
        <v>43790.66667</v>
      </c>
      <c r="E1233" s="2">
        <f>IFERROR(__xludf.DUMMYFUNCTION("""COMPUTED_VALUE"""),52.55)</f>
        <v>52.55</v>
      </c>
      <c r="G1233" s="3">
        <f>IFERROR(__xludf.DUMMYFUNCTION("""COMPUTED_VALUE"""),43558.99861111111)</f>
        <v>43558.99861</v>
      </c>
      <c r="H1233" s="2">
        <f>IFERROR(__xludf.DUMMYFUNCTION("""COMPUTED_VALUE"""),4975.07)</f>
        <v>4975.07</v>
      </c>
    </row>
    <row r="1234">
      <c r="A1234" s="3">
        <f>IFERROR(__xludf.DUMMYFUNCTION("""COMPUTED_VALUE"""),43791.66666666667)</f>
        <v>43791.66667</v>
      </c>
      <c r="B1234" s="2">
        <f>IFERROR(__xludf.DUMMYFUNCTION("""COMPUTED_VALUE"""),103.66)</f>
        <v>103.66</v>
      </c>
      <c r="D1234" s="3">
        <f>IFERROR(__xludf.DUMMYFUNCTION("""COMPUTED_VALUE"""),43791.66666666667)</f>
        <v>43791.66667</v>
      </c>
      <c r="E1234" s="2">
        <f>IFERROR(__xludf.DUMMYFUNCTION("""COMPUTED_VALUE"""),52.72)</f>
        <v>52.72</v>
      </c>
      <c r="G1234" s="3">
        <f>IFERROR(__xludf.DUMMYFUNCTION("""COMPUTED_VALUE"""),43559.99861111111)</f>
        <v>43559.99861</v>
      </c>
      <c r="H1234" s="2">
        <f>IFERROR(__xludf.DUMMYFUNCTION("""COMPUTED_VALUE"""),4906.49)</f>
        <v>4906.49</v>
      </c>
    </row>
    <row r="1235">
      <c r="A1235" s="3">
        <f>IFERROR(__xludf.DUMMYFUNCTION("""COMPUTED_VALUE"""),43794.66666666667)</f>
        <v>43794.66667</v>
      </c>
      <c r="B1235" s="2">
        <f>IFERROR(__xludf.DUMMYFUNCTION("""COMPUTED_VALUE"""),106.3)</f>
        <v>106.3</v>
      </c>
      <c r="D1235" s="3">
        <f>IFERROR(__xludf.DUMMYFUNCTION("""COMPUTED_VALUE"""),43794.66666666667)</f>
        <v>43794.66667</v>
      </c>
      <c r="E1235" s="2">
        <f>IFERROR(__xludf.DUMMYFUNCTION("""COMPUTED_VALUE"""),55.3)</f>
        <v>55.3</v>
      </c>
      <c r="G1235" s="3">
        <f>IFERROR(__xludf.DUMMYFUNCTION("""COMPUTED_VALUE"""),43560.99861111111)</f>
        <v>43560.99861</v>
      </c>
      <c r="H1235" s="2">
        <f>IFERROR(__xludf.DUMMYFUNCTION("""COMPUTED_VALUE"""),5040.66)</f>
        <v>5040.66</v>
      </c>
    </row>
    <row r="1236">
      <c r="A1236" s="3">
        <f>IFERROR(__xludf.DUMMYFUNCTION("""COMPUTED_VALUE"""),43795.66666666667)</f>
        <v>43795.66667</v>
      </c>
      <c r="B1236" s="2">
        <f>IFERROR(__xludf.DUMMYFUNCTION("""COMPUTED_VALUE"""),105.73)</f>
        <v>105.73</v>
      </c>
      <c r="D1236" s="3">
        <f>IFERROR(__xludf.DUMMYFUNCTION("""COMPUTED_VALUE"""),43795.66666666667)</f>
        <v>43795.66667</v>
      </c>
      <c r="E1236" s="2">
        <f>IFERROR(__xludf.DUMMYFUNCTION("""COMPUTED_VALUE"""),54.25)</f>
        <v>54.25</v>
      </c>
      <c r="G1236" s="3">
        <f>IFERROR(__xludf.DUMMYFUNCTION("""COMPUTED_VALUE"""),43561.99861111111)</f>
        <v>43561.99861</v>
      </c>
      <c r="H1236" s="2">
        <f>IFERROR(__xludf.DUMMYFUNCTION("""COMPUTED_VALUE"""),5049.22)</f>
        <v>5049.22</v>
      </c>
    </row>
    <row r="1237">
      <c r="A1237" s="3">
        <f>IFERROR(__xludf.DUMMYFUNCTION("""COMPUTED_VALUE"""),43796.66666666667)</f>
        <v>43796.66667</v>
      </c>
      <c r="B1237" s="2">
        <f>IFERROR(__xludf.DUMMYFUNCTION("""COMPUTED_VALUE"""),108.04)</f>
        <v>108.04</v>
      </c>
      <c r="D1237" s="3">
        <f>IFERROR(__xludf.DUMMYFUNCTION("""COMPUTED_VALUE"""),43796.66666666667)</f>
        <v>43796.66667</v>
      </c>
      <c r="E1237" s="2">
        <f>IFERROR(__xludf.DUMMYFUNCTION("""COMPUTED_VALUE"""),54.56)</f>
        <v>54.56</v>
      </c>
      <c r="G1237" s="3">
        <f>IFERROR(__xludf.DUMMYFUNCTION("""COMPUTED_VALUE"""),43562.99861111111)</f>
        <v>43562.99861</v>
      </c>
      <c r="H1237" s="2">
        <f>IFERROR(__xludf.DUMMYFUNCTION("""COMPUTED_VALUE"""),5190.2)</f>
        <v>5190.2</v>
      </c>
    </row>
    <row r="1238">
      <c r="A1238" s="3">
        <f>IFERROR(__xludf.DUMMYFUNCTION("""COMPUTED_VALUE"""),43798.54166666667)</f>
        <v>43798.54167</v>
      </c>
      <c r="B1238" s="2">
        <f>IFERROR(__xludf.DUMMYFUNCTION("""COMPUTED_VALUE"""),107.03)</f>
        <v>107.03</v>
      </c>
      <c r="D1238" s="3">
        <f>IFERROR(__xludf.DUMMYFUNCTION("""COMPUTED_VALUE"""),43798.54166666667)</f>
        <v>43798.54167</v>
      </c>
      <c r="E1238" s="2">
        <f>IFERROR(__xludf.DUMMYFUNCTION("""COMPUTED_VALUE"""),54.19)</f>
        <v>54.19</v>
      </c>
      <c r="G1238" s="3">
        <f>IFERROR(__xludf.DUMMYFUNCTION("""COMPUTED_VALUE"""),43563.99861111111)</f>
        <v>43563.99861</v>
      </c>
      <c r="H1238" s="2">
        <f>IFERROR(__xludf.DUMMYFUNCTION("""COMPUTED_VALUE"""),5285.54)</f>
        <v>5285.54</v>
      </c>
    </row>
    <row r="1239">
      <c r="A1239" s="3">
        <f>IFERROR(__xludf.DUMMYFUNCTION("""COMPUTED_VALUE"""),43801.66666666667)</f>
        <v>43801.66667</v>
      </c>
      <c r="B1239" s="2">
        <f>IFERROR(__xludf.DUMMYFUNCTION("""COMPUTED_VALUE"""),103.29)</f>
        <v>103.29</v>
      </c>
      <c r="D1239" s="3">
        <f>IFERROR(__xludf.DUMMYFUNCTION("""COMPUTED_VALUE"""),43801.66666666667)</f>
        <v>43801.66667</v>
      </c>
      <c r="E1239" s="2">
        <f>IFERROR(__xludf.DUMMYFUNCTION("""COMPUTED_VALUE"""),52.31)</f>
        <v>52.31</v>
      </c>
      <c r="G1239" s="3">
        <f>IFERROR(__xludf.DUMMYFUNCTION("""COMPUTED_VALUE"""),43564.99861111111)</f>
        <v>43564.99861</v>
      </c>
      <c r="H1239" s="2">
        <f>IFERROR(__xludf.DUMMYFUNCTION("""COMPUTED_VALUE"""),5193.49)</f>
        <v>5193.49</v>
      </c>
    </row>
    <row r="1240">
      <c r="A1240" s="3">
        <f>IFERROR(__xludf.DUMMYFUNCTION("""COMPUTED_VALUE"""),43802.66666666667)</f>
        <v>43802.66667</v>
      </c>
      <c r="B1240" s="2">
        <f>IFERROR(__xludf.DUMMYFUNCTION("""COMPUTED_VALUE"""),101.74)</f>
        <v>101.74</v>
      </c>
      <c r="D1240" s="3">
        <f>IFERROR(__xludf.DUMMYFUNCTION("""COMPUTED_VALUE"""),43802.66666666667)</f>
        <v>43802.66667</v>
      </c>
      <c r="E1240" s="2">
        <f>IFERROR(__xludf.DUMMYFUNCTION("""COMPUTED_VALUE"""),51.92)</f>
        <v>51.92</v>
      </c>
      <c r="G1240" s="3">
        <f>IFERROR(__xludf.DUMMYFUNCTION("""COMPUTED_VALUE"""),43565.99861111111)</f>
        <v>43565.99861</v>
      </c>
      <c r="H1240" s="2">
        <f>IFERROR(__xludf.DUMMYFUNCTION("""COMPUTED_VALUE"""),5320.81)</f>
        <v>5320.81</v>
      </c>
    </row>
    <row r="1241">
      <c r="A1241" s="3">
        <f>IFERROR(__xludf.DUMMYFUNCTION("""COMPUTED_VALUE"""),43803.66666666667)</f>
        <v>43803.66667</v>
      </c>
      <c r="B1241" s="2">
        <f>IFERROR(__xludf.DUMMYFUNCTION("""COMPUTED_VALUE"""),103.16)</f>
        <v>103.16</v>
      </c>
      <c r="D1241" s="3">
        <f>IFERROR(__xludf.DUMMYFUNCTION("""COMPUTED_VALUE"""),43803.66666666667)</f>
        <v>43803.66667</v>
      </c>
      <c r="E1241" s="2">
        <f>IFERROR(__xludf.DUMMYFUNCTION("""COMPUTED_VALUE"""),52.36)</f>
        <v>52.36</v>
      </c>
      <c r="G1241" s="3">
        <f>IFERROR(__xludf.DUMMYFUNCTION("""COMPUTED_VALUE"""),43566.99861111111)</f>
        <v>43566.99861</v>
      </c>
      <c r="H1241" s="2">
        <f>IFERROR(__xludf.DUMMYFUNCTION("""COMPUTED_VALUE"""),5041.32)</f>
        <v>5041.32</v>
      </c>
    </row>
    <row r="1242">
      <c r="A1242" s="3">
        <f>IFERROR(__xludf.DUMMYFUNCTION("""COMPUTED_VALUE"""),43804.66666666667)</f>
        <v>43804.66667</v>
      </c>
      <c r="B1242" s="2">
        <f>IFERROR(__xludf.DUMMYFUNCTION("""COMPUTED_VALUE"""),100.77)</f>
        <v>100.77</v>
      </c>
      <c r="D1242" s="3">
        <f>IFERROR(__xludf.DUMMYFUNCTION("""COMPUTED_VALUE"""),43804.66666666667)</f>
        <v>43804.66667</v>
      </c>
      <c r="E1242" s="2">
        <f>IFERROR(__xludf.DUMMYFUNCTION("""COMPUTED_VALUE"""),52.19)</f>
        <v>52.19</v>
      </c>
      <c r="G1242" s="3">
        <f>IFERROR(__xludf.DUMMYFUNCTION("""COMPUTED_VALUE"""),43567.99861111111)</f>
        <v>43567.99861</v>
      </c>
      <c r="H1242" s="2">
        <f>IFERROR(__xludf.DUMMYFUNCTION("""COMPUTED_VALUE"""),5078.18)</f>
        <v>5078.18</v>
      </c>
    </row>
    <row r="1243">
      <c r="A1243" s="3">
        <f>IFERROR(__xludf.DUMMYFUNCTION("""COMPUTED_VALUE"""),43805.66666666667)</f>
        <v>43805.66667</v>
      </c>
      <c r="B1243" s="2">
        <f>IFERROR(__xludf.DUMMYFUNCTION("""COMPUTED_VALUE"""),103.2)</f>
        <v>103.2</v>
      </c>
      <c r="D1243" s="3">
        <f>IFERROR(__xludf.DUMMYFUNCTION("""COMPUTED_VALUE"""),43805.66666666667)</f>
        <v>43805.66667</v>
      </c>
      <c r="E1243" s="2">
        <f>IFERROR(__xludf.DUMMYFUNCTION("""COMPUTED_VALUE"""),53.04)</f>
        <v>53.04</v>
      </c>
      <c r="G1243" s="3">
        <f>IFERROR(__xludf.DUMMYFUNCTION("""COMPUTED_VALUE"""),43568.99861111111)</f>
        <v>43568.99861</v>
      </c>
      <c r="H1243" s="2">
        <f>IFERROR(__xludf.DUMMYFUNCTION("""COMPUTED_VALUE"""),5066.22)</f>
        <v>5066.22</v>
      </c>
    </row>
    <row r="1244">
      <c r="A1244" s="3">
        <f>IFERROR(__xludf.DUMMYFUNCTION("""COMPUTED_VALUE"""),43808.66666666667)</f>
        <v>43808.66667</v>
      </c>
      <c r="B1244" s="2">
        <f>IFERROR(__xludf.DUMMYFUNCTION("""COMPUTED_VALUE"""),101.72)</f>
        <v>101.72</v>
      </c>
      <c r="D1244" s="3">
        <f>IFERROR(__xludf.DUMMYFUNCTION("""COMPUTED_VALUE"""),43808.66666666667)</f>
        <v>43808.66667</v>
      </c>
      <c r="E1244" s="2">
        <f>IFERROR(__xludf.DUMMYFUNCTION("""COMPUTED_VALUE"""),53.04)</f>
        <v>53.04</v>
      </c>
      <c r="G1244" s="3">
        <f>IFERROR(__xludf.DUMMYFUNCTION("""COMPUTED_VALUE"""),43569.99861111111)</f>
        <v>43569.99861</v>
      </c>
      <c r="H1244" s="2">
        <f>IFERROR(__xludf.DUMMYFUNCTION("""COMPUTED_VALUE"""),5164.0)</f>
        <v>5164</v>
      </c>
    </row>
    <row r="1245">
      <c r="A1245" s="3">
        <f>IFERROR(__xludf.DUMMYFUNCTION("""COMPUTED_VALUE"""),43809.66666666667)</f>
        <v>43809.66667</v>
      </c>
      <c r="B1245" s="2">
        <f>IFERROR(__xludf.DUMMYFUNCTION("""COMPUTED_VALUE"""),101.6)</f>
        <v>101.6</v>
      </c>
      <c r="D1245" s="3">
        <f>IFERROR(__xludf.DUMMYFUNCTION("""COMPUTED_VALUE"""),43809.66666666667)</f>
        <v>43809.66667</v>
      </c>
      <c r="E1245" s="2">
        <f>IFERROR(__xludf.DUMMYFUNCTION("""COMPUTED_VALUE"""),53.5)</f>
        <v>53.5</v>
      </c>
      <c r="G1245" s="3">
        <f>IFERROR(__xludf.DUMMYFUNCTION("""COMPUTED_VALUE"""),43570.99861111111)</f>
        <v>43570.99861</v>
      </c>
      <c r="H1245" s="2">
        <f>IFERROR(__xludf.DUMMYFUNCTION("""COMPUTED_VALUE"""),5029.99)</f>
        <v>5029.99</v>
      </c>
    </row>
    <row r="1246">
      <c r="A1246" s="3">
        <f>IFERROR(__xludf.DUMMYFUNCTION("""COMPUTED_VALUE"""),43810.66666666667)</f>
        <v>43810.66667</v>
      </c>
      <c r="B1246" s="2">
        <f>IFERROR(__xludf.DUMMYFUNCTION("""COMPUTED_VALUE"""),103.24)</f>
        <v>103.24</v>
      </c>
      <c r="D1246" s="3">
        <f>IFERROR(__xludf.DUMMYFUNCTION("""COMPUTED_VALUE"""),43810.66666666667)</f>
        <v>43810.66667</v>
      </c>
      <c r="E1246" s="2">
        <f>IFERROR(__xludf.DUMMYFUNCTION("""COMPUTED_VALUE"""),54.34)</f>
        <v>54.34</v>
      </c>
      <c r="G1246" s="3">
        <f>IFERROR(__xludf.DUMMYFUNCTION("""COMPUTED_VALUE"""),43571.99861111111)</f>
        <v>43571.99861</v>
      </c>
      <c r="H1246" s="2">
        <f>IFERROR(__xludf.DUMMYFUNCTION("""COMPUTED_VALUE"""),5204.92)</f>
        <v>5204.92</v>
      </c>
    </row>
    <row r="1247">
      <c r="A1247" s="3">
        <f>IFERROR(__xludf.DUMMYFUNCTION("""COMPUTED_VALUE"""),43811.66666666667)</f>
        <v>43811.66667</v>
      </c>
      <c r="B1247" s="2">
        <f>IFERROR(__xludf.DUMMYFUNCTION("""COMPUTED_VALUE"""),107.3)</f>
        <v>107.3</v>
      </c>
      <c r="D1247" s="3">
        <f>IFERROR(__xludf.DUMMYFUNCTION("""COMPUTED_VALUE"""),43811.66666666667)</f>
        <v>43811.66667</v>
      </c>
      <c r="E1247" s="2">
        <f>IFERROR(__xludf.DUMMYFUNCTION("""COMPUTED_VALUE"""),56.02)</f>
        <v>56.02</v>
      </c>
      <c r="G1247" s="3">
        <f>IFERROR(__xludf.DUMMYFUNCTION("""COMPUTED_VALUE"""),43572.99861111111)</f>
        <v>43572.99861</v>
      </c>
      <c r="H1247" s="2">
        <f>IFERROR(__xludf.DUMMYFUNCTION("""COMPUTED_VALUE"""),5227.0)</f>
        <v>5227</v>
      </c>
    </row>
    <row r="1248">
      <c r="A1248" s="3">
        <f>IFERROR(__xludf.DUMMYFUNCTION("""COMPUTED_VALUE"""),43812.66666666667)</f>
        <v>43812.66667</v>
      </c>
      <c r="B1248" s="2">
        <f>IFERROR(__xludf.DUMMYFUNCTION("""COMPUTED_VALUE"""),107.81)</f>
        <v>107.81</v>
      </c>
      <c r="D1248" s="3">
        <f>IFERROR(__xludf.DUMMYFUNCTION("""COMPUTED_VALUE"""),43812.66666666667)</f>
        <v>43812.66667</v>
      </c>
      <c r="E1248" s="2">
        <f>IFERROR(__xludf.DUMMYFUNCTION("""COMPUTED_VALUE"""),56.0)</f>
        <v>56</v>
      </c>
      <c r="G1248" s="3">
        <f>IFERROR(__xludf.DUMMYFUNCTION("""COMPUTED_VALUE"""),43573.99861111111)</f>
        <v>43573.99861</v>
      </c>
      <c r="H1248" s="2">
        <f>IFERROR(__xludf.DUMMYFUNCTION("""COMPUTED_VALUE"""),5282.32)</f>
        <v>5282.32</v>
      </c>
    </row>
    <row r="1249">
      <c r="A1249" s="3">
        <f>IFERROR(__xludf.DUMMYFUNCTION("""COMPUTED_VALUE"""),43815.66666666667)</f>
        <v>43815.66667</v>
      </c>
      <c r="B1249" s="2">
        <f>IFERROR(__xludf.DUMMYFUNCTION("""COMPUTED_VALUE"""),105.17)</f>
        <v>105.17</v>
      </c>
      <c r="D1249" s="3">
        <f>IFERROR(__xludf.DUMMYFUNCTION("""COMPUTED_VALUE"""),43815.66666666667)</f>
        <v>43815.66667</v>
      </c>
      <c r="E1249" s="2">
        <f>IFERROR(__xludf.DUMMYFUNCTION("""COMPUTED_VALUE"""),56.29)</f>
        <v>56.29</v>
      </c>
      <c r="G1249" s="3">
        <f>IFERROR(__xludf.DUMMYFUNCTION("""COMPUTED_VALUE"""),43574.99861111111)</f>
        <v>43574.99861</v>
      </c>
      <c r="H1249" s="2">
        <f>IFERROR(__xludf.DUMMYFUNCTION("""COMPUTED_VALUE"""),5290.36)</f>
        <v>5290.36</v>
      </c>
    </row>
    <row r="1250">
      <c r="A1250" s="3">
        <f>IFERROR(__xludf.DUMMYFUNCTION("""COMPUTED_VALUE"""),43816.66666666667)</f>
        <v>43816.66667</v>
      </c>
      <c r="B1250" s="2">
        <f>IFERROR(__xludf.DUMMYFUNCTION("""COMPUTED_VALUE"""),103.94)</f>
        <v>103.94</v>
      </c>
      <c r="D1250" s="3">
        <f>IFERROR(__xludf.DUMMYFUNCTION("""COMPUTED_VALUE"""),43816.66666666667)</f>
        <v>43816.66667</v>
      </c>
      <c r="E1250" s="2">
        <f>IFERROR(__xludf.DUMMYFUNCTION("""COMPUTED_VALUE"""),57.07)</f>
        <v>57.07</v>
      </c>
      <c r="G1250" s="3">
        <f>IFERROR(__xludf.DUMMYFUNCTION("""COMPUTED_VALUE"""),43575.99861111111)</f>
        <v>43575.99861</v>
      </c>
      <c r="H1250" s="2">
        <f>IFERROR(__xludf.DUMMYFUNCTION("""COMPUTED_VALUE"""),5319.89)</f>
        <v>5319.89</v>
      </c>
    </row>
    <row r="1251">
      <c r="A1251" s="3">
        <f>IFERROR(__xludf.DUMMYFUNCTION("""COMPUTED_VALUE"""),43817.66666666667)</f>
        <v>43817.66667</v>
      </c>
      <c r="B1251" s="2">
        <f>IFERROR(__xludf.DUMMYFUNCTION("""COMPUTED_VALUE"""),103.93)</f>
        <v>103.93</v>
      </c>
      <c r="D1251" s="3">
        <f>IFERROR(__xludf.DUMMYFUNCTION("""COMPUTED_VALUE"""),43817.66666666667)</f>
        <v>43817.66667</v>
      </c>
      <c r="E1251" s="2">
        <f>IFERROR(__xludf.DUMMYFUNCTION("""COMPUTED_VALUE"""),57.38)</f>
        <v>57.38</v>
      </c>
      <c r="G1251" s="3">
        <f>IFERROR(__xludf.DUMMYFUNCTION("""COMPUTED_VALUE"""),43576.99861111111)</f>
        <v>43576.99861</v>
      </c>
      <c r="H1251" s="2">
        <f>IFERROR(__xludf.DUMMYFUNCTION("""COMPUTED_VALUE"""),5297.64)</f>
        <v>5297.64</v>
      </c>
    </row>
    <row r="1252">
      <c r="A1252" s="3">
        <f>IFERROR(__xludf.DUMMYFUNCTION("""COMPUTED_VALUE"""),43818.66666666667)</f>
        <v>43818.66667</v>
      </c>
      <c r="B1252" s="2">
        <f>IFERROR(__xludf.DUMMYFUNCTION("""COMPUTED_VALUE"""),103.86)</f>
        <v>103.86</v>
      </c>
      <c r="D1252" s="3">
        <f>IFERROR(__xludf.DUMMYFUNCTION("""COMPUTED_VALUE"""),43818.66666666667)</f>
        <v>43818.66667</v>
      </c>
      <c r="E1252" s="2">
        <f>IFERROR(__xludf.DUMMYFUNCTION("""COMPUTED_VALUE"""),58.87)</f>
        <v>58.87</v>
      </c>
      <c r="G1252" s="3">
        <f>IFERROR(__xludf.DUMMYFUNCTION("""COMPUTED_VALUE"""),43577.99861111111)</f>
        <v>43577.99861</v>
      </c>
      <c r="H1252" s="2">
        <f>IFERROR(__xludf.DUMMYFUNCTION("""COMPUTED_VALUE"""),5387.6)</f>
        <v>5387.6</v>
      </c>
    </row>
    <row r="1253">
      <c r="A1253" s="3">
        <f>IFERROR(__xludf.DUMMYFUNCTION("""COMPUTED_VALUE"""),43819.66666666667)</f>
        <v>43819.66667</v>
      </c>
      <c r="B1253" s="2">
        <f>IFERROR(__xludf.DUMMYFUNCTION("""COMPUTED_VALUE"""),103.12)</f>
        <v>103.12</v>
      </c>
      <c r="D1253" s="3">
        <f>IFERROR(__xludf.DUMMYFUNCTION("""COMPUTED_VALUE"""),43819.66666666667)</f>
        <v>43819.66667</v>
      </c>
      <c r="E1253" s="2">
        <f>IFERROR(__xludf.DUMMYFUNCTION("""COMPUTED_VALUE"""),59.84)</f>
        <v>59.84</v>
      </c>
      <c r="G1253" s="3">
        <f>IFERROR(__xludf.DUMMYFUNCTION("""COMPUTED_VALUE"""),43578.99861111111)</f>
        <v>43578.99861</v>
      </c>
      <c r="H1253" s="2">
        <f>IFERROR(__xludf.DUMMYFUNCTION("""COMPUTED_VALUE"""),5532.85)</f>
        <v>5532.85</v>
      </c>
    </row>
    <row r="1254">
      <c r="A1254" s="3">
        <f>IFERROR(__xludf.DUMMYFUNCTION("""COMPUTED_VALUE"""),43822.66666666667)</f>
        <v>43822.66667</v>
      </c>
      <c r="B1254" s="2">
        <f>IFERROR(__xludf.DUMMYFUNCTION("""COMPUTED_VALUE"""),103.96)</f>
        <v>103.96</v>
      </c>
      <c r="D1254" s="3">
        <f>IFERROR(__xludf.DUMMYFUNCTION("""COMPUTED_VALUE"""),43822.66666666667)</f>
        <v>43822.66667</v>
      </c>
      <c r="E1254" s="2">
        <f>IFERROR(__xludf.DUMMYFUNCTION("""COMPUTED_VALUE"""),59.71)</f>
        <v>59.71</v>
      </c>
      <c r="G1254" s="3">
        <f>IFERROR(__xludf.DUMMYFUNCTION("""COMPUTED_VALUE"""),43579.99861111111)</f>
        <v>43579.99861</v>
      </c>
      <c r="H1254" s="2">
        <f>IFERROR(__xludf.DUMMYFUNCTION("""COMPUTED_VALUE"""),5443.14)</f>
        <v>5443.14</v>
      </c>
    </row>
    <row r="1255">
      <c r="A1255" s="3">
        <f>IFERROR(__xludf.DUMMYFUNCTION("""COMPUTED_VALUE"""),43823.54166666667)</f>
        <v>43823.54167</v>
      </c>
      <c r="B1255" s="2">
        <f>IFERROR(__xludf.DUMMYFUNCTION("""COMPUTED_VALUE"""),103.22)</f>
        <v>103.22</v>
      </c>
      <c r="D1255" s="3">
        <f>IFERROR(__xludf.DUMMYFUNCTION("""COMPUTED_VALUE"""),43823.54166666667)</f>
        <v>43823.54167</v>
      </c>
      <c r="E1255" s="2">
        <f>IFERROR(__xludf.DUMMYFUNCTION("""COMPUTED_VALUE"""),59.66)</f>
        <v>59.66</v>
      </c>
      <c r="G1255" s="3">
        <f>IFERROR(__xludf.DUMMYFUNCTION("""COMPUTED_VALUE"""),43580.99861111111)</f>
        <v>43580.99861</v>
      </c>
      <c r="H1255" s="2">
        <f>IFERROR(__xludf.DUMMYFUNCTION("""COMPUTED_VALUE"""),5125.3)</f>
        <v>5125.3</v>
      </c>
    </row>
    <row r="1256">
      <c r="A1256" s="3">
        <f>IFERROR(__xludf.DUMMYFUNCTION("""COMPUTED_VALUE"""),43825.66666666667)</f>
        <v>43825.66667</v>
      </c>
      <c r="B1256" s="2">
        <f>IFERROR(__xludf.DUMMYFUNCTION("""COMPUTED_VALUE"""),103.65)</f>
        <v>103.65</v>
      </c>
      <c r="D1256" s="3">
        <f>IFERROR(__xludf.DUMMYFUNCTION("""COMPUTED_VALUE"""),43825.66666666667)</f>
        <v>43825.66667</v>
      </c>
      <c r="E1256" s="2">
        <f>IFERROR(__xludf.DUMMYFUNCTION("""COMPUTED_VALUE"""),59.8)</f>
        <v>59.8</v>
      </c>
      <c r="G1256" s="3">
        <f>IFERROR(__xludf.DUMMYFUNCTION("""COMPUTED_VALUE"""),43581.99861111111)</f>
        <v>43581.99861</v>
      </c>
      <c r="H1256" s="2">
        <f>IFERROR(__xludf.DUMMYFUNCTION("""COMPUTED_VALUE"""),5159.51)</f>
        <v>5159.51</v>
      </c>
    </row>
    <row r="1257">
      <c r="A1257" s="3">
        <f>IFERROR(__xludf.DUMMYFUNCTION("""COMPUTED_VALUE"""),43826.66666666667)</f>
        <v>43826.66667</v>
      </c>
      <c r="B1257" s="2">
        <f>IFERROR(__xludf.DUMMYFUNCTION("""COMPUTED_VALUE"""),103.23)</f>
        <v>103.23</v>
      </c>
      <c r="D1257" s="3">
        <f>IFERROR(__xludf.DUMMYFUNCTION("""COMPUTED_VALUE"""),43826.66666666667)</f>
        <v>43826.66667</v>
      </c>
      <c r="E1257" s="2">
        <f>IFERROR(__xludf.DUMMYFUNCTION("""COMPUTED_VALUE"""),59.22)</f>
        <v>59.22</v>
      </c>
      <c r="G1257" s="3">
        <f>IFERROR(__xludf.DUMMYFUNCTION("""COMPUTED_VALUE"""),43582.99861111111)</f>
        <v>43582.99861</v>
      </c>
      <c r="H1257" s="2">
        <f>IFERROR(__xludf.DUMMYFUNCTION("""COMPUTED_VALUE"""),5170.6)</f>
        <v>5170.6</v>
      </c>
    </row>
    <row r="1258">
      <c r="A1258" s="3">
        <f>IFERROR(__xludf.DUMMYFUNCTION("""COMPUTED_VALUE"""),43829.66666666667)</f>
        <v>43829.66667</v>
      </c>
      <c r="B1258" s="2">
        <f>IFERROR(__xludf.DUMMYFUNCTION("""COMPUTED_VALUE"""),102.18)</f>
        <v>102.18</v>
      </c>
      <c r="D1258" s="3">
        <f>IFERROR(__xludf.DUMMYFUNCTION("""COMPUTED_VALUE"""),43829.66666666667)</f>
        <v>43829.66667</v>
      </c>
      <c r="E1258" s="2">
        <f>IFERROR(__xludf.DUMMYFUNCTION("""COMPUTED_VALUE"""),58.08)</f>
        <v>58.08</v>
      </c>
      <c r="G1258" s="3">
        <f>IFERROR(__xludf.DUMMYFUNCTION("""COMPUTED_VALUE"""),43583.99861111111)</f>
        <v>43583.99861</v>
      </c>
      <c r="H1258" s="2">
        <f>IFERROR(__xludf.DUMMYFUNCTION("""COMPUTED_VALUE"""),5155.0)</f>
        <v>5155</v>
      </c>
    </row>
    <row r="1259">
      <c r="A1259" s="3">
        <f>IFERROR(__xludf.DUMMYFUNCTION("""COMPUTED_VALUE"""),43830.66666666667)</f>
        <v>43830.66667</v>
      </c>
      <c r="B1259" s="2">
        <f>IFERROR(__xludf.DUMMYFUNCTION("""COMPUTED_VALUE"""),102.63)</f>
        <v>102.63</v>
      </c>
      <c r="D1259" s="3">
        <f>IFERROR(__xludf.DUMMYFUNCTION("""COMPUTED_VALUE"""),43830.66666666667)</f>
        <v>43830.66667</v>
      </c>
      <c r="E1259" s="2">
        <f>IFERROR(__xludf.DUMMYFUNCTION("""COMPUTED_VALUE"""),58.83)</f>
        <v>58.83</v>
      </c>
      <c r="G1259" s="3">
        <f>IFERROR(__xludf.DUMMYFUNCTION("""COMPUTED_VALUE"""),43584.99861111111)</f>
        <v>43584.99861</v>
      </c>
      <c r="H1259" s="2">
        <f>IFERROR(__xludf.DUMMYFUNCTION("""COMPUTED_VALUE"""),5148.25)</f>
        <v>5148.25</v>
      </c>
    </row>
    <row r="1260">
      <c r="A1260" s="3">
        <f>IFERROR(__xludf.DUMMYFUNCTION("""COMPUTED_VALUE"""),43832.66666666667)</f>
        <v>43832.66667</v>
      </c>
      <c r="B1260" s="2">
        <f>IFERROR(__xludf.DUMMYFUNCTION("""COMPUTED_VALUE"""),104.19)</f>
        <v>104.19</v>
      </c>
      <c r="D1260" s="3">
        <f>IFERROR(__xludf.DUMMYFUNCTION("""COMPUTED_VALUE"""),43832.66666666667)</f>
        <v>43832.66667</v>
      </c>
      <c r="E1260" s="2">
        <f>IFERROR(__xludf.DUMMYFUNCTION("""COMPUTED_VALUE"""),59.98)</f>
        <v>59.98</v>
      </c>
      <c r="G1260" s="3">
        <f>IFERROR(__xludf.DUMMYFUNCTION("""COMPUTED_VALUE"""),43585.99861111111)</f>
        <v>43585.99861</v>
      </c>
      <c r="H1260" s="2">
        <f>IFERROR(__xludf.DUMMYFUNCTION("""COMPUTED_VALUE"""),5267.43)</f>
        <v>5267.43</v>
      </c>
    </row>
    <row r="1261">
      <c r="A1261" s="3">
        <f>IFERROR(__xludf.DUMMYFUNCTION("""COMPUTED_VALUE"""),43833.66666666667)</f>
        <v>43833.66667</v>
      </c>
      <c r="B1261" s="2">
        <f>IFERROR(__xludf.DUMMYFUNCTION("""COMPUTED_VALUE"""),101.88)</f>
        <v>101.88</v>
      </c>
      <c r="D1261" s="3">
        <f>IFERROR(__xludf.DUMMYFUNCTION("""COMPUTED_VALUE"""),43833.66666666667)</f>
        <v>43833.66667</v>
      </c>
      <c r="E1261" s="2">
        <f>IFERROR(__xludf.DUMMYFUNCTION("""COMPUTED_VALUE"""),59.02)</f>
        <v>59.02</v>
      </c>
      <c r="G1261" s="3">
        <f>IFERROR(__xludf.DUMMYFUNCTION("""COMPUTED_VALUE"""),43586.99861111111)</f>
        <v>43586.99861</v>
      </c>
      <c r="H1261" s="2">
        <f>IFERROR(__xludf.DUMMYFUNCTION("""COMPUTED_VALUE"""),5321.15)</f>
        <v>5321.15</v>
      </c>
    </row>
    <row r="1262">
      <c r="A1262" s="3">
        <f>IFERROR(__xludf.DUMMYFUNCTION("""COMPUTED_VALUE"""),43836.66666666667)</f>
        <v>43836.66667</v>
      </c>
      <c r="B1262" s="2">
        <f>IFERROR(__xludf.DUMMYFUNCTION("""COMPUTED_VALUE"""),100.14)</f>
        <v>100.14</v>
      </c>
      <c r="D1262" s="3">
        <f>IFERROR(__xludf.DUMMYFUNCTION("""COMPUTED_VALUE"""),43836.66666666667)</f>
        <v>43836.66667</v>
      </c>
      <c r="E1262" s="2">
        <f>IFERROR(__xludf.DUMMYFUNCTION("""COMPUTED_VALUE"""),59.27)</f>
        <v>59.27</v>
      </c>
      <c r="G1262" s="3">
        <f>IFERROR(__xludf.DUMMYFUNCTION("""COMPUTED_VALUE"""),43587.99861111111)</f>
        <v>43587.99861</v>
      </c>
      <c r="H1262" s="2">
        <f>IFERROR(__xludf.DUMMYFUNCTION("""COMPUTED_VALUE"""),5390.01)</f>
        <v>5390.01</v>
      </c>
    </row>
    <row r="1263">
      <c r="A1263" s="3">
        <f>IFERROR(__xludf.DUMMYFUNCTION("""COMPUTED_VALUE"""),43837.66666666667)</f>
        <v>43837.66667</v>
      </c>
      <c r="B1263" s="2">
        <f>IFERROR(__xludf.DUMMYFUNCTION("""COMPUTED_VALUE"""),100.78)</f>
        <v>100.78</v>
      </c>
      <c r="D1263" s="3">
        <f>IFERROR(__xludf.DUMMYFUNCTION("""COMPUTED_VALUE"""),43837.66666666667)</f>
        <v>43837.66667</v>
      </c>
      <c r="E1263" s="2">
        <f>IFERROR(__xludf.DUMMYFUNCTION("""COMPUTED_VALUE"""),59.98)</f>
        <v>59.98</v>
      </c>
      <c r="G1263" s="3">
        <f>IFERROR(__xludf.DUMMYFUNCTION("""COMPUTED_VALUE"""),43588.99861111111)</f>
        <v>43588.99861</v>
      </c>
      <c r="H1263" s="2">
        <f>IFERROR(__xludf.DUMMYFUNCTION("""COMPUTED_VALUE"""),5657.4)</f>
        <v>5657.4</v>
      </c>
    </row>
    <row r="1264">
      <c r="A1264" s="3">
        <f>IFERROR(__xludf.DUMMYFUNCTION("""COMPUTED_VALUE"""),43838.66666666667)</f>
        <v>43838.66667</v>
      </c>
      <c r="B1264" s="2">
        <f>IFERROR(__xludf.DUMMYFUNCTION("""COMPUTED_VALUE"""),101.07)</f>
        <v>101.07</v>
      </c>
      <c r="D1264" s="3">
        <f>IFERROR(__xludf.DUMMYFUNCTION("""COMPUTED_VALUE"""),43838.66666666667)</f>
        <v>43838.66667</v>
      </c>
      <c r="E1264" s="2">
        <f>IFERROR(__xludf.DUMMYFUNCTION("""COMPUTED_VALUE"""),60.1)</f>
        <v>60.1</v>
      </c>
      <c r="G1264" s="3">
        <f>IFERROR(__xludf.DUMMYFUNCTION("""COMPUTED_VALUE"""),43589.99861111111)</f>
        <v>43589.99861</v>
      </c>
      <c r="H1264" s="2">
        <f>IFERROR(__xludf.DUMMYFUNCTION("""COMPUTED_VALUE"""),5770.01)</f>
        <v>5770.01</v>
      </c>
    </row>
    <row r="1265">
      <c r="A1265" s="3">
        <f>IFERROR(__xludf.DUMMYFUNCTION("""COMPUTED_VALUE"""),43839.66666666667)</f>
        <v>43839.66667</v>
      </c>
      <c r="B1265" s="2">
        <f>IFERROR(__xludf.DUMMYFUNCTION("""COMPUTED_VALUE"""),101.61)</f>
        <v>101.61</v>
      </c>
      <c r="D1265" s="3">
        <f>IFERROR(__xludf.DUMMYFUNCTION("""COMPUTED_VALUE"""),43839.66666666667)</f>
        <v>43839.66667</v>
      </c>
      <c r="E1265" s="2">
        <f>IFERROR(__xludf.DUMMYFUNCTION("""COMPUTED_VALUE"""),60.76)</f>
        <v>60.76</v>
      </c>
      <c r="G1265" s="3">
        <f>IFERROR(__xludf.DUMMYFUNCTION("""COMPUTED_VALUE"""),43590.99861111111)</f>
        <v>43590.99861</v>
      </c>
      <c r="H1265" s="2">
        <f>IFERROR(__xludf.DUMMYFUNCTION("""COMPUTED_VALUE"""),5715.86)</f>
        <v>5715.86</v>
      </c>
    </row>
    <row r="1266">
      <c r="A1266" s="3">
        <f>IFERROR(__xludf.DUMMYFUNCTION("""COMPUTED_VALUE"""),43840.66666666667)</f>
        <v>43840.66667</v>
      </c>
      <c r="B1266" s="2">
        <f>IFERROR(__xludf.DUMMYFUNCTION("""COMPUTED_VALUE"""),100.36)</f>
        <v>100.36</v>
      </c>
      <c r="D1266" s="3">
        <f>IFERROR(__xludf.DUMMYFUNCTION("""COMPUTED_VALUE"""),43840.66666666667)</f>
        <v>43840.66667</v>
      </c>
      <c r="E1266" s="2">
        <f>IFERROR(__xludf.DUMMYFUNCTION("""COMPUTED_VALUE"""),61.08)</f>
        <v>61.08</v>
      </c>
      <c r="G1266" s="3">
        <f>IFERROR(__xludf.DUMMYFUNCTION("""COMPUTED_VALUE"""),43591.99861111111)</f>
        <v>43591.99861</v>
      </c>
      <c r="H1266" s="2">
        <f>IFERROR(__xludf.DUMMYFUNCTION("""COMPUTED_VALUE"""),5687.9)</f>
        <v>5687.9</v>
      </c>
    </row>
    <row r="1267">
      <c r="A1267" s="3">
        <f>IFERROR(__xludf.DUMMYFUNCTION("""COMPUTED_VALUE"""),43843.66666666667)</f>
        <v>43843.66667</v>
      </c>
      <c r="B1267" s="2">
        <f>IFERROR(__xludf.DUMMYFUNCTION("""COMPUTED_VALUE"""),101.8)</f>
        <v>101.8</v>
      </c>
      <c r="D1267" s="3">
        <f>IFERROR(__xludf.DUMMYFUNCTION("""COMPUTED_VALUE"""),43843.66666666667)</f>
        <v>43843.66667</v>
      </c>
      <c r="E1267" s="2">
        <f>IFERROR(__xludf.DUMMYFUNCTION("""COMPUTED_VALUE"""),63.0)</f>
        <v>63</v>
      </c>
      <c r="G1267" s="3">
        <f>IFERROR(__xludf.DUMMYFUNCTION("""COMPUTED_VALUE"""),43592.99861111111)</f>
        <v>43592.99861</v>
      </c>
      <c r="H1267" s="2">
        <f>IFERROR(__xludf.DUMMYFUNCTION("""COMPUTED_VALUE"""),5743.3)</f>
        <v>5743.3</v>
      </c>
    </row>
    <row r="1268">
      <c r="A1268" s="3">
        <f>IFERROR(__xludf.DUMMYFUNCTION("""COMPUTED_VALUE"""),43844.66666666667)</f>
        <v>43844.66667</v>
      </c>
      <c r="B1268" s="2">
        <f>IFERROR(__xludf.DUMMYFUNCTION("""COMPUTED_VALUE"""),101.39)</f>
        <v>101.39</v>
      </c>
      <c r="D1268" s="3">
        <f>IFERROR(__xludf.DUMMYFUNCTION("""COMPUTED_VALUE"""),43844.66666666667)</f>
        <v>43844.66667</v>
      </c>
      <c r="E1268" s="2">
        <f>IFERROR(__xludf.DUMMYFUNCTION("""COMPUTED_VALUE"""),61.82)</f>
        <v>61.82</v>
      </c>
      <c r="G1268" s="3">
        <f>IFERROR(__xludf.DUMMYFUNCTION("""COMPUTED_VALUE"""),43593.99861111111)</f>
        <v>43593.99861</v>
      </c>
      <c r="H1268" s="2">
        <f>IFERROR(__xludf.DUMMYFUNCTION("""COMPUTED_VALUE"""),5943.6)</f>
        <v>5943.6</v>
      </c>
    </row>
    <row r="1269">
      <c r="A1269" s="3">
        <f>IFERROR(__xludf.DUMMYFUNCTION("""COMPUTED_VALUE"""),43845.66666666667)</f>
        <v>43845.66667</v>
      </c>
      <c r="B1269" s="2">
        <f>IFERROR(__xludf.DUMMYFUNCTION("""COMPUTED_VALUE"""),101.06)</f>
        <v>101.06</v>
      </c>
      <c r="D1269" s="3">
        <f>IFERROR(__xludf.DUMMYFUNCTION("""COMPUTED_VALUE"""),43845.66666666667)</f>
        <v>43845.66667</v>
      </c>
      <c r="E1269" s="2">
        <f>IFERROR(__xludf.DUMMYFUNCTION("""COMPUTED_VALUE"""),61.39)</f>
        <v>61.39</v>
      </c>
      <c r="G1269" s="3">
        <f>IFERROR(__xludf.DUMMYFUNCTION("""COMPUTED_VALUE"""),43594.99861111111)</f>
        <v>43594.99861</v>
      </c>
      <c r="H1269" s="2">
        <f>IFERROR(__xludf.DUMMYFUNCTION("""COMPUTED_VALUE"""),6153.09)</f>
        <v>6153.09</v>
      </c>
    </row>
    <row r="1270">
      <c r="A1270" s="3">
        <f>IFERROR(__xludf.DUMMYFUNCTION("""COMPUTED_VALUE"""),43846.66666666667)</f>
        <v>43846.66667</v>
      </c>
      <c r="B1270" s="2">
        <f>IFERROR(__xludf.DUMMYFUNCTION("""COMPUTED_VALUE"""),103.37)</f>
        <v>103.37</v>
      </c>
      <c r="D1270" s="3">
        <f>IFERROR(__xludf.DUMMYFUNCTION("""COMPUTED_VALUE"""),43846.66666666667)</f>
        <v>43846.66667</v>
      </c>
      <c r="E1270" s="2">
        <f>IFERROR(__xludf.DUMMYFUNCTION("""COMPUTED_VALUE"""),62.23)</f>
        <v>62.23</v>
      </c>
      <c r="G1270" s="3">
        <f>IFERROR(__xludf.DUMMYFUNCTION("""COMPUTED_VALUE"""),43595.99861111111)</f>
        <v>43595.99861</v>
      </c>
      <c r="H1270" s="2">
        <f>IFERROR(__xludf.DUMMYFUNCTION("""COMPUTED_VALUE"""),6343.14)</f>
        <v>6343.14</v>
      </c>
    </row>
    <row r="1271">
      <c r="A1271" s="3">
        <f>IFERROR(__xludf.DUMMYFUNCTION("""COMPUTED_VALUE"""),43847.66666666667)</f>
        <v>43847.66667</v>
      </c>
      <c r="B1271" s="2">
        <f>IFERROR(__xludf.DUMMYFUNCTION("""COMPUTED_VALUE"""),105.37)</f>
        <v>105.37</v>
      </c>
      <c r="D1271" s="3">
        <f>IFERROR(__xludf.DUMMYFUNCTION("""COMPUTED_VALUE"""),43847.66666666667)</f>
        <v>43847.66667</v>
      </c>
      <c r="E1271" s="2">
        <f>IFERROR(__xludf.DUMMYFUNCTION("""COMPUTED_VALUE"""),62.32)</f>
        <v>62.32</v>
      </c>
      <c r="G1271" s="3">
        <f>IFERROR(__xludf.DUMMYFUNCTION("""COMPUTED_VALUE"""),43596.99861111111)</f>
        <v>43596.99861</v>
      </c>
      <c r="H1271" s="2">
        <f>IFERROR(__xludf.DUMMYFUNCTION("""COMPUTED_VALUE"""),7223.21)</f>
        <v>7223.21</v>
      </c>
    </row>
    <row r="1272">
      <c r="A1272" s="3">
        <f>IFERROR(__xludf.DUMMYFUNCTION("""COMPUTED_VALUE"""),43851.66666666667)</f>
        <v>43851.66667</v>
      </c>
      <c r="B1272" s="2">
        <f>IFERROR(__xludf.DUMMYFUNCTION("""COMPUTED_VALUE"""),104.87)</f>
        <v>104.87</v>
      </c>
      <c r="D1272" s="3">
        <f>IFERROR(__xludf.DUMMYFUNCTION("""COMPUTED_VALUE"""),43851.66666666667)</f>
        <v>43851.66667</v>
      </c>
      <c r="E1272" s="2">
        <f>IFERROR(__xludf.DUMMYFUNCTION("""COMPUTED_VALUE"""),61.99)</f>
        <v>61.99</v>
      </c>
      <c r="G1272" s="3">
        <f>IFERROR(__xludf.DUMMYFUNCTION("""COMPUTED_VALUE"""),43597.99861111111)</f>
        <v>43597.99861</v>
      </c>
      <c r="H1272" s="2">
        <f>IFERROR(__xludf.DUMMYFUNCTION("""COMPUTED_VALUE"""),6979.76)</f>
        <v>6979.76</v>
      </c>
    </row>
    <row r="1273">
      <c r="A1273" s="3">
        <f>IFERROR(__xludf.DUMMYFUNCTION("""COMPUTED_VALUE"""),43852.66666666667)</f>
        <v>43852.66667</v>
      </c>
      <c r="B1273" s="2">
        <f>IFERROR(__xludf.DUMMYFUNCTION("""COMPUTED_VALUE"""),105.51)</f>
        <v>105.51</v>
      </c>
      <c r="D1273" s="3">
        <f>IFERROR(__xludf.DUMMYFUNCTION("""COMPUTED_VALUE"""),43852.66666666667)</f>
        <v>43852.66667</v>
      </c>
      <c r="E1273" s="2">
        <f>IFERROR(__xludf.DUMMYFUNCTION("""COMPUTED_VALUE"""),62.51)</f>
        <v>62.51</v>
      </c>
      <c r="G1273" s="3">
        <f>IFERROR(__xludf.DUMMYFUNCTION("""COMPUTED_VALUE"""),43598.99861111111)</f>
        <v>43598.99861</v>
      </c>
      <c r="H1273" s="2">
        <f>IFERROR(__xludf.DUMMYFUNCTION("""COMPUTED_VALUE"""),7825.41)</f>
        <v>7825.41</v>
      </c>
    </row>
    <row r="1274">
      <c r="A1274" s="3">
        <f>IFERROR(__xludf.DUMMYFUNCTION("""COMPUTED_VALUE"""),43853.66666666667)</f>
        <v>43853.66667</v>
      </c>
      <c r="B1274" s="2">
        <f>IFERROR(__xludf.DUMMYFUNCTION("""COMPUTED_VALUE"""),104.16)</f>
        <v>104.16</v>
      </c>
      <c r="D1274" s="3">
        <f>IFERROR(__xludf.DUMMYFUNCTION("""COMPUTED_VALUE"""),43853.66666666667)</f>
        <v>43853.66667</v>
      </c>
      <c r="E1274" s="2">
        <f>IFERROR(__xludf.DUMMYFUNCTION("""COMPUTED_VALUE"""),63.22)</f>
        <v>63.22</v>
      </c>
      <c r="G1274" s="3">
        <f>IFERROR(__xludf.DUMMYFUNCTION("""COMPUTED_VALUE"""),43599.99861111111)</f>
        <v>43599.99861</v>
      </c>
      <c r="H1274" s="2">
        <f>IFERROR(__xludf.DUMMYFUNCTION("""COMPUTED_VALUE"""),7990.92)</f>
        <v>7990.92</v>
      </c>
    </row>
    <row r="1275">
      <c r="A1275" s="3">
        <f>IFERROR(__xludf.DUMMYFUNCTION("""COMPUTED_VALUE"""),43854.66666666667)</f>
        <v>43854.66667</v>
      </c>
      <c r="B1275" s="2">
        <f>IFERROR(__xludf.DUMMYFUNCTION("""COMPUTED_VALUE"""),102.98)</f>
        <v>102.98</v>
      </c>
      <c r="D1275" s="3">
        <f>IFERROR(__xludf.DUMMYFUNCTION("""COMPUTED_VALUE"""),43854.66666666667)</f>
        <v>43854.66667</v>
      </c>
      <c r="E1275" s="2">
        <f>IFERROR(__xludf.DUMMYFUNCTION("""COMPUTED_VALUE"""),62.62)</f>
        <v>62.62</v>
      </c>
      <c r="G1275" s="3">
        <f>IFERROR(__xludf.DUMMYFUNCTION("""COMPUTED_VALUE"""),43600.99861111111)</f>
        <v>43600.99861</v>
      </c>
      <c r="H1275" s="2">
        <f>IFERROR(__xludf.DUMMYFUNCTION("""COMPUTED_VALUE"""),8204.24)</f>
        <v>8204.24</v>
      </c>
    </row>
    <row r="1276">
      <c r="A1276" s="3">
        <f>IFERROR(__xludf.DUMMYFUNCTION("""COMPUTED_VALUE"""),43857.66666666667)</f>
        <v>43857.66667</v>
      </c>
      <c r="B1276" s="2">
        <f>IFERROR(__xludf.DUMMYFUNCTION("""COMPUTED_VALUE"""),100.01)</f>
        <v>100.01</v>
      </c>
      <c r="D1276" s="3">
        <f>IFERROR(__xludf.DUMMYFUNCTION("""COMPUTED_VALUE"""),43857.66666666667)</f>
        <v>43857.66667</v>
      </c>
      <c r="E1276" s="2">
        <f>IFERROR(__xludf.DUMMYFUNCTION("""COMPUTED_VALUE"""),60.05)</f>
        <v>60.05</v>
      </c>
      <c r="G1276" s="3">
        <f>IFERROR(__xludf.DUMMYFUNCTION("""COMPUTED_VALUE"""),43601.99861111111)</f>
        <v>43601.99861</v>
      </c>
      <c r="H1276" s="2">
        <f>IFERROR(__xludf.DUMMYFUNCTION("""COMPUTED_VALUE"""),7878.96)</f>
        <v>7878.96</v>
      </c>
    </row>
    <row r="1277">
      <c r="A1277" s="3">
        <f>IFERROR(__xludf.DUMMYFUNCTION("""COMPUTED_VALUE"""),43858.66666666667)</f>
        <v>43858.66667</v>
      </c>
      <c r="B1277" s="2">
        <f>IFERROR(__xludf.DUMMYFUNCTION("""COMPUTED_VALUE"""),102.14)</f>
        <v>102.14</v>
      </c>
      <c r="D1277" s="3">
        <f>IFERROR(__xludf.DUMMYFUNCTION("""COMPUTED_VALUE"""),43858.66666666667)</f>
        <v>43858.66667</v>
      </c>
      <c r="E1277" s="2">
        <f>IFERROR(__xludf.DUMMYFUNCTION("""COMPUTED_VALUE"""),61.99)</f>
        <v>61.99</v>
      </c>
      <c r="G1277" s="3">
        <f>IFERROR(__xludf.DUMMYFUNCTION("""COMPUTED_VALUE"""),43602.99861111111)</f>
        <v>43602.99861</v>
      </c>
      <c r="H1277" s="2">
        <f>IFERROR(__xludf.DUMMYFUNCTION("""COMPUTED_VALUE"""),7361.1)</f>
        <v>7361.1</v>
      </c>
    </row>
    <row r="1278">
      <c r="A1278" s="3">
        <f>IFERROR(__xludf.DUMMYFUNCTION("""COMPUTED_VALUE"""),43859.66666666667)</f>
        <v>43859.66667</v>
      </c>
      <c r="B1278" s="2">
        <f>IFERROR(__xludf.DUMMYFUNCTION("""COMPUTED_VALUE"""),95.66)</f>
        <v>95.66</v>
      </c>
      <c r="D1278" s="3">
        <f>IFERROR(__xludf.DUMMYFUNCTION("""COMPUTED_VALUE"""),43859.66666666667)</f>
        <v>43859.66667</v>
      </c>
      <c r="E1278" s="2">
        <f>IFERROR(__xludf.DUMMYFUNCTION("""COMPUTED_VALUE"""),61.39)</f>
        <v>61.39</v>
      </c>
      <c r="G1278" s="3">
        <f>IFERROR(__xludf.DUMMYFUNCTION("""COMPUTED_VALUE"""),43603.99861111111)</f>
        <v>43603.99861</v>
      </c>
      <c r="H1278" s="2">
        <f>IFERROR(__xludf.DUMMYFUNCTION("""COMPUTED_VALUE"""),7262.4)</f>
        <v>7262.4</v>
      </c>
    </row>
    <row r="1279">
      <c r="A1279" s="3">
        <f>IFERROR(__xludf.DUMMYFUNCTION("""COMPUTED_VALUE"""),43860.66666666667)</f>
        <v>43860.66667</v>
      </c>
      <c r="B1279" s="2">
        <f>IFERROR(__xludf.DUMMYFUNCTION("""COMPUTED_VALUE"""),95.29)</f>
        <v>95.29</v>
      </c>
      <c r="D1279" s="3">
        <f>IFERROR(__xludf.DUMMYFUNCTION("""COMPUTED_VALUE"""),43860.66666666667)</f>
        <v>43860.66667</v>
      </c>
      <c r="E1279" s="2">
        <f>IFERROR(__xludf.DUMMYFUNCTION("""COMPUTED_VALUE"""),61.45)</f>
        <v>61.45</v>
      </c>
      <c r="G1279" s="3">
        <f>IFERROR(__xludf.DUMMYFUNCTION("""COMPUTED_VALUE"""),43604.99861111111)</f>
        <v>43604.99861</v>
      </c>
      <c r="H1279" s="2">
        <f>IFERROR(__xludf.DUMMYFUNCTION("""COMPUTED_VALUE"""),8196.59)</f>
        <v>8196.59</v>
      </c>
    </row>
    <row r="1280">
      <c r="A1280" s="3">
        <f>IFERROR(__xludf.DUMMYFUNCTION("""COMPUTED_VALUE"""),43861.66666666667)</f>
        <v>43861.66667</v>
      </c>
      <c r="B1280" s="2">
        <f>IFERROR(__xludf.DUMMYFUNCTION("""COMPUTED_VALUE"""),92.99)</f>
        <v>92.99</v>
      </c>
      <c r="D1280" s="3">
        <f>IFERROR(__xludf.DUMMYFUNCTION("""COMPUTED_VALUE"""),43861.66666666667)</f>
        <v>43861.66667</v>
      </c>
      <c r="E1280" s="2">
        <f>IFERROR(__xludf.DUMMYFUNCTION("""COMPUTED_VALUE"""),59.11)</f>
        <v>59.11</v>
      </c>
      <c r="G1280" s="3">
        <f>IFERROR(__xludf.DUMMYFUNCTION("""COMPUTED_VALUE"""),43605.99861111111)</f>
        <v>43605.99861</v>
      </c>
      <c r="H1280" s="2">
        <f>IFERROR(__xludf.DUMMYFUNCTION("""COMPUTED_VALUE"""),7999.54)</f>
        <v>7999.54</v>
      </c>
    </row>
    <row r="1281">
      <c r="A1281" s="3">
        <f>IFERROR(__xludf.DUMMYFUNCTION("""COMPUTED_VALUE"""),43864.66666666667)</f>
        <v>43864.66667</v>
      </c>
      <c r="B1281" s="2">
        <f>IFERROR(__xludf.DUMMYFUNCTION("""COMPUTED_VALUE"""),93.21)</f>
        <v>93.21</v>
      </c>
      <c r="D1281" s="3">
        <f>IFERROR(__xludf.DUMMYFUNCTION("""COMPUTED_VALUE"""),43864.66666666667)</f>
        <v>43864.66667</v>
      </c>
      <c r="E1281" s="2">
        <f>IFERROR(__xludf.DUMMYFUNCTION("""COMPUTED_VALUE"""),60.08)</f>
        <v>60.08</v>
      </c>
      <c r="G1281" s="3">
        <f>IFERROR(__xludf.DUMMYFUNCTION("""COMPUTED_VALUE"""),43606.99861111111)</f>
        <v>43606.99861</v>
      </c>
      <c r="H1281" s="2">
        <f>IFERROR(__xludf.DUMMYFUNCTION("""COMPUTED_VALUE"""),7951.7)</f>
        <v>7951.7</v>
      </c>
    </row>
    <row r="1282">
      <c r="A1282" s="3">
        <f>IFERROR(__xludf.DUMMYFUNCTION("""COMPUTED_VALUE"""),43865.66666666667)</f>
        <v>43865.66667</v>
      </c>
      <c r="B1282" s="2">
        <f>IFERROR(__xludf.DUMMYFUNCTION("""COMPUTED_VALUE"""),94.67)</f>
        <v>94.67</v>
      </c>
      <c r="D1282" s="3">
        <f>IFERROR(__xludf.DUMMYFUNCTION("""COMPUTED_VALUE"""),43865.66666666667)</f>
        <v>43865.66667</v>
      </c>
      <c r="E1282" s="2">
        <f>IFERROR(__xludf.DUMMYFUNCTION("""COMPUTED_VALUE"""),61.78)</f>
        <v>61.78</v>
      </c>
      <c r="G1282" s="3">
        <f>IFERROR(__xludf.DUMMYFUNCTION("""COMPUTED_VALUE"""),43607.99861111111)</f>
        <v>43607.99861</v>
      </c>
      <c r="H1282" s="2">
        <f>IFERROR(__xludf.DUMMYFUNCTION("""COMPUTED_VALUE"""),7626.48)</f>
        <v>7626.48</v>
      </c>
    </row>
    <row r="1283">
      <c r="A1283" s="3">
        <f>IFERROR(__xludf.DUMMYFUNCTION("""COMPUTED_VALUE"""),43866.66666666667)</f>
        <v>43866.66667</v>
      </c>
      <c r="B1283" s="2">
        <f>IFERROR(__xludf.DUMMYFUNCTION("""COMPUTED_VALUE"""),95.4)</f>
        <v>95.4</v>
      </c>
      <c r="D1283" s="3">
        <f>IFERROR(__xludf.DUMMYFUNCTION("""COMPUTED_VALUE"""),43866.66666666667)</f>
        <v>43866.66667</v>
      </c>
      <c r="E1283" s="2">
        <f>IFERROR(__xludf.DUMMYFUNCTION("""COMPUTED_VALUE"""),62.69)</f>
        <v>62.69</v>
      </c>
      <c r="G1283" s="3">
        <f>IFERROR(__xludf.DUMMYFUNCTION("""COMPUTED_VALUE"""),43608.99861111111)</f>
        <v>43608.99861</v>
      </c>
      <c r="H1283" s="2">
        <f>IFERROR(__xludf.DUMMYFUNCTION("""COMPUTED_VALUE"""),7881.98)</f>
        <v>7881.98</v>
      </c>
    </row>
    <row r="1284">
      <c r="A1284" s="3">
        <f>IFERROR(__xludf.DUMMYFUNCTION("""COMPUTED_VALUE"""),43867.66666666667)</f>
        <v>43867.66667</v>
      </c>
      <c r="B1284" s="2">
        <f>IFERROR(__xludf.DUMMYFUNCTION("""COMPUTED_VALUE"""),96.49)</f>
        <v>96.49</v>
      </c>
      <c r="D1284" s="3">
        <f>IFERROR(__xludf.DUMMYFUNCTION("""COMPUTED_VALUE"""),43867.66666666667)</f>
        <v>43867.66667</v>
      </c>
      <c r="E1284" s="2">
        <f>IFERROR(__xludf.DUMMYFUNCTION("""COMPUTED_VALUE"""),63.56)</f>
        <v>63.56</v>
      </c>
      <c r="G1284" s="3">
        <f>IFERROR(__xludf.DUMMYFUNCTION("""COMPUTED_VALUE"""),43609.99861111111)</f>
        <v>43609.99861</v>
      </c>
      <c r="H1284" s="2">
        <f>IFERROR(__xludf.DUMMYFUNCTION("""COMPUTED_VALUE"""),8002.21)</f>
        <v>8002.21</v>
      </c>
    </row>
    <row r="1285">
      <c r="A1285" s="3">
        <f>IFERROR(__xludf.DUMMYFUNCTION("""COMPUTED_VALUE"""),43868.66666666667)</f>
        <v>43868.66667</v>
      </c>
      <c r="B1285" s="2">
        <f>IFERROR(__xludf.DUMMYFUNCTION("""COMPUTED_VALUE"""),94.5)</f>
        <v>94.5</v>
      </c>
      <c r="D1285" s="3">
        <f>IFERROR(__xludf.DUMMYFUNCTION("""COMPUTED_VALUE"""),43868.66666666667)</f>
        <v>43868.66667</v>
      </c>
      <c r="E1285" s="2">
        <f>IFERROR(__xludf.DUMMYFUNCTION("""COMPUTED_VALUE"""),62.9)</f>
        <v>62.9</v>
      </c>
      <c r="G1285" s="3">
        <f>IFERROR(__xludf.DUMMYFUNCTION("""COMPUTED_VALUE"""),43610.99861111111)</f>
        <v>43610.99861</v>
      </c>
      <c r="H1285" s="2">
        <f>IFERROR(__xludf.DUMMYFUNCTION("""COMPUTED_VALUE"""),8063.81)</f>
        <v>8063.81</v>
      </c>
    </row>
    <row r="1286">
      <c r="A1286" s="3">
        <f>IFERROR(__xludf.DUMMYFUNCTION("""COMPUTED_VALUE"""),43871.66666666667)</f>
        <v>43871.66667</v>
      </c>
      <c r="B1286" s="2">
        <f>IFERROR(__xludf.DUMMYFUNCTION("""COMPUTED_VALUE"""),94.55)</f>
        <v>94.55</v>
      </c>
      <c r="D1286" s="3">
        <f>IFERROR(__xludf.DUMMYFUNCTION("""COMPUTED_VALUE"""),43871.66666666667)</f>
        <v>43871.66667</v>
      </c>
      <c r="E1286" s="2">
        <f>IFERROR(__xludf.DUMMYFUNCTION("""COMPUTED_VALUE"""),65.74)</f>
        <v>65.74</v>
      </c>
      <c r="G1286" s="3">
        <f>IFERROR(__xludf.DUMMYFUNCTION("""COMPUTED_VALUE"""),43611.99861111111)</f>
        <v>43611.99861</v>
      </c>
      <c r="H1286" s="2">
        <f>IFERROR(__xludf.DUMMYFUNCTION("""COMPUTED_VALUE"""),8731.96)</f>
        <v>8731.96</v>
      </c>
    </row>
    <row r="1287">
      <c r="A1287" s="3">
        <f>IFERROR(__xludf.DUMMYFUNCTION("""COMPUTED_VALUE"""),43872.66666666667)</f>
        <v>43872.66667</v>
      </c>
      <c r="B1287" s="2">
        <f>IFERROR(__xludf.DUMMYFUNCTION("""COMPUTED_VALUE"""),96.15)</f>
        <v>96.15</v>
      </c>
      <c r="D1287" s="3">
        <f>IFERROR(__xludf.DUMMYFUNCTION("""COMPUTED_VALUE"""),43872.66666666667)</f>
        <v>43872.66667</v>
      </c>
      <c r="E1287" s="2">
        <f>IFERROR(__xludf.DUMMYFUNCTION("""COMPUTED_VALUE"""),66.97)</f>
        <v>66.97</v>
      </c>
      <c r="G1287" s="3">
        <f>IFERROR(__xludf.DUMMYFUNCTION("""COMPUTED_VALUE"""),43612.99861111111)</f>
        <v>43612.99861</v>
      </c>
      <c r="H1287" s="2">
        <f>IFERROR(__xludf.DUMMYFUNCTION("""COMPUTED_VALUE"""),8768.62)</f>
        <v>8768.62</v>
      </c>
    </row>
    <row r="1288">
      <c r="A1288" s="3">
        <f>IFERROR(__xludf.DUMMYFUNCTION("""COMPUTED_VALUE"""),43873.66666666667)</f>
        <v>43873.66667</v>
      </c>
      <c r="B1288" s="2">
        <f>IFERROR(__xludf.DUMMYFUNCTION("""COMPUTED_VALUE"""),98.47)</f>
        <v>98.47</v>
      </c>
      <c r="D1288" s="3">
        <f>IFERROR(__xludf.DUMMYFUNCTION("""COMPUTED_VALUE"""),43873.66666666667)</f>
        <v>43873.66667</v>
      </c>
      <c r="E1288" s="2">
        <f>IFERROR(__xludf.DUMMYFUNCTION("""COMPUTED_VALUE"""),68.14)</f>
        <v>68.14</v>
      </c>
      <c r="G1288" s="3">
        <f>IFERROR(__xludf.DUMMYFUNCTION("""COMPUTED_VALUE"""),43613.99861111111)</f>
        <v>43613.99861</v>
      </c>
      <c r="H1288" s="2">
        <f>IFERROR(__xludf.DUMMYFUNCTION("""COMPUTED_VALUE"""),8715.36)</f>
        <v>8715.36</v>
      </c>
    </row>
    <row r="1289">
      <c r="A1289" s="3">
        <f>IFERROR(__xludf.DUMMYFUNCTION("""COMPUTED_VALUE"""),43874.66666666667)</f>
        <v>43874.66667</v>
      </c>
      <c r="B1289" s="2">
        <f>IFERROR(__xludf.DUMMYFUNCTION("""COMPUTED_VALUE"""),96.61)</f>
        <v>96.61</v>
      </c>
      <c r="D1289" s="3">
        <f>IFERROR(__xludf.DUMMYFUNCTION("""COMPUTED_VALUE"""),43874.66666666667)</f>
        <v>43874.66667</v>
      </c>
      <c r="E1289" s="2">
        <f>IFERROR(__xludf.DUMMYFUNCTION("""COMPUTED_VALUE"""),67.69)</f>
        <v>67.69</v>
      </c>
      <c r="G1289" s="3">
        <f>IFERROR(__xludf.DUMMYFUNCTION("""COMPUTED_VALUE"""),43614.99861111111)</f>
        <v>43614.99861</v>
      </c>
      <c r="H1289" s="2">
        <f>IFERROR(__xludf.DUMMYFUNCTION("""COMPUTED_VALUE"""),8662.44)</f>
        <v>8662.44</v>
      </c>
    </row>
    <row r="1290">
      <c r="A1290" s="3">
        <f>IFERROR(__xludf.DUMMYFUNCTION("""COMPUTED_VALUE"""),43875.66666666667)</f>
        <v>43875.66667</v>
      </c>
      <c r="B1290" s="2">
        <f>IFERROR(__xludf.DUMMYFUNCTION("""COMPUTED_VALUE"""),98.16)</f>
        <v>98.16</v>
      </c>
      <c r="D1290" s="3">
        <f>IFERROR(__xludf.DUMMYFUNCTION("""COMPUTED_VALUE"""),43875.66666666667)</f>
        <v>43875.66667</v>
      </c>
      <c r="E1290" s="2">
        <f>IFERROR(__xludf.DUMMYFUNCTION("""COMPUTED_VALUE"""),72.45)</f>
        <v>72.45</v>
      </c>
      <c r="G1290" s="3">
        <f>IFERROR(__xludf.DUMMYFUNCTION("""COMPUTED_VALUE"""),43615.99861111111)</f>
        <v>43615.99861</v>
      </c>
      <c r="H1290" s="2">
        <f>IFERROR(__xludf.DUMMYFUNCTION("""COMPUTED_VALUE"""),8279.69)</f>
        <v>8279.69</v>
      </c>
    </row>
    <row r="1291">
      <c r="A1291" s="3">
        <f>IFERROR(__xludf.DUMMYFUNCTION("""COMPUTED_VALUE"""),43879.66666666667)</f>
        <v>43879.66667</v>
      </c>
      <c r="B1291" s="2">
        <f>IFERROR(__xludf.DUMMYFUNCTION("""COMPUTED_VALUE"""),97.6)</f>
        <v>97.6</v>
      </c>
      <c r="D1291" s="3">
        <f>IFERROR(__xludf.DUMMYFUNCTION("""COMPUTED_VALUE"""),43879.66666666667)</f>
        <v>43879.66667</v>
      </c>
      <c r="E1291" s="2">
        <f>IFERROR(__xludf.DUMMYFUNCTION("""COMPUTED_VALUE"""),74.14)</f>
        <v>74.14</v>
      </c>
      <c r="G1291" s="3">
        <f>IFERROR(__xludf.DUMMYFUNCTION("""COMPUTED_VALUE"""),43616.99861111111)</f>
        <v>43616.99861</v>
      </c>
      <c r="H1291" s="2">
        <f>IFERROR(__xludf.DUMMYFUNCTION("""COMPUTED_VALUE"""),8566.04)</f>
        <v>8566.04</v>
      </c>
    </row>
    <row r="1292">
      <c r="A1292" s="3">
        <f>IFERROR(__xludf.DUMMYFUNCTION("""COMPUTED_VALUE"""),43880.66666666667)</f>
        <v>43880.66667</v>
      </c>
      <c r="B1292" s="2">
        <f>IFERROR(__xludf.DUMMYFUNCTION("""COMPUTED_VALUE"""),98.48)</f>
        <v>98.48</v>
      </c>
      <c r="D1292" s="3">
        <f>IFERROR(__xludf.DUMMYFUNCTION("""COMPUTED_VALUE"""),43880.66666666667)</f>
        <v>43880.66667</v>
      </c>
      <c r="E1292" s="2">
        <f>IFERROR(__xludf.DUMMYFUNCTION("""COMPUTED_VALUE"""),78.68)</f>
        <v>78.68</v>
      </c>
      <c r="G1292" s="3">
        <f>IFERROR(__xludf.DUMMYFUNCTION("""COMPUTED_VALUE"""),43617.99861111111)</f>
        <v>43617.99861</v>
      </c>
      <c r="H1292" s="2">
        <f>IFERROR(__xludf.DUMMYFUNCTION("""COMPUTED_VALUE"""),8558.95)</f>
        <v>8558.95</v>
      </c>
    </row>
    <row r="1293">
      <c r="A1293" s="3">
        <f>IFERROR(__xludf.DUMMYFUNCTION("""COMPUTED_VALUE"""),43881.66666666667)</f>
        <v>43881.66667</v>
      </c>
      <c r="B1293" s="2">
        <f>IFERROR(__xludf.DUMMYFUNCTION("""COMPUTED_VALUE"""),98.46)</f>
        <v>98.46</v>
      </c>
      <c r="D1293" s="3">
        <f>IFERROR(__xludf.DUMMYFUNCTION("""COMPUTED_VALUE"""),43881.66666666667)</f>
        <v>43881.66667</v>
      </c>
      <c r="E1293" s="2">
        <f>IFERROR(__xludf.DUMMYFUNCTION("""COMPUTED_VALUE"""),77.18)</f>
        <v>77.18</v>
      </c>
      <c r="G1293" s="3">
        <f>IFERROR(__xludf.DUMMYFUNCTION("""COMPUTED_VALUE"""),43618.99861111111)</f>
        <v>43618.99861</v>
      </c>
      <c r="H1293" s="2">
        <f>IFERROR(__xludf.DUMMYFUNCTION("""COMPUTED_VALUE"""),8736.54)</f>
        <v>8736.54</v>
      </c>
    </row>
    <row r="1294">
      <c r="A1294" s="3">
        <f>IFERROR(__xludf.DUMMYFUNCTION("""COMPUTED_VALUE"""),43882.66666666667)</f>
        <v>43882.66667</v>
      </c>
      <c r="B1294" s="2">
        <f>IFERROR(__xludf.DUMMYFUNCTION("""COMPUTED_VALUE"""),96.18)</f>
        <v>96.18</v>
      </c>
      <c r="D1294" s="3">
        <f>IFERROR(__xludf.DUMMYFUNCTION("""COMPUTED_VALUE"""),43882.66666666667)</f>
        <v>43882.66667</v>
      </c>
      <c r="E1294" s="2">
        <f>IFERROR(__xludf.DUMMYFUNCTION("""COMPUTED_VALUE"""),73.52)</f>
        <v>73.52</v>
      </c>
      <c r="G1294" s="3">
        <f>IFERROR(__xludf.DUMMYFUNCTION("""COMPUTED_VALUE"""),43619.99861111111)</f>
        <v>43619.99861</v>
      </c>
      <c r="H1294" s="2">
        <f>IFERROR(__xludf.DUMMYFUNCTION("""COMPUTED_VALUE"""),8107.96)</f>
        <v>8107.96</v>
      </c>
    </row>
    <row r="1295">
      <c r="A1295" s="3">
        <f>IFERROR(__xludf.DUMMYFUNCTION("""COMPUTED_VALUE"""),43885.66666666667)</f>
        <v>43885.66667</v>
      </c>
      <c r="B1295" s="2">
        <f>IFERROR(__xludf.DUMMYFUNCTION("""COMPUTED_VALUE"""),90.89)</f>
        <v>90.89</v>
      </c>
      <c r="D1295" s="3">
        <f>IFERROR(__xludf.DUMMYFUNCTION("""COMPUTED_VALUE"""),43885.66666666667)</f>
        <v>43885.66667</v>
      </c>
      <c r="E1295" s="2">
        <f>IFERROR(__xludf.DUMMYFUNCTION("""COMPUTED_VALUE"""),68.32)</f>
        <v>68.32</v>
      </c>
      <c r="G1295" s="3">
        <f>IFERROR(__xludf.DUMMYFUNCTION("""COMPUTED_VALUE"""),43620.99861111111)</f>
        <v>43620.99861</v>
      </c>
      <c r="H1295" s="2">
        <f>IFERROR(__xludf.DUMMYFUNCTION("""COMPUTED_VALUE"""),7670.96)</f>
        <v>7670.96</v>
      </c>
    </row>
    <row r="1296">
      <c r="A1296" s="3">
        <f>IFERROR(__xludf.DUMMYFUNCTION("""COMPUTED_VALUE"""),43886.66666666667)</f>
        <v>43886.66667</v>
      </c>
      <c r="B1296" s="2">
        <f>IFERROR(__xludf.DUMMYFUNCTION("""COMPUTED_VALUE"""),93.66)</f>
        <v>93.66</v>
      </c>
      <c r="D1296" s="3">
        <f>IFERROR(__xludf.DUMMYFUNCTION("""COMPUTED_VALUE"""),43886.66666666667)</f>
        <v>43886.66667</v>
      </c>
      <c r="E1296" s="2">
        <f>IFERROR(__xludf.DUMMYFUNCTION("""COMPUTED_VALUE"""),65.51)</f>
        <v>65.51</v>
      </c>
      <c r="G1296" s="3">
        <f>IFERROR(__xludf.DUMMYFUNCTION("""COMPUTED_VALUE"""),43621.99861111111)</f>
        <v>43621.99861</v>
      </c>
      <c r="H1296" s="2">
        <f>IFERROR(__xludf.DUMMYFUNCTION("""COMPUTED_VALUE"""),7789.48)</f>
        <v>7789.48</v>
      </c>
    </row>
    <row r="1297">
      <c r="A1297" s="3">
        <f>IFERROR(__xludf.DUMMYFUNCTION("""COMPUTED_VALUE"""),43887.66666666667)</f>
        <v>43887.66667</v>
      </c>
      <c r="B1297" s="2">
        <f>IFERROR(__xludf.DUMMYFUNCTION("""COMPUTED_VALUE"""),94.07)</f>
        <v>94.07</v>
      </c>
      <c r="D1297" s="3">
        <f>IFERROR(__xludf.DUMMYFUNCTION("""COMPUTED_VALUE"""),43887.66666666667)</f>
        <v>43887.66667</v>
      </c>
      <c r="E1297" s="2">
        <f>IFERROR(__xludf.DUMMYFUNCTION("""COMPUTED_VALUE"""),66.91)</f>
        <v>66.91</v>
      </c>
      <c r="G1297" s="3">
        <f>IFERROR(__xludf.DUMMYFUNCTION("""COMPUTED_VALUE"""),43622.99861111111)</f>
        <v>43622.99861</v>
      </c>
      <c r="H1297" s="2">
        <f>IFERROR(__xludf.DUMMYFUNCTION("""COMPUTED_VALUE"""),7802.57)</f>
        <v>7802.57</v>
      </c>
    </row>
    <row r="1298">
      <c r="A1298" s="3">
        <f>IFERROR(__xludf.DUMMYFUNCTION("""COMPUTED_VALUE"""),43888.66666666667)</f>
        <v>43888.66667</v>
      </c>
      <c r="B1298" s="2">
        <f>IFERROR(__xludf.DUMMYFUNCTION("""COMPUTED_VALUE"""),92.4)</f>
        <v>92.4</v>
      </c>
      <c r="D1298" s="3">
        <f>IFERROR(__xludf.DUMMYFUNCTION("""COMPUTED_VALUE"""),43888.66666666667)</f>
        <v>43888.66667</v>
      </c>
      <c r="E1298" s="2">
        <f>IFERROR(__xludf.DUMMYFUNCTION("""COMPUTED_VALUE"""),63.15)</f>
        <v>63.15</v>
      </c>
      <c r="G1298" s="3">
        <f>IFERROR(__xludf.DUMMYFUNCTION("""COMPUTED_VALUE"""),43623.99861111111)</f>
        <v>43623.99861</v>
      </c>
      <c r="H1298" s="2">
        <f>IFERROR(__xludf.DUMMYFUNCTION("""COMPUTED_VALUE"""),7998.13)</f>
        <v>7998.13</v>
      </c>
    </row>
    <row r="1299">
      <c r="A1299" s="3">
        <f>IFERROR(__xludf.DUMMYFUNCTION("""COMPUTED_VALUE"""),43889.66666666667)</f>
        <v>43889.66667</v>
      </c>
      <c r="B1299" s="2">
        <f>IFERROR(__xludf.DUMMYFUNCTION("""COMPUTED_VALUE"""),94.76)</f>
        <v>94.76</v>
      </c>
      <c r="D1299" s="3">
        <f>IFERROR(__xludf.DUMMYFUNCTION("""COMPUTED_VALUE"""),43889.66666666667)</f>
        <v>43889.66667</v>
      </c>
      <c r="E1299" s="2">
        <f>IFERROR(__xludf.DUMMYFUNCTION("""COMPUTED_VALUE"""),67.52)</f>
        <v>67.52</v>
      </c>
      <c r="G1299" s="3">
        <f>IFERROR(__xludf.DUMMYFUNCTION("""COMPUTED_VALUE"""),43624.99861111111)</f>
        <v>43624.99861</v>
      </c>
      <c r="H1299" s="2">
        <f>IFERROR(__xludf.DUMMYFUNCTION("""COMPUTED_VALUE"""),7930.14)</f>
        <v>7930.14</v>
      </c>
    </row>
    <row r="1300">
      <c r="A1300" s="3">
        <f>IFERROR(__xludf.DUMMYFUNCTION("""COMPUTED_VALUE"""),43892.66666666667)</f>
        <v>43892.66667</v>
      </c>
      <c r="B1300" s="2">
        <f>IFERROR(__xludf.DUMMYFUNCTION("""COMPUTED_VALUE"""),97.42)</f>
        <v>97.42</v>
      </c>
      <c r="D1300" s="3">
        <f>IFERROR(__xludf.DUMMYFUNCTION("""COMPUTED_VALUE"""),43892.66666666667)</f>
        <v>43892.66667</v>
      </c>
      <c r="E1300" s="2">
        <f>IFERROR(__xludf.DUMMYFUNCTION("""COMPUTED_VALUE"""),69.11)</f>
        <v>69.11</v>
      </c>
      <c r="G1300" s="3">
        <f>IFERROR(__xludf.DUMMYFUNCTION("""COMPUTED_VALUE"""),43625.99861111111)</f>
        <v>43625.99861</v>
      </c>
      <c r="H1300" s="2">
        <f>IFERROR(__xludf.DUMMYFUNCTION("""COMPUTED_VALUE"""),7635.06)</f>
        <v>7635.06</v>
      </c>
    </row>
    <row r="1301">
      <c r="A1301" s="3">
        <f>IFERROR(__xludf.DUMMYFUNCTION("""COMPUTED_VALUE"""),43893.66666666667)</f>
        <v>43893.66667</v>
      </c>
      <c r="B1301" s="2">
        <f>IFERROR(__xludf.DUMMYFUNCTION("""COMPUTED_VALUE"""),93.51)</f>
        <v>93.51</v>
      </c>
      <c r="D1301" s="3">
        <f>IFERROR(__xludf.DUMMYFUNCTION("""COMPUTED_VALUE"""),43893.66666666667)</f>
        <v>43893.66667</v>
      </c>
      <c r="E1301" s="2">
        <f>IFERROR(__xludf.DUMMYFUNCTION("""COMPUTED_VALUE"""),66.47)</f>
        <v>66.47</v>
      </c>
      <c r="G1301" s="3">
        <f>IFERROR(__xludf.DUMMYFUNCTION("""COMPUTED_VALUE"""),43626.99861111111)</f>
        <v>43626.99861</v>
      </c>
      <c r="H1301" s="2">
        <f>IFERROR(__xludf.DUMMYFUNCTION("""COMPUTED_VALUE"""),8015.69)</f>
        <v>8015.69</v>
      </c>
    </row>
    <row r="1302">
      <c r="A1302" s="3">
        <f>IFERROR(__xludf.DUMMYFUNCTION("""COMPUTED_VALUE"""),43894.66666666667)</f>
        <v>43894.66667</v>
      </c>
      <c r="B1302" s="2">
        <f>IFERROR(__xludf.DUMMYFUNCTION("""COMPUTED_VALUE"""),97.93)</f>
        <v>97.93</v>
      </c>
      <c r="D1302" s="3">
        <f>IFERROR(__xludf.DUMMYFUNCTION("""COMPUTED_VALUE"""),43894.66666666667)</f>
        <v>43894.66667</v>
      </c>
      <c r="E1302" s="2">
        <f>IFERROR(__xludf.DUMMYFUNCTION("""COMPUTED_VALUE"""),71.13)</f>
        <v>71.13</v>
      </c>
      <c r="G1302" s="3">
        <f>IFERROR(__xludf.DUMMYFUNCTION("""COMPUTED_VALUE"""),43627.99861111111)</f>
        <v>43627.99861</v>
      </c>
      <c r="H1302" s="2">
        <f>IFERROR(__xludf.DUMMYFUNCTION("""COMPUTED_VALUE"""),7918.17)</f>
        <v>7918.17</v>
      </c>
    </row>
    <row r="1303">
      <c r="A1303" s="3">
        <f>IFERROR(__xludf.DUMMYFUNCTION("""COMPUTED_VALUE"""),43895.66666666667)</f>
        <v>43895.66667</v>
      </c>
      <c r="B1303" s="2">
        <f>IFERROR(__xludf.DUMMYFUNCTION("""COMPUTED_VALUE"""),98.6)</f>
        <v>98.6</v>
      </c>
      <c r="D1303" s="3">
        <f>IFERROR(__xludf.DUMMYFUNCTION("""COMPUTED_VALUE"""),43895.66666666667)</f>
        <v>43895.66667</v>
      </c>
      <c r="E1303" s="2">
        <f>IFERROR(__xludf.DUMMYFUNCTION("""COMPUTED_VALUE"""),68.32)</f>
        <v>68.32</v>
      </c>
      <c r="G1303" s="3">
        <f>IFERROR(__xludf.DUMMYFUNCTION("""COMPUTED_VALUE"""),43628.99861111111)</f>
        <v>43628.99861</v>
      </c>
      <c r="H1303" s="2">
        <f>IFERROR(__xludf.DUMMYFUNCTION("""COMPUTED_VALUE"""),8176.02)</f>
        <v>8176.02</v>
      </c>
    </row>
    <row r="1304">
      <c r="A1304" s="3">
        <f>IFERROR(__xludf.DUMMYFUNCTION("""COMPUTED_VALUE"""),43896.66666666667)</f>
        <v>43896.66667</v>
      </c>
      <c r="B1304" s="2">
        <f>IFERROR(__xludf.DUMMYFUNCTION("""COMPUTED_VALUE"""),96.01)</f>
        <v>96.01</v>
      </c>
      <c r="D1304" s="3">
        <f>IFERROR(__xludf.DUMMYFUNCTION("""COMPUTED_VALUE"""),43896.66666666667)</f>
        <v>43896.66667</v>
      </c>
      <c r="E1304" s="2">
        <f>IFERROR(__xludf.DUMMYFUNCTION("""COMPUTED_VALUE"""),66.51)</f>
        <v>66.51</v>
      </c>
      <c r="G1304" s="3">
        <f>IFERROR(__xludf.DUMMYFUNCTION("""COMPUTED_VALUE"""),43629.99861111111)</f>
        <v>43629.99861</v>
      </c>
      <c r="H1304" s="2">
        <f>IFERROR(__xludf.DUMMYFUNCTION("""COMPUTED_VALUE"""),8239.04)</f>
        <v>8239.04</v>
      </c>
    </row>
    <row r="1305">
      <c r="A1305" s="3">
        <f>IFERROR(__xludf.DUMMYFUNCTION("""COMPUTED_VALUE"""),43899.66666666667)</f>
        <v>43899.66667</v>
      </c>
      <c r="B1305" s="2">
        <f>IFERROR(__xludf.DUMMYFUNCTION("""COMPUTED_VALUE"""),89.2)</f>
        <v>89.2</v>
      </c>
      <c r="D1305" s="3">
        <f>IFERROR(__xludf.DUMMYFUNCTION("""COMPUTED_VALUE"""),43899.66666666667)</f>
        <v>43899.66667</v>
      </c>
      <c r="E1305" s="2">
        <f>IFERROR(__xludf.DUMMYFUNCTION("""COMPUTED_VALUE"""),61.36)</f>
        <v>61.36</v>
      </c>
      <c r="G1305" s="3">
        <f>IFERROR(__xludf.DUMMYFUNCTION("""COMPUTED_VALUE"""),43630.99861111111)</f>
        <v>43630.99861</v>
      </c>
      <c r="H1305" s="2">
        <f>IFERROR(__xludf.DUMMYFUNCTION("""COMPUTED_VALUE"""),8697.45)</f>
        <v>8697.45</v>
      </c>
    </row>
    <row r="1306">
      <c r="A1306" s="3">
        <f>IFERROR(__xludf.DUMMYFUNCTION("""COMPUTED_VALUE"""),43900.66666666667)</f>
        <v>43900.66667</v>
      </c>
      <c r="B1306" s="2">
        <f>IFERROR(__xludf.DUMMYFUNCTION("""COMPUTED_VALUE"""),94.83)</f>
        <v>94.83</v>
      </c>
      <c r="D1306" s="3">
        <f>IFERROR(__xludf.DUMMYFUNCTION("""COMPUTED_VALUE"""),43900.66666666667)</f>
        <v>43900.66667</v>
      </c>
      <c r="E1306" s="2">
        <f>IFERROR(__xludf.DUMMYFUNCTION("""COMPUTED_VALUE"""),65.27)</f>
        <v>65.27</v>
      </c>
      <c r="G1306" s="3">
        <f>IFERROR(__xludf.DUMMYFUNCTION("""COMPUTED_VALUE"""),43631.99861111111)</f>
        <v>43631.99861</v>
      </c>
      <c r="H1306" s="2">
        <f>IFERROR(__xludf.DUMMYFUNCTION("""COMPUTED_VALUE"""),8860.23)</f>
        <v>8860.23</v>
      </c>
    </row>
    <row r="1307">
      <c r="A1307" s="3">
        <f>IFERROR(__xludf.DUMMYFUNCTION("""COMPUTED_VALUE"""),43901.66666666667)</f>
        <v>43901.66667</v>
      </c>
      <c r="B1307" s="2">
        <f>IFERROR(__xludf.DUMMYFUNCTION("""COMPUTED_VALUE"""),91.8)</f>
        <v>91.8</v>
      </c>
      <c r="D1307" s="3">
        <f>IFERROR(__xludf.DUMMYFUNCTION("""COMPUTED_VALUE"""),43901.66666666667)</f>
        <v>43901.66667</v>
      </c>
      <c r="E1307" s="2">
        <f>IFERROR(__xludf.DUMMYFUNCTION("""COMPUTED_VALUE"""),61.62)</f>
        <v>61.62</v>
      </c>
      <c r="G1307" s="3">
        <f>IFERROR(__xludf.DUMMYFUNCTION("""COMPUTED_VALUE"""),43632.99861111111)</f>
        <v>43632.99861</v>
      </c>
      <c r="H1307" s="2">
        <f>IFERROR(__xludf.DUMMYFUNCTION("""COMPUTED_VALUE"""),8978.66)</f>
        <v>8978.66</v>
      </c>
    </row>
    <row r="1308">
      <c r="A1308" s="3">
        <f>IFERROR(__xludf.DUMMYFUNCTION("""COMPUTED_VALUE"""),43902.66666666667)</f>
        <v>43902.66667</v>
      </c>
      <c r="B1308" s="2">
        <f>IFERROR(__xludf.DUMMYFUNCTION("""COMPUTED_VALUE"""),82.36)</f>
        <v>82.36</v>
      </c>
      <c r="D1308" s="3">
        <f>IFERROR(__xludf.DUMMYFUNCTION("""COMPUTED_VALUE"""),43902.66666666667)</f>
        <v>43902.66667</v>
      </c>
      <c r="E1308" s="2">
        <f>IFERROR(__xludf.DUMMYFUNCTION("""COMPUTED_VALUE"""),54.08)</f>
        <v>54.08</v>
      </c>
      <c r="G1308" s="3">
        <f>IFERROR(__xludf.DUMMYFUNCTION("""COMPUTED_VALUE"""),43633.99861111111)</f>
        <v>43633.99861</v>
      </c>
      <c r="H1308" s="2">
        <f>IFERROR(__xludf.DUMMYFUNCTION("""COMPUTED_VALUE"""),9331.75)</f>
        <v>9331.75</v>
      </c>
    </row>
    <row r="1309">
      <c r="A1309" s="3">
        <f>IFERROR(__xludf.DUMMYFUNCTION("""COMPUTED_VALUE"""),43903.66666666667)</f>
        <v>43903.66667</v>
      </c>
      <c r="B1309" s="2">
        <f>IFERROR(__xludf.DUMMYFUNCTION("""COMPUTED_VALUE"""),92.03)</f>
        <v>92.03</v>
      </c>
      <c r="D1309" s="3">
        <f>IFERROR(__xludf.DUMMYFUNCTION("""COMPUTED_VALUE"""),43903.66666666667)</f>
        <v>43903.66667</v>
      </c>
      <c r="E1309" s="2">
        <f>IFERROR(__xludf.DUMMYFUNCTION("""COMPUTED_VALUE"""),60.21)</f>
        <v>60.21</v>
      </c>
      <c r="G1309" s="3">
        <f>IFERROR(__xludf.DUMMYFUNCTION("""COMPUTED_VALUE"""),43634.99861111111)</f>
        <v>43634.99861</v>
      </c>
      <c r="H1309" s="2">
        <f>IFERROR(__xludf.DUMMYFUNCTION("""COMPUTED_VALUE"""),9071.95)</f>
        <v>9071.95</v>
      </c>
    </row>
    <row r="1310">
      <c r="A1310" s="3">
        <f>IFERROR(__xludf.DUMMYFUNCTION("""COMPUTED_VALUE"""),43906.66666666667)</f>
        <v>43906.66667</v>
      </c>
      <c r="B1310" s="2">
        <f>IFERROR(__xludf.DUMMYFUNCTION("""COMPUTED_VALUE"""),83.78)</f>
        <v>83.78</v>
      </c>
      <c r="D1310" s="3">
        <f>IFERROR(__xludf.DUMMYFUNCTION("""COMPUTED_VALUE"""),43906.66666666667)</f>
        <v>43906.66667</v>
      </c>
      <c r="E1310" s="2">
        <f>IFERROR(__xludf.DUMMYFUNCTION("""COMPUTED_VALUE"""),49.1)</f>
        <v>49.1</v>
      </c>
      <c r="G1310" s="3">
        <f>IFERROR(__xludf.DUMMYFUNCTION("""COMPUTED_VALUE"""),43635.99861111111)</f>
        <v>43635.99861</v>
      </c>
      <c r="H1310" s="2">
        <f>IFERROR(__xludf.DUMMYFUNCTION("""COMPUTED_VALUE"""),9277.29)</f>
        <v>9277.29</v>
      </c>
    </row>
    <row r="1311">
      <c r="A1311" s="3">
        <f>IFERROR(__xludf.DUMMYFUNCTION("""COMPUTED_VALUE"""),43907.66666666667)</f>
        <v>43907.66667</v>
      </c>
      <c r="B1311" s="2">
        <f>IFERROR(__xludf.DUMMYFUNCTION("""COMPUTED_VALUE"""),94.19)</f>
        <v>94.19</v>
      </c>
      <c r="D1311" s="3">
        <f>IFERROR(__xludf.DUMMYFUNCTION("""COMPUTED_VALUE"""),43907.66666666667)</f>
        <v>43907.66667</v>
      </c>
      <c r="E1311" s="2">
        <f>IFERROR(__xludf.DUMMYFUNCTION("""COMPUTED_VALUE"""),54.32)</f>
        <v>54.32</v>
      </c>
      <c r="G1311" s="3">
        <f>IFERROR(__xludf.DUMMYFUNCTION("""COMPUTED_VALUE"""),43636.99861111111)</f>
        <v>43636.99861</v>
      </c>
      <c r="H1311" s="2">
        <f>IFERROR(__xludf.DUMMYFUNCTION("""COMPUTED_VALUE"""),9531.21)</f>
        <v>9531.21</v>
      </c>
    </row>
    <row r="1312">
      <c r="A1312" s="3">
        <f>IFERROR(__xludf.DUMMYFUNCTION("""COMPUTED_VALUE"""),43908.66666666667)</f>
        <v>43908.66667</v>
      </c>
      <c r="B1312" s="2">
        <f>IFERROR(__xludf.DUMMYFUNCTION("""COMPUTED_VALUE"""),86.0)</f>
        <v>86</v>
      </c>
      <c r="D1312" s="3">
        <f>IFERROR(__xludf.DUMMYFUNCTION("""COMPUTED_VALUE"""),43908.66666666667)</f>
        <v>43908.66667</v>
      </c>
      <c r="E1312" s="2">
        <f>IFERROR(__xludf.DUMMYFUNCTION("""COMPUTED_VALUE"""),50.71)</f>
        <v>50.71</v>
      </c>
      <c r="G1312" s="3">
        <f>IFERROR(__xludf.DUMMYFUNCTION("""COMPUTED_VALUE"""),43637.99861111111)</f>
        <v>43637.99861</v>
      </c>
      <c r="H1312" s="2">
        <f>IFERROR(__xludf.DUMMYFUNCTION("""COMPUTED_VALUE"""),10220.0)</f>
        <v>10220</v>
      </c>
    </row>
    <row r="1313">
      <c r="A1313" s="3">
        <f>IFERROR(__xludf.DUMMYFUNCTION("""COMPUTED_VALUE"""),43909.66666666667)</f>
        <v>43909.66667</v>
      </c>
      <c r="B1313" s="2">
        <f>IFERROR(__xludf.DUMMYFUNCTION("""COMPUTED_VALUE"""),85.97)</f>
        <v>85.97</v>
      </c>
      <c r="D1313" s="3">
        <f>IFERROR(__xludf.DUMMYFUNCTION("""COMPUTED_VALUE"""),43909.66666666667)</f>
        <v>43909.66667</v>
      </c>
      <c r="E1313" s="2">
        <f>IFERROR(__xludf.DUMMYFUNCTION("""COMPUTED_VALUE"""),53.24)</f>
        <v>53.24</v>
      </c>
      <c r="G1313" s="3">
        <f>IFERROR(__xludf.DUMMYFUNCTION("""COMPUTED_VALUE"""),43638.99861111111)</f>
        <v>43638.99861</v>
      </c>
      <c r="H1313" s="2">
        <f>IFERROR(__xludf.DUMMYFUNCTION("""COMPUTED_VALUE"""),10666.8)</f>
        <v>10666.8</v>
      </c>
    </row>
    <row r="1314">
      <c r="A1314" s="3">
        <f>IFERROR(__xludf.DUMMYFUNCTION("""COMPUTED_VALUE"""),43910.66666666667)</f>
        <v>43910.66667</v>
      </c>
      <c r="B1314" s="2">
        <f>IFERROR(__xludf.DUMMYFUNCTION("""COMPUTED_VALUE"""),83.09)</f>
        <v>83.09</v>
      </c>
      <c r="D1314" s="3">
        <f>IFERROR(__xludf.DUMMYFUNCTION("""COMPUTED_VALUE"""),43910.66666666667)</f>
        <v>43910.66667</v>
      </c>
      <c r="E1314" s="2">
        <f>IFERROR(__xludf.DUMMYFUNCTION("""COMPUTED_VALUE"""),51.44)</f>
        <v>51.44</v>
      </c>
      <c r="G1314" s="3">
        <f>IFERROR(__xludf.DUMMYFUNCTION("""COMPUTED_VALUE"""),43639.99861111111)</f>
        <v>43639.99861</v>
      </c>
      <c r="H1314" s="2">
        <f>IFERROR(__xludf.DUMMYFUNCTION("""COMPUTED_VALUE"""),10833.0)</f>
        <v>10833</v>
      </c>
    </row>
    <row r="1315">
      <c r="A1315" s="3">
        <f>IFERROR(__xludf.DUMMYFUNCTION("""COMPUTED_VALUE"""),43913.66666666667)</f>
        <v>43913.66667</v>
      </c>
      <c r="B1315" s="2">
        <f>IFERROR(__xludf.DUMMYFUNCTION("""COMPUTED_VALUE"""),81.17)</f>
        <v>81.17</v>
      </c>
      <c r="D1315" s="3">
        <f>IFERROR(__xludf.DUMMYFUNCTION("""COMPUTED_VALUE"""),43913.66666666667)</f>
        <v>43913.66667</v>
      </c>
      <c r="E1315" s="2">
        <f>IFERROR(__xludf.DUMMYFUNCTION("""COMPUTED_VALUE"""),53.17)</f>
        <v>53.17</v>
      </c>
      <c r="G1315" s="3">
        <f>IFERROR(__xludf.DUMMYFUNCTION("""COMPUTED_VALUE"""),43640.99861111111)</f>
        <v>43640.99861</v>
      </c>
      <c r="H1315" s="2">
        <f>IFERROR(__xludf.DUMMYFUNCTION("""COMPUTED_VALUE"""),11032.3)</f>
        <v>11032.3</v>
      </c>
    </row>
    <row r="1316">
      <c r="A1316" s="3">
        <f>IFERROR(__xludf.DUMMYFUNCTION("""COMPUTED_VALUE"""),43914.66666666667)</f>
        <v>43914.66667</v>
      </c>
      <c r="B1316" s="2">
        <f>IFERROR(__xludf.DUMMYFUNCTION("""COMPUTED_VALUE"""),85.06)</f>
        <v>85.06</v>
      </c>
      <c r="D1316" s="3">
        <f>IFERROR(__xludf.DUMMYFUNCTION("""COMPUTED_VALUE"""),43914.66666666667)</f>
        <v>43914.66667</v>
      </c>
      <c r="E1316" s="2">
        <f>IFERROR(__xludf.DUMMYFUNCTION("""COMPUTED_VALUE"""),62.3)</f>
        <v>62.3</v>
      </c>
      <c r="G1316" s="3">
        <f>IFERROR(__xludf.DUMMYFUNCTION("""COMPUTED_VALUE"""),43641.99861111111)</f>
        <v>43641.99861</v>
      </c>
      <c r="H1316" s="2">
        <f>IFERROR(__xludf.DUMMYFUNCTION("""COMPUTED_VALUE"""),11755.5)</f>
        <v>11755.5</v>
      </c>
    </row>
    <row r="1317">
      <c r="A1317" s="3">
        <f>IFERROR(__xludf.DUMMYFUNCTION("""COMPUTED_VALUE"""),43915.66666666667)</f>
        <v>43915.66667</v>
      </c>
      <c r="B1317" s="2">
        <f>IFERROR(__xludf.DUMMYFUNCTION("""COMPUTED_VALUE"""),81.96)</f>
        <v>81.96</v>
      </c>
      <c r="D1317" s="3">
        <f>IFERROR(__xludf.DUMMYFUNCTION("""COMPUTED_VALUE"""),43915.66666666667)</f>
        <v>43915.66667</v>
      </c>
      <c r="E1317" s="2">
        <f>IFERROR(__xludf.DUMMYFUNCTION("""COMPUTED_VALUE"""),61.41)</f>
        <v>61.41</v>
      </c>
      <c r="G1317" s="3">
        <f>IFERROR(__xludf.DUMMYFUNCTION("""COMPUTED_VALUE"""),43642.99861111111)</f>
        <v>43642.99861</v>
      </c>
      <c r="H1317" s="2">
        <f>IFERROR(__xludf.DUMMYFUNCTION("""COMPUTED_VALUE"""),12927.4)</f>
        <v>12927.4</v>
      </c>
    </row>
    <row r="1318">
      <c r="A1318" s="3">
        <f>IFERROR(__xludf.DUMMYFUNCTION("""COMPUTED_VALUE"""),43916.66666666667)</f>
        <v>43916.66667</v>
      </c>
      <c r="B1318" s="2">
        <f>IFERROR(__xludf.DUMMYFUNCTION("""COMPUTED_VALUE"""),84.21)</f>
        <v>84.21</v>
      </c>
      <c r="D1318" s="3">
        <f>IFERROR(__xludf.DUMMYFUNCTION("""COMPUTED_VALUE"""),43916.66666666667)</f>
        <v>43916.66667</v>
      </c>
      <c r="E1318" s="2">
        <f>IFERROR(__xludf.DUMMYFUNCTION("""COMPUTED_VALUE"""),64.31)</f>
        <v>64.31</v>
      </c>
      <c r="G1318" s="3">
        <f>IFERROR(__xludf.DUMMYFUNCTION("""COMPUTED_VALUE"""),43643.99861111111)</f>
        <v>43643.99861</v>
      </c>
      <c r="H1318" s="2">
        <f>IFERROR(__xludf.DUMMYFUNCTION("""COMPUTED_VALUE"""),11159.2)</f>
        <v>11159.2</v>
      </c>
    </row>
    <row r="1319">
      <c r="A1319" s="3">
        <f>IFERROR(__xludf.DUMMYFUNCTION("""COMPUTED_VALUE"""),43917.66666666667)</f>
        <v>43917.66667</v>
      </c>
      <c r="B1319" s="2">
        <f>IFERROR(__xludf.DUMMYFUNCTION("""COMPUTED_VALUE"""),78.28)</f>
        <v>78.28</v>
      </c>
      <c r="D1319" s="3">
        <f>IFERROR(__xludf.DUMMYFUNCTION("""COMPUTED_VALUE"""),43917.66666666667)</f>
        <v>43917.66667</v>
      </c>
      <c r="E1319" s="2">
        <f>IFERROR(__xludf.DUMMYFUNCTION("""COMPUTED_VALUE"""),63.18)</f>
        <v>63.18</v>
      </c>
      <c r="G1319" s="3">
        <f>IFERROR(__xludf.DUMMYFUNCTION("""COMPUTED_VALUE"""),43644.99861111111)</f>
        <v>43644.99861</v>
      </c>
      <c r="H1319" s="2">
        <f>IFERROR(__xludf.DUMMYFUNCTION("""COMPUTED_VALUE"""),12360.4)</f>
        <v>12360.4</v>
      </c>
    </row>
    <row r="1320">
      <c r="A1320" s="3">
        <f>IFERROR(__xludf.DUMMYFUNCTION("""COMPUTED_VALUE"""),43920.66666666667)</f>
        <v>43920.66667</v>
      </c>
      <c r="B1320" s="2">
        <f>IFERROR(__xludf.DUMMYFUNCTION("""COMPUTED_VALUE"""),85.66)</f>
        <v>85.66</v>
      </c>
      <c r="D1320" s="3">
        <f>IFERROR(__xludf.DUMMYFUNCTION("""COMPUTED_VALUE"""),43920.66666666667)</f>
        <v>43920.66667</v>
      </c>
      <c r="E1320" s="2">
        <f>IFERROR(__xludf.DUMMYFUNCTION("""COMPUTED_VALUE"""),66.4)</f>
        <v>66.4</v>
      </c>
      <c r="G1320" s="3">
        <f>IFERROR(__xludf.DUMMYFUNCTION("""COMPUTED_VALUE"""),43645.99861111111)</f>
        <v>43645.99861</v>
      </c>
      <c r="H1320" s="2">
        <f>IFERROR(__xludf.DUMMYFUNCTION("""COMPUTED_VALUE"""),11865.2)</f>
        <v>11865.2</v>
      </c>
    </row>
    <row r="1321">
      <c r="A1321" s="3">
        <f>IFERROR(__xludf.DUMMYFUNCTION("""COMPUTED_VALUE"""),43921.66666666667)</f>
        <v>43921.66667</v>
      </c>
      <c r="B1321" s="2">
        <f>IFERROR(__xludf.DUMMYFUNCTION("""COMPUTED_VALUE"""),83.68)</f>
        <v>83.68</v>
      </c>
      <c r="D1321" s="3">
        <f>IFERROR(__xludf.DUMMYFUNCTION("""COMPUTED_VALUE"""),43921.66666666667)</f>
        <v>43921.66667</v>
      </c>
      <c r="E1321" s="2">
        <f>IFERROR(__xludf.DUMMYFUNCTION("""COMPUTED_VALUE"""),65.9)</f>
        <v>65.9</v>
      </c>
      <c r="G1321" s="3">
        <f>IFERROR(__xludf.DUMMYFUNCTION("""COMPUTED_VALUE"""),43646.99861111111)</f>
        <v>43646.99861</v>
      </c>
      <c r="H1321" s="2">
        <f>IFERROR(__xludf.DUMMYFUNCTION("""COMPUTED_VALUE"""),10760.1)</f>
        <v>10760.1</v>
      </c>
    </row>
    <row r="1322">
      <c r="A1322" s="3">
        <f>IFERROR(__xludf.DUMMYFUNCTION("""COMPUTED_VALUE"""),43922.66666666667)</f>
        <v>43922.66667</v>
      </c>
      <c r="B1322" s="2">
        <f>IFERROR(__xludf.DUMMYFUNCTION("""COMPUTED_VALUE"""),80.89)</f>
        <v>80.89</v>
      </c>
      <c r="D1322" s="3">
        <f>IFERROR(__xludf.DUMMYFUNCTION("""COMPUTED_VALUE"""),43922.66666666667)</f>
        <v>43922.66667</v>
      </c>
      <c r="E1322" s="2">
        <f>IFERROR(__xludf.DUMMYFUNCTION("""COMPUTED_VALUE"""),60.77)</f>
        <v>60.77</v>
      </c>
      <c r="G1322" s="3">
        <f>IFERROR(__xludf.DUMMYFUNCTION("""COMPUTED_VALUE"""),43647.99861111111)</f>
        <v>43647.99861</v>
      </c>
      <c r="H1322" s="2">
        <f>IFERROR(__xludf.DUMMYFUNCTION("""COMPUTED_VALUE"""),10577.6)</f>
        <v>10577.6</v>
      </c>
    </row>
    <row r="1323">
      <c r="A1323" s="3">
        <f>IFERROR(__xludf.DUMMYFUNCTION("""COMPUTED_VALUE"""),43923.66666666667)</f>
        <v>43923.66667</v>
      </c>
      <c r="B1323" s="2">
        <f>IFERROR(__xludf.DUMMYFUNCTION("""COMPUTED_VALUE"""),83.75)</f>
        <v>83.75</v>
      </c>
      <c r="D1323" s="3">
        <f>IFERROR(__xludf.DUMMYFUNCTION("""COMPUTED_VALUE"""),43923.66666666667)</f>
        <v>43923.66667</v>
      </c>
      <c r="E1323" s="2">
        <f>IFERROR(__xludf.DUMMYFUNCTION("""COMPUTED_VALUE"""),63.87)</f>
        <v>63.87</v>
      </c>
      <c r="G1323" s="3">
        <f>IFERROR(__xludf.DUMMYFUNCTION("""COMPUTED_VALUE"""),43648.99861111111)</f>
        <v>43648.99861</v>
      </c>
      <c r="H1323" s="2">
        <f>IFERROR(__xludf.DUMMYFUNCTION("""COMPUTED_VALUE"""),10829.1)</f>
        <v>10829.1</v>
      </c>
    </row>
    <row r="1324">
      <c r="A1324" s="3">
        <f>IFERROR(__xludf.DUMMYFUNCTION("""COMPUTED_VALUE"""),43924.66666666667)</f>
        <v>43924.66667</v>
      </c>
      <c r="B1324" s="2">
        <f>IFERROR(__xludf.DUMMYFUNCTION("""COMPUTED_VALUE"""),82.52)</f>
        <v>82.52</v>
      </c>
      <c r="D1324" s="3">
        <f>IFERROR(__xludf.DUMMYFUNCTION("""COMPUTED_VALUE"""),43924.66666666667)</f>
        <v>43924.66667</v>
      </c>
      <c r="E1324" s="2">
        <f>IFERROR(__xludf.DUMMYFUNCTION("""COMPUTED_VALUE"""),60.98)</f>
        <v>60.98</v>
      </c>
      <c r="G1324" s="3">
        <f>IFERROR(__xludf.DUMMYFUNCTION("""COMPUTED_VALUE"""),43649.99861111111)</f>
        <v>43649.99861</v>
      </c>
      <c r="H1324" s="2">
        <f>IFERROR(__xludf.DUMMYFUNCTION("""COMPUTED_VALUE"""),11976.0)</f>
        <v>11976</v>
      </c>
    </row>
    <row r="1325">
      <c r="A1325" s="3">
        <f>IFERROR(__xludf.DUMMYFUNCTION("""COMPUTED_VALUE"""),43927.66666666667)</f>
        <v>43927.66667</v>
      </c>
      <c r="B1325" s="2">
        <f>IFERROR(__xludf.DUMMYFUNCTION("""COMPUTED_VALUE"""),90.73)</f>
        <v>90.73</v>
      </c>
      <c r="D1325" s="3">
        <f>IFERROR(__xludf.DUMMYFUNCTION("""COMPUTED_VALUE"""),43927.66666666667)</f>
        <v>43927.66667</v>
      </c>
      <c r="E1325" s="2">
        <f>IFERROR(__xludf.DUMMYFUNCTION("""COMPUTED_VALUE"""),67.1)</f>
        <v>67.1</v>
      </c>
      <c r="G1325" s="3">
        <f>IFERROR(__xludf.DUMMYFUNCTION("""COMPUTED_VALUE"""),43650.99861111111)</f>
        <v>43650.99861</v>
      </c>
      <c r="H1325" s="2">
        <f>IFERROR(__xludf.DUMMYFUNCTION("""COMPUTED_VALUE"""),11137.8)</f>
        <v>11137.8</v>
      </c>
    </row>
    <row r="1326">
      <c r="A1326" s="3">
        <f>IFERROR(__xludf.DUMMYFUNCTION("""COMPUTED_VALUE"""),43928.66666666667)</f>
        <v>43928.66667</v>
      </c>
      <c r="B1326" s="2">
        <f>IFERROR(__xludf.DUMMYFUNCTION("""COMPUTED_VALUE"""),89.21)</f>
        <v>89.21</v>
      </c>
      <c r="D1326" s="3">
        <f>IFERROR(__xludf.DUMMYFUNCTION("""COMPUTED_VALUE"""),43928.66666666667)</f>
        <v>43928.66667</v>
      </c>
      <c r="E1326" s="2">
        <f>IFERROR(__xludf.DUMMYFUNCTION("""COMPUTED_VALUE"""),64.76)</f>
        <v>64.76</v>
      </c>
      <c r="G1326" s="3">
        <f>IFERROR(__xludf.DUMMYFUNCTION("""COMPUTED_VALUE"""),43651.99861111111)</f>
        <v>43651.99861</v>
      </c>
      <c r="H1326" s="2">
        <f>IFERROR(__xludf.DUMMYFUNCTION("""COMPUTED_VALUE"""),11004.5)</f>
        <v>11004.5</v>
      </c>
    </row>
    <row r="1327">
      <c r="A1327" s="3">
        <f>IFERROR(__xludf.DUMMYFUNCTION("""COMPUTED_VALUE"""),43929.66666666667)</f>
        <v>43929.66667</v>
      </c>
      <c r="B1327" s="2">
        <f>IFERROR(__xludf.DUMMYFUNCTION("""COMPUTED_VALUE"""),91.0)</f>
        <v>91</v>
      </c>
      <c r="D1327" s="3">
        <f>IFERROR(__xludf.DUMMYFUNCTION("""COMPUTED_VALUE"""),43929.66666666667)</f>
        <v>43929.66667</v>
      </c>
      <c r="E1327" s="2">
        <f>IFERROR(__xludf.DUMMYFUNCTION("""COMPUTED_VALUE"""),66.74)</f>
        <v>66.74</v>
      </c>
      <c r="G1327" s="3">
        <f>IFERROR(__xludf.DUMMYFUNCTION("""COMPUTED_VALUE"""),43652.99861111111)</f>
        <v>43652.99861</v>
      </c>
      <c r="H1327" s="2">
        <f>IFERROR(__xludf.DUMMYFUNCTION("""COMPUTED_VALUE"""),11237.7)</f>
        <v>11237.7</v>
      </c>
    </row>
    <row r="1328">
      <c r="A1328" s="3">
        <f>IFERROR(__xludf.DUMMYFUNCTION("""COMPUTED_VALUE"""),43930.66666666667)</f>
        <v>43930.66667</v>
      </c>
      <c r="B1328" s="2">
        <f>IFERROR(__xludf.DUMMYFUNCTION("""COMPUTED_VALUE"""),92.1)</f>
        <v>92.1</v>
      </c>
      <c r="D1328" s="3">
        <f>IFERROR(__xludf.DUMMYFUNCTION("""COMPUTED_VALUE"""),43930.66666666667)</f>
        <v>43930.66667</v>
      </c>
      <c r="E1328" s="2">
        <f>IFERROR(__xludf.DUMMYFUNCTION("""COMPUTED_VALUE"""),65.74)</f>
        <v>65.74</v>
      </c>
      <c r="G1328" s="3">
        <f>IFERROR(__xludf.DUMMYFUNCTION("""COMPUTED_VALUE"""),43653.99861111111)</f>
        <v>43653.99861</v>
      </c>
      <c r="H1328" s="2">
        <f>IFERROR(__xludf.DUMMYFUNCTION("""COMPUTED_VALUE"""),11474.4)</f>
        <v>11474.4</v>
      </c>
    </row>
    <row r="1329">
      <c r="A1329" s="3">
        <f>IFERROR(__xludf.DUMMYFUNCTION("""COMPUTED_VALUE"""),43934.66666666667)</f>
        <v>43934.66667</v>
      </c>
      <c r="B1329" s="2">
        <f>IFERROR(__xludf.DUMMYFUNCTION("""COMPUTED_VALUE"""),92.55)</f>
        <v>92.55</v>
      </c>
      <c r="D1329" s="3">
        <f>IFERROR(__xludf.DUMMYFUNCTION("""COMPUTED_VALUE"""),43934.66666666667)</f>
        <v>43934.66667</v>
      </c>
      <c r="E1329" s="2">
        <f>IFERROR(__xludf.DUMMYFUNCTION("""COMPUTED_VALUE"""),67.46)</f>
        <v>67.46</v>
      </c>
      <c r="G1329" s="3">
        <f>IFERROR(__xludf.DUMMYFUNCTION("""COMPUTED_VALUE"""),43654.99861111111)</f>
        <v>43654.99861</v>
      </c>
      <c r="H1329" s="2">
        <f>IFERROR(__xludf.DUMMYFUNCTION("""COMPUTED_VALUE"""),12293.5)</f>
        <v>12293.5</v>
      </c>
    </row>
    <row r="1330">
      <c r="A1330" s="3">
        <f>IFERROR(__xludf.DUMMYFUNCTION("""COMPUTED_VALUE"""),43935.66666666667)</f>
        <v>43935.66667</v>
      </c>
      <c r="B1330" s="2">
        <f>IFERROR(__xludf.DUMMYFUNCTION("""COMPUTED_VALUE"""),94.86)</f>
        <v>94.86</v>
      </c>
      <c r="D1330" s="3">
        <f>IFERROR(__xludf.DUMMYFUNCTION("""COMPUTED_VALUE"""),43935.66666666667)</f>
        <v>43935.66667</v>
      </c>
      <c r="E1330" s="2">
        <f>IFERROR(__xludf.DUMMYFUNCTION("""COMPUTED_VALUE"""),70.99)</f>
        <v>70.99</v>
      </c>
      <c r="G1330" s="3">
        <f>IFERROR(__xludf.DUMMYFUNCTION("""COMPUTED_VALUE"""),43655.99861111111)</f>
        <v>43655.99861</v>
      </c>
      <c r="H1330" s="2">
        <f>IFERROR(__xludf.DUMMYFUNCTION("""COMPUTED_VALUE"""),12561.0)</f>
        <v>12561</v>
      </c>
    </row>
    <row r="1331">
      <c r="A1331" s="3">
        <f>IFERROR(__xludf.DUMMYFUNCTION("""COMPUTED_VALUE"""),43936.66666666667)</f>
        <v>43936.66667</v>
      </c>
      <c r="B1331" s="2">
        <f>IFERROR(__xludf.DUMMYFUNCTION("""COMPUTED_VALUE"""),92.97)</f>
        <v>92.97</v>
      </c>
      <c r="D1331" s="3">
        <f>IFERROR(__xludf.DUMMYFUNCTION("""COMPUTED_VALUE"""),43936.66666666667)</f>
        <v>43936.66667</v>
      </c>
      <c r="E1331" s="2">
        <f>IFERROR(__xludf.DUMMYFUNCTION("""COMPUTED_VALUE"""),70.21)</f>
        <v>70.21</v>
      </c>
      <c r="G1331" s="3">
        <f>IFERROR(__xludf.DUMMYFUNCTION("""COMPUTED_VALUE"""),43656.99861111111)</f>
        <v>43656.99861</v>
      </c>
      <c r="H1331" s="2">
        <f>IFERROR(__xludf.DUMMYFUNCTION("""COMPUTED_VALUE"""),12097.9)</f>
        <v>12097.9</v>
      </c>
    </row>
    <row r="1332">
      <c r="A1332" s="3">
        <f>IFERROR(__xludf.DUMMYFUNCTION("""COMPUTED_VALUE"""),43937.66666666667)</f>
        <v>43937.66667</v>
      </c>
      <c r="B1332" s="2">
        <f>IFERROR(__xludf.DUMMYFUNCTION("""COMPUTED_VALUE"""),96.58)</f>
        <v>96.58</v>
      </c>
      <c r="D1332" s="3">
        <f>IFERROR(__xludf.DUMMYFUNCTION("""COMPUTED_VALUE"""),43937.66666666667)</f>
        <v>43937.66667</v>
      </c>
      <c r="E1332" s="2">
        <f>IFERROR(__xludf.DUMMYFUNCTION("""COMPUTED_VALUE"""),73.68)</f>
        <v>73.68</v>
      </c>
      <c r="G1332" s="3">
        <f>IFERROR(__xludf.DUMMYFUNCTION("""COMPUTED_VALUE"""),43657.99861111111)</f>
        <v>43657.99861</v>
      </c>
      <c r="H1332" s="2">
        <f>IFERROR(__xludf.DUMMYFUNCTION("""COMPUTED_VALUE"""),11349.0)</f>
        <v>11349</v>
      </c>
    </row>
    <row r="1333">
      <c r="A1333" s="3">
        <f>IFERROR(__xludf.DUMMYFUNCTION("""COMPUTED_VALUE"""),43938.66666666667)</f>
        <v>43938.66667</v>
      </c>
      <c r="B1333" s="2">
        <f>IFERROR(__xludf.DUMMYFUNCTION("""COMPUTED_VALUE"""),95.84)</f>
        <v>95.84</v>
      </c>
      <c r="D1333" s="3">
        <f>IFERROR(__xludf.DUMMYFUNCTION("""COMPUTED_VALUE"""),43938.66666666667)</f>
        <v>43938.66667</v>
      </c>
      <c r="E1333" s="2">
        <f>IFERROR(__xludf.DUMMYFUNCTION("""COMPUTED_VALUE"""),73.08)</f>
        <v>73.08</v>
      </c>
      <c r="G1333" s="3">
        <f>IFERROR(__xludf.DUMMYFUNCTION("""COMPUTED_VALUE"""),43658.99861111111)</f>
        <v>43658.99861</v>
      </c>
      <c r="H1333" s="2">
        <f>IFERROR(__xludf.DUMMYFUNCTION("""COMPUTED_VALUE"""),11802.0)</f>
        <v>11802</v>
      </c>
    </row>
    <row r="1334">
      <c r="A1334" s="3">
        <f>IFERROR(__xludf.DUMMYFUNCTION("""COMPUTED_VALUE"""),43941.66666666667)</f>
        <v>43941.66667</v>
      </c>
      <c r="B1334" s="2">
        <f>IFERROR(__xludf.DUMMYFUNCTION("""COMPUTED_VALUE"""),95.31)</f>
        <v>95.31</v>
      </c>
      <c r="D1334" s="3">
        <f>IFERROR(__xludf.DUMMYFUNCTION("""COMPUTED_VALUE"""),43941.66666666667)</f>
        <v>43941.66667</v>
      </c>
      <c r="E1334" s="2">
        <f>IFERROR(__xludf.DUMMYFUNCTION("""COMPUTED_VALUE"""),71.76)</f>
        <v>71.76</v>
      </c>
      <c r="G1334" s="3">
        <f>IFERROR(__xludf.DUMMYFUNCTION("""COMPUTED_VALUE"""),43659.99861111111)</f>
        <v>43659.99861</v>
      </c>
      <c r="H1334" s="2">
        <f>IFERROR(__xludf.DUMMYFUNCTION("""COMPUTED_VALUE"""),11370.1)</f>
        <v>11370.1</v>
      </c>
    </row>
    <row r="1335">
      <c r="A1335" s="3">
        <f>IFERROR(__xludf.DUMMYFUNCTION("""COMPUTED_VALUE"""),43942.66666666667)</f>
        <v>43942.66667</v>
      </c>
      <c r="B1335" s="2">
        <f>IFERROR(__xludf.DUMMYFUNCTION("""COMPUTED_VALUE"""),91.6)</f>
        <v>91.6</v>
      </c>
      <c r="D1335" s="3">
        <f>IFERROR(__xludf.DUMMYFUNCTION("""COMPUTED_VALUE"""),43942.66666666667)</f>
        <v>43942.66667</v>
      </c>
      <c r="E1335" s="2">
        <f>IFERROR(__xludf.DUMMYFUNCTION("""COMPUTED_VALUE"""),67.38)</f>
        <v>67.38</v>
      </c>
      <c r="G1335" s="3">
        <f>IFERROR(__xludf.DUMMYFUNCTION("""COMPUTED_VALUE"""),43660.99861111111)</f>
        <v>43660.99861</v>
      </c>
      <c r="H1335" s="2">
        <f>IFERROR(__xludf.DUMMYFUNCTION("""COMPUTED_VALUE"""),10195.6)</f>
        <v>10195.6</v>
      </c>
    </row>
    <row r="1336">
      <c r="A1336" s="3">
        <f>IFERROR(__xludf.DUMMYFUNCTION("""COMPUTED_VALUE"""),43943.66666666667)</f>
        <v>43943.66667</v>
      </c>
      <c r="B1336" s="2">
        <f>IFERROR(__xludf.DUMMYFUNCTION("""COMPUTED_VALUE"""),95.27)</f>
        <v>95.27</v>
      </c>
      <c r="D1336" s="3">
        <f>IFERROR(__xludf.DUMMYFUNCTION("""COMPUTED_VALUE"""),43943.66666666667)</f>
        <v>43943.66667</v>
      </c>
      <c r="E1336" s="2">
        <f>IFERROR(__xludf.DUMMYFUNCTION("""COMPUTED_VALUE"""),71.54)</f>
        <v>71.54</v>
      </c>
      <c r="G1336" s="3">
        <f>IFERROR(__xludf.DUMMYFUNCTION("""COMPUTED_VALUE"""),43661.99861111111)</f>
        <v>43661.99861</v>
      </c>
      <c r="H1336" s="2">
        <f>IFERROR(__xludf.DUMMYFUNCTION("""COMPUTED_VALUE"""),10854.4)</f>
        <v>10854.4</v>
      </c>
    </row>
    <row r="1337">
      <c r="A1337" s="3">
        <f>IFERROR(__xludf.DUMMYFUNCTION("""COMPUTED_VALUE"""),43944.66666666667)</f>
        <v>43944.66667</v>
      </c>
      <c r="B1337" s="2">
        <f>IFERROR(__xludf.DUMMYFUNCTION("""COMPUTED_VALUE"""),95.76)</f>
        <v>95.76</v>
      </c>
      <c r="D1337" s="3">
        <f>IFERROR(__xludf.DUMMYFUNCTION("""COMPUTED_VALUE"""),43944.66666666667)</f>
        <v>43944.66667</v>
      </c>
      <c r="E1337" s="2">
        <f>IFERROR(__xludf.DUMMYFUNCTION("""COMPUTED_VALUE"""),71.0)</f>
        <v>71</v>
      </c>
      <c r="G1337" s="3">
        <f>IFERROR(__xludf.DUMMYFUNCTION("""COMPUTED_VALUE"""),43662.99861111111)</f>
        <v>43662.99861</v>
      </c>
      <c r="H1337" s="2">
        <f>IFERROR(__xludf.DUMMYFUNCTION("""COMPUTED_VALUE"""),9422.71)</f>
        <v>9422.71</v>
      </c>
    </row>
    <row r="1338">
      <c r="A1338" s="3">
        <f>IFERROR(__xludf.DUMMYFUNCTION("""COMPUTED_VALUE"""),43945.66666666667)</f>
        <v>43945.66667</v>
      </c>
      <c r="B1338" s="2">
        <f>IFERROR(__xludf.DUMMYFUNCTION("""COMPUTED_VALUE"""),97.54)</f>
        <v>97.54</v>
      </c>
      <c r="D1338" s="3">
        <f>IFERROR(__xludf.DUMMYFUNCTION("""COMPUTED_VALUE"""),43945.66666666667)</f>
        <v>43945.66667</v>
      </c>
      <c r="E1338" s="2">
        <f>IFERROR(__xludf.DUMMYFUNCTION("""COMPUTED_VALUE"""),72.4)</f>
        <v>72.4</v>
      </c>
      <c r="G1338" s="3">
        <f>IFERROR(__xludf.DUMMYFUNCTION("""COMPUTED_VALUE"""),43663.99861111111)</f>
        <v>43663.99861</v>
      </c>
      <c r="H1338" s="2">
        <f>IFERROR(__xludf.DUMMYFUNCTION("""COMPUTED_VALUE"""),9696.31)</f>
        <v>9696.31</v>
      </c>
    </row>
    <row r="1339">
      <c r="A1339" s="3">
        <f>IFERROR(__xludf.DUMMYFUNCTION("""COMPUTED_VALUE"""),43948.66666666667)</f>
        <v>43948.66667</v>
      </c>
      <c r="B1339" s="2">
        <f>IFERROR(__xludf.DUMMYFUNCTION("""COMPUTED_VALUE"""),96.33)</f>
        <v>96.33</v>
      </c>
      <c r="D1339" s="3">
        <f>IFERROR(__xludf.DUMMYFUNCTION("""COMPUTED_VALUE"""),43948.66666666667)</f>
        <v>43948.66667</v>
      </c>
      <c r="E1339" s="2">
        <f>IFERROR(__xludf.DUMMYFUNCTION("""COMPUTED_VALUE"""),74.27)</f>
        <v>74.27</v>
      </c>
      <c r="G1339" s="3">
        <f>IFERROR(__xludf.DUMMYFUNCTION("""COMPUTED_VALUE"""),43664.99861111111)</f>
        <v>43664.99861</v>
      </c>
      <c r="H1339" s="2">
        <f>IFERROR(__xludf.DUMMYFUNCTION("""COMPUTED_VALUE"""),10651.4)</f>
        <v>10651.4</v>
      </c>
    </row>
    <row r="1340">
      <c r="A1340" s="3">
        <f>IFERROR(__xludf.DUMMYFUNCTION("""COMPUTED_VALUE"""),43949.66666666667)</f>
        <v>43949.66667</v>
      </c>
      <c r="B1340" s="2">
        <f>IFERROR(__xludf.DUMMYFUNCTION("""COMPUTED_VALUE"""),95.93)</f>
        <v>95.93</v>
      </c>
      <c r="D1340" s="3">
        <f>IFERROR(__xludf.DUMMYFUNCTION("""COMPUTED_VALUE"""),43949.66666666667)</f>
        <v>43949.66667</v>
      </c>
      <c r="E1340" s="2">
        <f>IFERROR(__xludf.DUMMYFUNCTION("""COMPUTED_VALUE"""),72.84)</f>
        <v>72.84</v>
      </c>
      <c r="G1340" s="3">
        <f>IFERROR(__xludf.DUMMYFUNCTION("""COMPUTED_VALUE"""),43665.99861111111)</f>
        <v>43665.99861</v>
      </c>
      <c r="H1340" s="2">
        <f>IFERROR(__xludf.DUMMYFUNCTION("""COMPUTED_VALUE"""),10518.5)</f>
        <v>10518.5</v>
      </c>
    </row>
    <row r="1341">
      <c r="A1341" s="3">
        <f>IFERROR(__xludf.DUMMYFUNCTION("""COMPUTED_VALUE"""),43950.66666666667)</f>
        <v>43950.66667</v>
      </c>
      <c r="B1341" s="2">
        <f>IFERROR(__xludf.DUMMYFUNCTION("""COMPUTED_VALUE"""),98.91)</f>
        <v>98.91</v>
      </c>
      <c r="D1341" s="3">
        <f>IFERROR(__xludf.DUMMYFUNCTION("""COMPUTED_VALUE"""),43950.66666666667)</f>
        <v>43950.66667</v>
      </c>
      <c r="E1341" s="2">
        <f>IFERROR(__xludf.DUMMYFUNCTION("""COMPUTED_VALUE"""),74.61)</f>
        <v>74.61</v>
      </c>
      <c r="G1341" s="3">
        <f>IFERROR(__xludf.DUMMYFUNCTION("""COMPUTED_VALUE"""),43666.99861111111)</f>
        <v>43666.99861</v>
      </c>
      <c r="H1341" s="2">
        <f>IFERROR(__xludf.DUMMYFUNCTION("""COMPUTED_VALUE"""),10761.0)</f>
        <v>10761</v>
      </c>
    </row>
    <row r="1342">
      <c r="A1342" s="3">
        <f>IFERROR(__xludf.DUMMYFUNCTION("""COMPUTED_VALUE"""),43951.66666666667)</f>
        <v>43951.66667</v>
      </c>
      <c r="B1342" s="2">
        <f>IFERROR(__xludf.DUMMYFUNCTION("""COMPUTED_VALUE"""),96.77)</f>
        <v>96.77</v>
      </c>
      <c r="D1342" s="3">
        <f>IFERROR(__xludf.DUMMYFUNCTION("""COMPUTED_VALUE"""),43951.66666666667)</f>
        <v>43951.66667</v>
      </c>
      <c r="E1342" s="2">
        <f>IFERROR(__xludf.DUMMYFUNCTION("""COMPUTED_VALUE"""),73.07)</f>
        <v>73.07</v>
      </c>
      <c r="G1342" s="3">
        <f>IFERROR(__xludf.DUMMYFUNCTION("""COMPUTED_VALUE"""),43667.99861111111)</f>
        <v>43667.99861</v>
      </c>
      <c r="H1342" s="2">
        <f>IFERROR(__xludf.DUMMYFUNCTION("""COMPUTED_VALUE"""),10590.7)</f>
        <v>10590.7</v>
      </c>
    </row>
    <row r="1343">
      <c r="A1343" s="3">
        <f>IFERROR(__xludf.DUMMYFUNCTION("""COMPUTED_VALUE"""),43952.66666666667)</f>
        <v>43952.66667</v>
      </c>
      <c r="B1343" s="2">
        <f>IFERROR(__xludf.DUMMYFUNCTION("""COMPUTED_VALUE"""),93.84)</f>
        <v>93.84</v>
      </c>
      <c r="D1343" s="3">
        <f>IFERROR(__xludf.DUMMYFUNCTION("""COMPUTED_VALUE"""),43952.66666666667)</f>
        <v>43952.66667</v>
      </c>
      <c r="E1343" s="2">
        <f>IFERROR(__xludf.DUMMYFUNCTION("""COMPUTED_VALUE"""),70.69)</f>
        <v>70.69</v>
      </c>
      <c r="G1343" s="3">
        <f>IFERROR(__xludf.DUMMYFUNCTION("""COMPUTED_VALUE"""),43668.99861111111)</f>
        <v>43668.99861</v>
      </c>
      <c r="H1343" s="2">
        <f>IFERROR(__xludf.DUMMYFUNCTION("""COMPUTED_VALUE"""),10323.3)</f>
        <v>10323.3</v>
      </c>
    </row>
    <row r="1344">
      <c r="A1344" s="3">
        <f>IFERROR(__xludf.DUMMYFUNCTION("""COMPUTED_VALUE"""),43955.66666666667)</f>
        <v>43955.66667</v>
      </c>
      <c r="B1344" s="2">
        <f>IFERROR(__xludf.DUMMYFUNCTION("""COMPUTED_VALUE"""),93.49)</f>
        <v>93.49</v>
      </c>
      <c r="D1344" s="3">
        <f>IFERROR(__xludf.DUMMYFUNCTION("""COMPUTED_VALUE"""),43955.66666666667)</f>
        <v>43955.66667</v>
      </c>
      <c r="E1344" s="2">
        <f>IFERROR(__xludf.DUMMYFUNCTION("""COMPUTED_VALUE"""),72.82)</f>
        <v>72.82</v>
      </c>
      <c r="G1344" s="3">
        <f>IFERROR(__xludf.DUMMYFUNCTION("""COMPUTED_VALUE"""),43669.99861111111)</f>
        <v>43669.99861</v>
      </c>
      <c r="H1344" s="2">
        <f>IFERROR(__xludf.DUMMYFUNCTION("""COMPUTED_VALUE"""),9840.12)</f>
        <v>9840.12</v>
      </c>
    </row>
    <row r="1345">
      <c r="A1345" s="3">
        <f>IFERROR(__xludf.DUMMYFUNCTION("""COMPUTED_VALUE"""),43956.66666666667)</f>
        <v>43956.66667</v>
      </c>
      <c r="B1345" s="2">
        <f>IFERROR(__xludf.DUMMYFUNCTION("""COMPUTED_VALUE"""),96.02)</f>
        <v>96.02</v>
      </c>
      <c r="D1345" s="3">
        <f>IFERROR(__xludf.DUMMYFUNCTION("""COMPUTED_VALUE"""),43956.66666666667)</f>
        <v>43956.66667</v>
      </c>
      <c r="E1345" s="2">
        <f>IFERROR(__xludf.DUMMYFUNCTION("""COMPUTED_VALUE"""),73.44)</f>
        <v>73.44</v>
      </c>
      <c r="G1345" s="3">
        <f>IFERROR(__xludf.DUMMYFUNCTION("""COMPUTED_VALUE"""),43670.99861111111)</f>
        <v>43670.99861</v>
      </c>
      <c r="H1345" s="2">
        <f>IFERROR(__xludf.DUMMYFUNCTION("""COMPUTED_VALUE"""),9767.87)</f>
        <v>9767.87</v>
      </c>
    </row>
    <row r="1346">
      <c r="A1346" s="3">
        <f>IFERROR(__xludf.DUMMYFUNCTION("""COMPUTED_VALUE"""),43957.66666666667)</f>
        <v>43957.66667</v>
      </c>
      <c r="B1346" s="2">
        <f>IFERROR(__xludf.DUMMYFUNCTION("""COMPUTED_VALUE"""),98.89)</f>
        <v>98.89</v>
      </c>
      <c r="D1346" s="3">
        <f>IFERROR(__xludf.DUMMYFUNCTION("""COMPUTED_VALUE"""),43957.66666666667)</f>
        <v>43957.66667</v>
      </c>
      <c r="E1346" s="2">
        <f>IFERROR(__xludf.DUMMYFUNCTION("""COMPUTED_VALUE"""),74.45)</f>
        <v>74.45</v>
      </c>
      <c r="G1346" s="3">
        <f>IFERROR(__xludf.DUMMYFUNCTION("""COMPUTED_VALUE"""),43671.99861111111)</f>
        <v>43671.99861</v>
      </c>
      <c r="H1346" s="2">
        <f>IFERROR(__xludf.DUMMYFUNCTION("""COMPUTED_VALUE"""),9883.34)</f>
        <v>9883.34</v>
      </c>
    </row>
    <row r="1347">
      <c r="A1347" s="3">
        <f>IFERROR(__xludf.DUMMYFUNCTION("""COMPUTED_VALUE"""),43958.66666666667)</f>
        <v>43958.66667</v>
      </c>
      <c r="B1347" s="2">
        <f>IFERROR(__xludf.DUMMYFUNCTION("""COMPUTED_VALUE"""),96.99)</f>
        <v>96.99</v>
      </c>
      <c r="D1347" s="3">
        <f>IFERROR(__xludf.DUMMYFUNCTION("""COMPUTED_VALUE"""),43958.66666666667)</f>
        <v>43958.66667</v>
      </c>
      <c r="E1347" s="2">
        <f>IFERROR(__xludf.DUMMYFUNCTION("""COMPUTED_VALUE"""),76.22)</f>
        <v>76.22</v>
      </c>
      <c r="G1347" s="3">
        <f>IFERROR(__xludf.DUMMYFUNCTION("""COMPUTED_VALUE"""),43672.99861111111)</f>
        <v>43672.99861</v>
      </c>
      <c r="H1347" s="2">
        <f>IFERROR(__xludf.DUMMYFUNCTION("""COMPUTED_VALUE"""),9843.0)</f>
        <v>9843</v>
      </c>
    </row>
    <row r="1348">
      <c r="A1348" s="3">
        <f>IFERROR(__xludf.DUMMYFUNCTION("""COMPUTED_VALUE"""),43959.66666666667)</f>
        <v>43959.66667</v>
      </c>
      <c r="B1348" s="2">
        <f>IFERROR(__xludf.DUMMYFUNCTION("""COMPUTED_VALUE"""),100.69)</f>
        <v>100.69</v>
      </c>
      <c r="D1348" s="3">
        <f>IFERROR(__xludf.DUMMYFUNCTION("""COMPUTED_VALUE"""),43959.66666666667)</f>
        <v>43959.66667</v>
      </c>
      <c r="E1348" s="2">
        <f>IFERROR(__xludf.DUMMYFUNCTION("""COMPUTED_VALUE"""),78.13)</f>
        <v>78.13</v>
      </c>
      <c r="G1348" s="3">
        <f>IFERROR(__xludf.DUMMYFUNCTION("""COMPUTED_VALUE"""),43673.99861111111)</f>
        <v>43673.99861</v>
      </c>
      <c r="H1348" s="2">
        <f>IFERROR(__xludf.DUMMYFUNCTION("""COMPUTED_VALUE"""),9479.98)</f>
        <v>9479.98</v>
      </c>
    </row>
    <row r="1349">
      <c r="A1349" s="3">
        <f>IFERROR(__xludf.DUMMYFUNCTION("""COMPUTED_VALUE"""),43962.66666666667)</f>
        <v>43962.66667</v>
      </c>
      <c r="B1349" s="2">
        <f>IFERROR(__xludf.DUMMYFUNCTION("""COMPUTED_VALUE"""),101.07)</f>
        <v>101.07</v>
      </c>
      <c r="D1349" s="3">
        <f>IFERROR(__xludf.DUMMYFUNCTION("""COMPUTED_VALUE"""),43962.66666666667)</f>
        <v>43962.66667</v>
      </c>
      <c r="E1349" s="2">
        <f>IFERROR(__xludf.DUMMYFUNCTION("""COMPUTED_VALUE"""),80.66)</f>
        <v>80.66</v>
      </c>
      <c r="G1349" s="3">
        <f>IFERROR(__xludf.DUMMYFUNCTION("""COMPUTED_VALUE"""),43674.99861111111)</f>
        <v>43674.99861</v>
      </c>
      <c r="H1349" s="2">
        <f>IFERROR(__xludf.DUMMYFUNCTION("""COMPUTED_VALUE"""),9532.99)</f>
        <v>9532.99</v>
      </c>
    </row>
    <row r="1350">
      <c r="A1350" s="3">
        <f>IFERROR(__xludf.DUMMYFUNCTION("""COMPUTED_VALUE"""),43963.66666666667)</f>
        <v>43963.66667</v>
      </c>
      <c r="B1350" s="2">
        <f>IFERROR(__xludf.DUMMYFUNCTION("""COMPUTED_VALUE"""),99.01)</f>
        <v>99.01</v>
      </c>
      <c r="D1350" s="3">
        <f>IFERROR(__xludf.DUMMYFUNCTION("""COMPUTED_VALUE"""),43963.66666666667)</f>
        <v>43963.66667</v>
      </c>
      <c r="E1350" s="2">
        <f>IFERROR(__xludf.DUMMYFUNCTION("""COMPUTED_VALUE"""),78.03)</f>
        <v>78.03</v>
      </c>
      <c r="G1350" s="3">
        <f>IFERROR(__xludf.DUMMYFUNCTION("""COMPUTED_VALUE"""),43675.99861111111)</f>
        <v>43675.99861</v>
      </c>
      <c r="H1350" s="2">
        <f>IFERROR(__xludf.DUMMYFUNCTION("""COMPUTED_VALUE"""),9495.0)</f>
        <v>9495</v>
      </c>
    </row>
    <row r="1351">
      <c r="A1351" s="3">
        <f>IFERROR(__xludf.DUMMYFUNCTION("""COMPUTED_VALUE"""),43964.66666666667)</f>
        <v>43964.66667</v>
      </c>
      <c r="B1351" s="2">
        <f>IFERROR(__xludf.DUMMYFUNCTION("""COMPUTED_VALUE"""),97.56)</f>
        <v>97.56</v>
      </c>
      <c r="D1351" s="3">
        <f>IFERROR(__xludf.DUMMYFUNCTION("""COMPUTED_VALUE"""),43964.66666666667)</f>
        <v>43964.66667</v>
      </c>
      <c r="E1351" s="2">
        <f>IFERROR(__xludf.DUMMYFUNCTION("""COMPUTED_VALUE"""),77.8)</f>
        <v>77.8</v>
      </c>
      <c r="G1351" s="3">
        <f>IFERROR(__xludf.DUMMYFUNCTION("""COMPUTED_VALUE"""),43676.99861111111)</f>
        <v>43676.99861</v>
      </c>
      <c r="H1351" s="2">
        <f>IFERROR(__xludf.DUMMYFUNCTION("""COMPUTED_VALUE"""),9589.01)</f>
        <v>9589.01</v>
      </c>
    </row>
    <row r="1352">
      <c r="A1352" s="3">
        <f>IFERROR(__xludf.DUMMYFUNCTION("""COMPUTED_VALUE"""),43965.66666666667)</f>
        <v>43965.66667</v>
      </c>
      <c r="B1352" s="2">
        <f>IFERROR(__xludf.DUMMYFUNCTION("""COMPUTED_VALUE"""),98.7)</f>
        <v>98.7</v>
      </c>
      <c r="D1352" s="3">
        <f>IFERROR(__xludf.DUMMYFUNCTION("""COMPUTED_VALUE"""),43965.66666666667)</f>
        <v>43965.66667</v>
      </c>
      <c r="E1352" s="2">
        <f>IFERROR(__xludf.DUMMYFUNCTION("""COMPUTED_VALUE"""),80.31)</f>
        <v>80.31</v>
      </c>
      <c r="G1352" s="3">
        <f>IFERROR(__xludf.DUMMYFUNCTION("""COMPUTED_VALUE"""),43677.99861111111)</f>
        <v>43677.99861</v>
      </c>
      <c r="H1352" s="2">
        <f>IFERROR(__xludf.DUMMYFUNCTION("""COMPUTED_VALUE"""),10086.3)</f>
        <v>10086.3</v>
      </c>
    </row>
    <row r="1353">
      <c r="A1353" s="3">
        <f>IFERROR(__xludf.DUMMYFUNCTION("""COMPUTED_VALUE"""),43966.66666666667)</f>
        <v>43966.66667</v>
      </c>
      <c r="B1353" s="2">
        <f>IFERROR(__xludf.DUMMYFUNCTION("""COMPUTED_VALUE"""),94.78)</f>
        <v>94.78</v>
      </c>
      <c r="D1353" s="3">
        <f>IFERROR(__xludf.DUMMYFUNCTION("""COMPUTED_VALUE"""),43966.66666666667)</f>
        <v>43966.66667</v>
      </c>
      <c r="E1353" s="2">
        <f>IFERROR(__xludf.DUMMYFUNCTION("""COMPUTED_VALUE"""),84.91)</f>
        <v>84.91</v>
      </c>
      <c r="G1353" s="3">
        <f>IFERROR(__xludf.DUMMYFUNCTION("""COMPUTED_VALUE"""),43678.99861111111)</f>
        <v>43678.99861</v>
      </c>
      <c r="H1353" s="2">
        <f>IFERROR(__xludf.DUMMYFUNCTION("""COMPUTED_VALUE"""),10405.9)</f>
        <v>10405.9</v>
      </c>
    </row>
    <row r="1354">
      <c r="A1354" s="3">
        <f>IFERROR(__xludf.DUMMYFUNCTION("""COMPUTED_VALUE"""),43969.66666666667)</f>
        <v>43969.66667</v>
      </c>
      <c r="B1354" s="2">
        <f>IFERROR(__xludf.DUMMYFUNCTION("""COMPUTED_VALUE"""),96.85)</f>
        <v>96.85</v>
      </c>
      <c r="D1354" s="3">
        <f>IFERROR(__xludf.DUMMYFUNCTION("""COMPUTED_VALUE"""),43969.66666666667)</f>
        <v>43969.66667</v>
      </c>
      <c r="E1354" s="2">
        <f>IFERROR(__xludf.DUMMYFUNCTION("""COMPUTED_VALUE"""),87.5)</f>
        <v>87.5</v>
      </c>
      <c r="G1354" s="3">
        <f>IFERROR(__xludf.DUMMYFUNCTION("""COMPUTED_VALUE"""),43679.99861111111)</f>
        <v>43679.99861</v>
      </c>
      <c r="H1354" s="2">
        <f>IFERROR(__xludf.DUMMYFUNCTION("""COMPUTED_VALUE"""),10533.0)</f>
        <v>10533</v>
      </c>
    </row>
    <row r="1355">
      <c r="A1355" s="3">
        <f>IFERROR(__xludf.DUMMYFUNCTION("""COMPUTED_VALUE"""),43970.66666666667)</f>
        <v>43970.66667</v>
      </c>
      <c r="B1355" s="2">
        <f>IFERROR(__xludf.DUMMYFUNCTION("""COMPUTED_VALUE"""),96.0)</f>
        <v>96</v>
      </c>
      <c r="D1355" s="3">
        <f>IFERROR(__xludf.DUMMYFUNCTION("""COMPUTED_VALUE"""),43970.66666666667)</f>
        <v>43970.66667</v>
      </c>
      <c r="E1355" s="2">
        <f>IFERROR(__xludf.DUMMYFUNCTION("""COMPUTED_VALUE"""),88.06)</f>
        <v>88.06</v>
      </c>
      <c r="G1355" s="3">
        <f>IFERROR(__xludf.DUMMYFUNCTION("""COMPUTED_VALUE"""),43680.99861111111)</f>
        <v>43680.99861</v>
      </c>
      <c r="H1355" s="2">
        <f>IFERROR(__xludf.DUMMYFUNCTION("""COMPUTED_VALUE"""),10820.7)</f>
        <v>10820.7</v>
      </c>
    </row>
    <row r="1356">
      <c r="A1356" s="3">
        <f>IFERROR(__xludf.DUMMYFUNCTION("""COMPUTED_VALUE"""),43971.66666666667)</f>
        <v>43971.66667</v>
      </c>
      <c r="B1356" s="2">
        <f>IFERROR(__xludf.DUMMYFUNCTION("""COMPUTED_VALUE"""),102.92)</f>
        <v>102.92</v>
      </c>
      <c r="D1356" s="3">
        <f>IFERROR(__xludf.DUMMYFUNCTION("""COMPUTED_VALUE"""),43971.66666666667)</f>
        <v>43971.66667</v>
      </c>
      <c r="E1356" s="2">
        <f>IFERROR(__xludf.DUMMYFUNCTION("""COMPUTED_VALUE"""),89.7)</f>
        <v>89.7</v>
      </c>
      <c r="G1356" s="3">
        <f>IFERROR(__xludf.DUMMYFUNCTION("""COMPUTED_VALUE"""),43681.99861111111)</f>
        <v>43681.99861</v>
      </c>
      <c r="H1356" s="2">
        <f>IFERROR(__xludf.DUMMYFUNCTION("""COMPUTED_VALUE"""),10977.5)</f>
        <v>10977.5</v>
      </c>
    </row>
    <row r="1357">
      <c r="A1357" s="3">
        <f>IFERROR(__xludf.DUMMYFUNCTION("""COMPUTED_VALUE"""),43972.66666666667)</f>
        <v>43972.66667</v>
      </c>
      <c r="B1357" s="2">
        <f>IFERROR(__xludf.DUMMYFUNCTION("""COMPUTED_VALUE"""),99.99)</f>
        <v>99.99</v>
      </c>
      <c r="D1357" s="3">
        <f>IFERROR(__xludf.DUMMYFUNCTION("""COMPUTED_VALUE"""),43972.66666666667)</f>
        <v>43972.66667</v>
      </c>
      <c r="E1357" s="2">
        <f>IFERROR(__xludf.DUMMYFUNCTION("""COMPUTED_VALUE"""),87.75)</f>
        <v>87.75</v>
      </c>
      <c r="G1357" s="3">
        <f>IFERROR(__xludf.DUMMYFUNCTION("""COMPUTED_VALUE"""),43682.99861111111)</f>
        <v>43682.99861</v>
      </c>
      <c r="H1357" s="2">
        <f>IFERROR(__xludf.DUMMYFUNCTION("""COMPUTED_VALUE"""),11819.4)</f>
        <v>11819.4</v>
      </c>
    </row>
    <row r="1358">
      <c r="A1358" s="3">
        <f>IFERROR(__xludf.DUMMYFUNCTION("""COMPUTED_VALUE"""),43973.66666666667)</f>
        <v>43973.66667</v>
      </c>
      <c r="B1358" s="2">
        <f>IFERROR(__xludf.DUMMYFUNCTION("""COMPUTED_VALUE"""),102.06)</f>
        <v>102.06</v>
      </c>
      <c r="D1358" s="3">
        <f>IFERROR(__xludf.DUMMYFUNCTION("""COMPUTED_VALUE"""),43973.66666666667)</f>
        <v>43973.66667</v>
      </c>
      <c r="E1358" s="2">
        <f>IFERROR(__xludf.DUMMYFUNCTION("""COMPUTED_VALUE"""),90.26)</f>
        <v>90.26</v>
      </c>
      <c r="G1358" s="3">
        <f>IFERROR(__xludf.DUMMYFUNCTION("""COMPUTED_VALUE"""),43683.99861111111)</f>
        <v>43683.99861</v>
      </c>
      <c r="H1358" s="2">
        <f>IFERROR(__xludf.DUMMYFUNCTION("""COMPUTED_VALUE"""),11465.4)</f>
        <v>11465.4</v>
      </c>
    </row>
    <row r="1359">
      <c r="A1359" s="3">
        <f>IFERROR(__xludf.DUMMYFUNCTION("""COMPUTED_VALUE"""),43977.66666666667)</f>
        <v>43977.66667</v>
      </c>
      <c r="B1359" s="2">
        <f>IFERROR(__xludf.DUMMYFUNCTION("""COMPUTED_VALUE"""),103.4)</f>
        <v>103.4</v>
      </c>
      <c r="D1359" s="3">
        <f>IFERROR(__xludf.DUMMYFUNCTION("""COMPUTED_VALUE"""),43977.66666666667)</f>
        <v>43977.66667</v>
      </c>
      <c r="E1359" s="2">
        <f>IFERROR(__xludf.DUMMYFUNCTION("""COMPUTED_VALUE"""),87.18)</f>
        <v>87.18</v>
      </c>
      <c r="G1359" s="3">
        <f>IFERROR(__xludf.DUMMYFUNCTION("""COMPUTED_VALUE"""),43684.99861111111)</f>
        <v>43684.99861</v>
      </c>
      <c r="H1359" s="2">
        <f>IFERROR(__xludf.DUMMYFUNCTION("""COMPUTED_VALUE"""),11983.7)</f>
        <v>11983.7</v>
      </c>
    </row>
    <row r="1360">
      <c r="A1360" s="3">
        <f>IFERROR(__xludf.DUMMYFUNCTION("""COMPUTED_VALUE"""),43978.66666666667)</f>
        <v>43978.66667</v>
      </c>
      <c r="B1360" s="2">
        <f>IFERROR(__xludf.DUMMYFUNCTION("""COMPUTED_VALUE"""),101.74)</f>
        <v>101.74</v>
      </c>
      <c r="D1360" s="3">
        <f>IFERROR(__xludf.DUMMYFUNCTION("""COMPUTED_VALUE"""),43978.66666666667)</f>
        <v>43978.66667</v>
      </c>
      <c r="E1360" s="2">
        <f>IFERROR(__xludf.DUMMYFUNCTION("""COMPUTED_VALUE"""),85.25)</f>
        <v>85.25</v>
      </c>
      <c r="G1360" s="3">
        <f>IFERROR(__xludf.DUMMYFUNCTION("""COMPUTED_VALUE"""),43685.99861111111)</f>
        <v>43685.99861</v>
      </c>
      <c r="H1360" s="2">
        <f>IFERROR(__xludf.DUMMYFUNCTION("""COMPUTED_VALUE"""),11982.4)</f>
        <v>11982.4</v>
      </c>
    </row>
    <row r="1361">
      <c r="A1361" s="3">
        <f>IFERROR(__xludf.DUMMYFUNCTION("""COMPUTED_VALUE"""),43979.66666666667)</f>
        <v>43979.66667</v>
      </c>
      <c r="B1361" s="2">
        <f>IFERROR(__xludf.DUMMYFUNCTION("""COMPUTED_VALUE"""),103.64)</f>
        <v>103.64</v>
      </c>
      <c r="D1361" s="3">
        <f>IFERROR(__xludf.DUMMYFUNCTION("""COMPUTED_VALUE"""),43979.66666666667)</f>
        <v>43979.66667</v>
      </c>
      <c r="E1361" s="2">
        <f>IFERROR(__xludf.DUMMYFUNCTION("""COMPUTED_VALUE"""),84.87)</f>
        <v>84.87</v>
      </c>
      <c r="G1361" s="3">
        <f>IFERROR(__xludf.DUMMYFUNCTION("""COMPUTED_VALUE"""),43686.99861111111)</f>
        <v>43686.99861</v>
      </c>
      <c r="H1361" s="2">
        <f>IFERROR(__xludf.DUMMYFUNCTION("""COMPUTED_VALUE"""),11856.1)</f>
        <v>11856.1</v>
      </c>
    </row>
    <row r="1362">
      <c r="A1362" s="3">
        <f>IFERROR(__xludf.DUMMYFUNCTION("""COMPUTED_VALUE"""),43980.66666666667)</f>
        <v>43980.66667</v>
      </c>
      <c r="B1362" s="2">
        <f>IFERROR(__xludf.DUMMYFUNCTION("""COMPUTED_VALUE"""),108.13)</f>
        <v>108.13</v>
      </c>
      <c r="D1362" s="3">
        <f>IFERROR(__xludf.DUMMYFUNCTION("""COMPUTED_VALUE"""),43980.66666666667)</f>
        <v>43980.66667</v>
      </c>
      <c r="E1362" s="2">
        <f>IFERROR(__xludf.DUMMYFUNCTION("""COMPUTED_VALUE"""),88.76)</f>
        <v>88.76</v>
      </c>
      <c r="G1362" s="3">
        <f>IFERROR(__xludf.DUMMYFUNCTION("""COMPUTED_VALUE"""),43687.99861111111)</f>
        <v>43687.99861</v>
      </c>
      <c r="H1362" s="2">
        <f>IFERROR(__xludf.DUMMYFUNCTION("""COMPUTED_VALUE"""),11280.9)</f>
        <v>11280.9</v>
      </c>
    </row>
    <row r="1363">
      <c r="A1363" s="3">
        <f>IFERROR(__xludf.DUMMYFUNCTION("""COMPUTED_VALUE"""),43983.66666666667)</f>
        <v>43983.66667</v>
      </c>
      <c r="B1363" s="2">
        <f>IFERROR(__xludf.DUMMYFUNCTION("""COMPUTED_VALUE"""),106.93)</f>
        <v>106.93</v>
      </c>
      <c r="D1363" s="3">
        <f>IFERROR(__xludf.DUMMYFUNCTION("""COMPUTED_VALUE"""),43983.66666666667)</f>
        <v>43983.66667</v>
      </c>
      <c r="E1363" s="2">
        <f>IFERROR(__xludf.DUMMYFUNCTION("""COMPUTED_VALUE"""),88.06)</f>
        <v>88.06</v>
      </c>
      <c r="G1363" s="3">
        <f>IFERROR(__xludf.DUMMYFUNCTION("""COMPUTED_VALUE"""),43688.99861111111)</f>
        <v>43688.99861</v>
      </c>
      <c r="H1363" s="2">
        <f>IFERROR(__xludf.DUMMYFUNCTION("""COMPUTED_VALUE"""),11540.7)</f>
        <v>11540.7</v>
      </c>
    </row>
    <row r="1364">
      <c r="A1364" s="3">
        <f>IFERROR(__xludf.DUMMYFUNCTION("""COMPUTED_VALUE"""),43984.66666666667)</f>
        <v>43984.66667</v>
      </c>
      <c r="B1364" s="2">
        <f>IFERROR(__xludf.DUMMYFUNCTION("""COMPUTED_VALUE"""),106.31)</f>
        <v>106.31</v>
      </c>
      <c r="D1364" s="3">
        <f>IFERROR(__xludf.DUMMYFUNCTION("""COMPUTED_VALUE"""),43984.66666666667)</f>
        <v>43984.66667</v>
      </c>
      <c r="E1364" s="2">
        <f>IFERROR(__xludf.DUMMYFUNCTION("""COMPUTED_VALUE"""),88.25)</f>
        <v>88.25</v>
      </c>
      <c r="G1364" s="3">
        <f>IFERROR(__xludf.DUMMYFUNCTION("""COMPUTED_VALUE"""),43689.99861111111)</f>
        <v>43689.99861</v>
      </c>
      <c r="H1364" s="2">
        <f>IFERROR(__xludf.DUMMYFUNCTION("""COMPUTED_VALUE"""),11389.3)</f>
        <v>11389.3</v>
      </c>
    </row>
    <row r="1365">
      <c r="A1365" s="3">
        <f>IFERROR(__xludf.DUMMYFUNCTION("""COMPUTED_VALUE"""),43985.66666666667)</f>
        <v>43985.66667</v>
      </c>
      <c r="B1365" s="2">
        <f>IFERROR(__xludf.DUMMYFUNCTION("""COMPUTED_VALUE"""),106.54)</f>
        <v>106.54</v>
      </c>
      <c r="D1365" s="3">
        <f>IFERROR(__xludf.DUMMYFUNCTION("""COMPUTED_VALUE"""),43985.66666666667)</f>
        <v>43985.66667</v>
      </c>
      <c r="E1365" s="2">
        <f>IFERROR(__xludf.DUMMYFUNCTION("""COMPUTED_VALUE"""),87.7)</f>
        <v>87.7</v>
      </c>
      <c r="G1365" s="3">
        <f>IFERROR(__xludf.DUMMYFUNCTION("""COMPUTED_VALUE"""),43690.99861111111)</f>
        <v>43690.99861</v>
      </c>
      <c r="H1365" s="2">
        <f>IFERROR(__xludf.DUMMYFUNCTION("""COMPUTED_VALUE"""),10868.5)</f>
        <v>10868.5</v>
      </c>
    </row>
    <row r="1366">
      <c r="A1366" s="3">
        <f>IFERROR(__xludf.DUMMYFUNCTION("""COMPUTED_VALUE"""),43986.66666666667)</f>
        <v>43986.66667</v>
      </c>
      <c r="B1366" s="2">
        <f>IFERROR(__xludf.DUMMYFUNCTION("""COMPUTED_VALUE"""),102.38)</f>
        <v>102.38</v>
      </c>
      <c r="D1366" s="3">
        <f>IFERROR(__xludf.DUMMYFUNCTION("""COMPUTED_VALUE"""),43986.66666666667)</f>
        <v>43986.66667</v>
      </c>
      <c r="E1366" s="2">
        <f>IFERROR(__xludf.DUMMYFUNCTION("""COMPUTED_VALUE"""),87.67)</f>
        <v>87.67</v>
      </c>
      <c r="G1366" s="3">
        <f>IFERROR(__xludf.DUMMYFUNCTION("""COMPUTED_VALUE"""),43691.99861111111)</f>
        <v>43691.99861</v>
      </c>
      <c r="H1366" s="2">
        <f>IFERROR(__xludf.DUMMYFUNCTION("""COMPUTED_VALUE"""),9971.71)</f>
        <v>9971.71</v>
      </c>
    </row>
    <row r="1367">
      <c r="A1367" s="3">
        <f>IFERROR(__xludf.DUMMYFUNCTION("""COMPUTED_VALUE"""),43987.66666666667)</f>
        <v>43987.66667</v>
      </c>
      <c r="B1367" s="2">
        <f>IFERROR(__xludf.DUMMYFUNCTION("""COMPUTED_VALUE"""),106.41)</f>
        <v>106.41</v>
      </c>
      <c r="D1367" s="3">
        <f>IFERROR(__xludf.DUMMYFUNCTION("""COMPUTED_VALUE"""),43987.66666666667)</f>
        <v>43987.66667</v>
      </c>
      <c r="E1367" s="2">
        <f>IFERROR(__xludf.DUMMYFUNCTION("""COMPUTED_VALUE"""),89.2)</f>
        <v>89.2</v>
      </c>
      <c r="G1367" s="3">
        <f>IFERROR(__xludf.DUMMYFUNCTION("""COMPUTED_VALUE"""),43692.99861111111)</f>
        <v>43692.99861</v>
      </c>
      <c r="H1367" s="2">
        <f>IFERROR(__xludf.DUMMYFUNCTION("""COMPUTED_VALUE"""),10300.0)</f>
        <v>10300</v>
      </c>
    </row>
    <row r="1368">
      <c r="A1368" s="3">
        <f>IFERROR(__xludf.DUMMYFUNCTION("""COMPUTED_VALUE"""),43990.66666666667)</f>
        <v>43990.66667</v>
      </c>
      <c r="B1368" s="2">
        <f>IFERROR(__xludf.DUMMYFUNCTION("""COMPUTED_VALUE"""),102.87)</f>
        <v>102.87</v>
      </c>
      <c r="D1368" s="3">
        <f>IFERROR(__xludf.DUMMYFUNCTION("""COMPUTED_VALUE"""),43990.66666666667)</f>
        <v>43990.66667</v>
      </c>
      <c r="E1368" s="2">
        <f>IFERROR(__xludf.DUMMYFUNCTION("""COMPUTED_VALUE"""),88.05)</f>
        <v>88.05</v>
      </c>
      <c r="G1368" s="3">
        <f>IFERROR(__xludf.DUMMYFUNCTION("""COMPUTED_VALUE"""),43693.99861111111)</f>
        <v>43693.99861</v>
      </c>
      <c r="H1368" s="2">
        <f>IFERROR(__xludf.DUMMYFUNCTION("""COMPUTED_VALUE"""),10352.7)</f>
        <v>10352.7</v>
      </c>
    </row>
    <row r="1369">
      <c r="A1369" s="3">
        <f>IFERROR(__xludf.DUMMYFUNCTION("""COMPUTED_VALUE"""),43991.66666666667)</f>
        <v>43991.66667</v>
      </c>
      <c r="B1369" s="2">
        <f>IFERROR(__xludf.DUMMYFUNCTION("""COMPUTED_VALUE"""),103.11)</f>
        <v>103.11</v>
      </c>
      <c r="D1369" s="3">
        <f>IFERROR(__xludf.DUMMYFUNCTION("""COMPUTED_VALUE"""),43991.66666666667)</f>
        <v>43991.66667</v>
      </c>
      <c r="E1369" s="2">
        <f>IFERROR(__xludf.DUMMYFUNCTION("""COMPUTED_VALUE"""),90.46)</f>
        <v>90.46</v>
      </c>
      <c r="G1369" s="3">
        <f>IFERROR(__xludf.DUMMYFUNCTION("""COMPUTED_VALUE"""),43694.99861111111)</f>
        <v>43694.99861</v>
      </c>
      <c r="H1369" s="2">
        <f>IFERROR(__xludf.DUMMYFUNCTION("""COMPUTED_VALUE"""),10215.2)</f>
        <v>10215.2</v>
      </c>
    </row>
    <row r="1370">
      <c r="A1370" s="3">
        <f>IFERROR(__xludf.DUMMYFUNCTION("""COMPUTED_VALUE"""),43992.66666666667)</f>
        <v>43992.66667</v>
      </c>
      <c r="B1370" s="2">
        <f>IFERROR(__xludf.DUMMYFUNCTION("""COMPUTED_VALUE"""),103.49)</f>
        <v>103.49</v>
      </c>
      <c r="D1370" s="3">
        <f>IFERROR(__xludf.DUMMYFUNCTION("""COMPUTED_VALUE"""),43992.66666666667)</f>
        <v>43992.66667</v>
      </c>
      <c r="E1370" s="2">
        <f>IFERROR(__xludf.DUMMYFUNCTION("""COMPUTED_VALUE"""),93.67)</f>
        <v>93.67</v>
      </c>
      <c r="G1370" s="3">
        <f>IFERROR(__xludf.DUMMYFUNCTION("""COMPUTED_VALUE"""),43695.99861111111)</f>
        <v>43695.99861</v>
      </c>
      <c r="H1370" s="2">
        <f>IFERROR(__xludf.DUMMYFUNCTION("""COMPUTED_VALUE"""),10315.4)</f>
        <v>10315.4</v>
      </c>
    </row>
    <row r="1371">
      <c r="A1371" s="3">
        <f>IFERROR(__xludf.DUMMYFUNCTION("""COMPUTED_VALUE"""),43993.66666666667)</f>
        <v>43993.66667</v>
      </c>
      <c r="B1371" s="2">
        <f>IFERROR(__xludf.DUMMYFUNCTION("""COMPUTED_VALUE"""),97.82)</f>
        <v>97.82</v>
      </c>
      <c r="D1371" s="3">
        <f>IFERROR(__xludf.DUMMYFUNCTION("""COMPUTED_VALUE"""),43993.66666666667)</f>
        <v>43993.66667</v>
      </c>
      <c r="E1371" s="2">
        <f>IFERROR(__xludf.DUMMYFUNCTION("""COMPUTED_VALUE"""),87.96)</f>
        <v>87.96</v>
      </c>
      <c r="G1371" s="3">
        <f>IFERROR(__xludf.DUMMYFUNCTION("""COMPUTED_VALUE"""),43696.99861111111)</f>
        <v>43696.99861</v>
      </c>
      <c r="H1371" s="2">
        <f>IFERROR(__xludf.DUMMYFUNCTION("""COMPUTED_VALUE"""),10920.0)</f>
        <v>10920</v>
      </c>
    </row>
    <row r="1372">
      <c r="A1372" s="3">
        <f>IFERROR(__xludf.DUMMYFUNCTION("""COMPUTED_VALUE"""),43994.66666666667)</f>
        <v>43994.66667</v>
      </c>
      <c r="B1372" s="2">
        <f>IFERROR(__xludf.DUMMYFUNCTION("""COMPUTED_VALUE"""),95.67)</f>
        <v>95.67</v>
      </c>
      <c r="D1372" s="3">
        <f>IFERROR(__xludf.DUMMYFUNCTION("""COMPUTED_VALUE"""),43994.66666666667)</f>
        <v>43994.66667</v>
      </c>
      <c r="E1372" s="2">
        <f>IFERROR(__xludf.DUMMYFUNCTION("""COMPUTED_VALUE"""),89.33)</f>
        <v>89.33</v>
      </c>
      <c r="G1372" s="3">
        <f>IFERROR(__xludf.DUMMYFUNCTION("""COMPUTED_VALUE"""),43697.99861111111)</f>
        <v>43697.99861</v>
      </c>
      <c r="H1372" s="2">
        <f>IFERROR(__xludf.DUMMYFUNCTION("""COMPUTED_VALUE"""),10769.0)</f>
        <v>10769</v>
      </c>
    </row>
    <row r="1373">
      <c r="A1373" s="3">
        <f>IFERROR(__xludf.DUMMYFUNCTION("""COMPUTED_VALUE"""),43997.66666666667)</f>
        <v>43997.66667</v>
      </c>
      <c r="B1373" s="2">
        <f>IFERROR(__xludf.DUMMYFUNCTION("""COMPUTED_VALUE"""),98.54)</f>
        <v>98.54</v>
      </c>
      <c r="D1373" s="3">
        <f>IFERROR(__xludf.DUMMYFUNCTION("""COMPUTED_VALUE"""),43997.66666666667)</f>
        <v>43997.66667</v>
      </c>
      <c r="E1373" s="2">
        <f>IFERROR(__xludf.DUMMYFUNCTION("""COMPUTED_VALUE"""),91.74)</f>
        <v>91.74</v>
      </c>
      <c r="G1373" s="3">
        <f>IFERROR(__xludf.DUMMYFUNCTION("""COMPUTED_VALUE"""),43698.99861111111)</f>
        <v>43698.99861</v>
      </c>
      <c r="H1373" s="2">
        <f>IFERROR(__xludf.DUMMYFUNCTION("""COMPUTED_VALUE"""),10130.0)</f>
        <v>10130</v>
      </c>
    </row>
    <row r="1374">
      <c r="A1374" s="3">
        <f>IFERROR(__xludf.DUMMYFUNCTION("""COMPUTED_VALUE"""),43998.66666666667)</f>
        <v>43998.66667</v>
      </c>
      <c r="B1374" s="2">
        <f>IFERROR(__xludf.DUMMYFUNCTION("""COMPUTED_VALUE"""),101.45)</f>
        <v>101.45</v>
      </c>
      <c r="D1374" s="3">
        <f>IFERROR(__xludf.DUMMYFUNCTION("""COMPUTED_VALUE"""),43998.66666666667)</f>
        <v>43998.66667</v>
      </c>
      <c r="E1374" s="2">
        <f>IFERROR(__xludf.DUMMYFUNCTION("""COMPUTED_VALUE"""),90.69)</f>
        <v>90.69</v>
      </c>
      <c r="G1374" s="3">
        <f>IFERROR(__xludf.DUMMYFUNCTION("""COMPUTED_VALUE"""),43699.99861111111)</f>
        <v>43699.99861</v>
      </c>
      <c r="H1374" s="2">
        <f>IFERROR(__xludf.DUMMYFUNCTION("""COMPUTED_VALUE"""),10107.1)</f>
        <v>10107.1</v>
      </c>
    </row>
    <row r="1375">
      <c r="A1375" s="3">
        <f>IFERROR(__xludf.DUMMYFUNCTION("""COMPUTED_VALUE"""),43999.66666666667)</f>
        <v>43999.66667</v>
      </c>
      <c r="B1375" s="2">
        <f>IFERROR(__xludf.DUMMYFUNCTION("""COMPUTED_VALUE"""),104.31)</f>
        <v>104.31</v>
      </c>
      <c r="D1375" s="3">
        <f>IFERROR(__xludf.DUMMYFUNCTION("""COMPUTED_VALUE"""),43999.66666666667)</f>
        <v>43999.66667</v>
      </c>
      <c r="E1375" s="2">
        <f>IFERROR(__xludf.DUMMYFUNCTION("""COMPUTED_VALUE"""),92.36)</f>
        <v>92.36</v>
      </c>
      <c r="G1375" s="3">
        <f>IFERROR(__xludf.DUMMYFUNCTION("""COMPUTED_VALUE"""),43700.99861111111)</f>
        <v>43700.99861</v>
      </c>
      <c r="H1375" s="2">
        <f>IFERROR(__xludf.DUMMYFUNCTION("""COMPUTED_VALUE"""),10410.8)</f>
        <v>10410.8</v>
      </c>
    </row>
    <row r="1376">
      <c r="A1376" s="3">
        <f>IFERROR(__xludf.DUMMYFUNCTION("""COMPUTED_VALUE"""),44000.66666666667)</f>
        <v>44000.66667</v>
      </c>
      <c r="B1376" s="2">
        <f>IFERROR(__xludf.DUMMYFUNCTION("""COMPUTED_VALUE"""),102.59)</f>
        <v>102.59</v>
      </c>
      <c r="D1376" s="3">
        <f>IFERROR(__xludf.DUMMYFUNCTION("""COMPUTED_VALUE"""),44000.66666666667)</f>
        <v>44000.66667</v>
      </c>
      <c r="E1376" s="2">
        <f>IFERROR(__xludf.DUMMYFUNCTION("""COMPUTED_VALUE"""),92.18)</f>
        <v>92.18</v>
      </c>
      <c r="G1376" s="3">
        <f>IFERROR(__xludf.DUMMYFUNCTION("""COMPUTED_VALUE"""),43701.99861111111)</f>
        <v>43701.99861</v>
      </c>
      <c r="H1376" s="2">
        <f>IFERROR(__xludf.DUMMYFUNCTION("""COMPUTED_VALUE"""),10147.9)</f>
        <v>10147.9</v>
      </c>
    </row>
    <row r="1377">
      <c r="A1377" s="3">
        <f>IFERROR(__xludf.DUMMYFUNCTION("""COMPUTED_VALUE"""),44001.66666666667)</f>
        <v>44001.66667</v>
      </c>
      <c r="B1377" s="2">
        <f>IFERROR(__xludf.DUMMYFUNCTION("""COMPUTED_VALUE"""),106.44)</f>
        <v>106.44</v>
      </c>
      <c r="D1377" s="3">
        <f>IFERROR(__xludf.DUMMYFUNCTION("""COMPUTED_VALUE"""),44001.66666666667)</f>
        <v>44001.66667</v>
      </c>
      <c r="E1377" s="2">
        <f>IFERROR(__xludf.DUMMYFUNCTION("""COMPUTED_VALUE"""),92.61)</f>
        <v>92.61</v>
      </c>
      <c r="G1377" s="3">
        <f>IFERROR(__xludf.DUMMYFUNCTION("""COMPUTED_VALUE"""),43702.99861111111)</f>
        <v>43702.99861</v>
      </c>
      <c r="H1377" s="2">
        <f>IFERROR(__xludf.DUMMYFUNCTION("""COMPUTED_VALUE"""),10140.9)</f>
        <v>10140.9</v>
      </c>
    </row>
    <row r="1378">
      <c r="A1378" s="3">
        <f>IFERROR(__xludf.DUMMYFUNCTION("""COMPUTED_VALUE"""),44004.66666666667)</f>
        <v>44004.66667</v>
      </c>
      <c r="B1378" s="2">
        <f>IFERROR(__xludf.DUMMYFUNCTION("""COMPUTED_VALUE"""),104.82)</f>
        <v>104.82</v>
      </c>
      <c r="D1378" s="3">
        <f>IFERROR(__xludf.DUMMYFUNCTION("""COMPUTED_VALUE"""),44004.66666666667)</f>
        <v>44004.66667</v>
      </c>
      <c r="E1378" s="2">
        <f>IFERROR(__xludf.DUMMYFUNCTION("""COMPUTED_VALUE"""),95.27)</f>
        <v>95.27</v>
      </c>
      <c r="G1378" s="3">
        <f>IFERROR(__xludf.DUMMYFUNCTION("""COMPUTED_VALUE"""),43703.99861111111)</f>
        <v>43703.99861</v>
      </c>
      <c r="H1378" s="2">
        <f>IFERROR(__xludf.DUMMYFUNCTION("""COMPUTED_VALUE"""),10361.6)</f>
        <v>10361.6</v>
      </c>
    </row>
    <row r="1379">
      <c r="A1379" s="3">
        <f>IFERROR(__xludf.DUMMYFUNCTION("""COMPUTED_VALUE"""),44005.66666666667)</f>
        <v>44005.66667</v>
      </c>
      <c r="B1379" s="2">
        <f>IFERROR(__xludf.DUMMYFUNCTION("""COMPUTED_VALUE"""),104.34)</f>
        <v>104.34</v>
      </c>
      <c r="D1379" s="3">
        <f>IFERROR(__xludf.DUMMYFUNCTION("""COMPUTED_VALUE"""),44005.66666666667)</f>
        <v>44005.66667</v>
      </c>
      <c r="E1379" s="2">
        <f>IFERROR(__xludf.DUMMYFUNCTION("""COMPUTED_VALUE"""),94.5)</f>
        <v>94.5</v>
      </c>
      <c r="G1379" s="3">
        <f>IFERROR(__xludf.DUMMYFUNCTION("""COMPUTED_VALUE"""),43704.99861111111)</f>
        <v>43704.99861</v>
      </c>
      <c r="H1379" s="2">
        <f>IFERROR(__xludf.DUMMYFUNCTION("""COMPUTED_VALUE"""),10171.8)</f>
        <v>10171.8</v>
      </c>
    </row>
    <row r="1380">
      <c r="A1380" s="3">
        <f>IFERROR(__xludf.DUMMYFUNCTION("""COMPUTED_VALUE"""),44006.66666666667)</f>
        <v>44006.66667</v>
      </c>
      <c r="B1380" s="2">
        <f>IFERROR(__xludf.DUMMYFUNCTION("""COMPUTED_VALUE"""),101.23)</f>
        <v>101.23</v>
      </c>
      <c r="D1380" s="3">
        <f>IFERROR(__xludf.DUMMYFUNCTION("""COMPUTED_VALUE"""),44006.66666666667)</f>
        <v>44006.66667</v>
      </c>
      <c r="E1380" s="2">
        <f>IFERROR(__xludf.DUMMYFUNCTION("""COMPUTED_VALUE"""),92.36)</f>
        <v>92.36</v>
      </c>
      <c r="G1380" s="3">
        <f>IFERROR(__xludf.DUMMYFUNCTION("""COMPUTED_VALUE"""),43705.99861111111)</f>
        <v>43705.99861</v>
      </c>
      <c r="H1380" s="2">
        <f>IFERROR(__xludf.DUMMYFUNCTION("""COMPUTED_VALUE"""),9714.31)</f>
        <v>9714.31</v>
      </c>
    </row>
    <row r="1381">
      <c r="A1381" s="3">
        <f>IFERROR(__xludf.DUMMYFUNCTION("""COMPUTED_VALUE"""),44007.66666666667)</f>
        <v>44007.66667</v>
      </c>
      <c r="B1381" s="2">
        <f>IFERROR(__xludf.DUMMYFUNCTION("""COMPUTED_VALUE"""),100.39)</f>
        <v>100.39</v>
      </c>
      <c r="D1381" s="3">
        <f>IFERROR(__xludf.DUMMYFUNCTION("""COMPUTED_VALUE"""),44007.66666666667)</f>
        <v>44007.66667</v>
      </c>
      <c r="E1381" s="2">
        <f>IFERROR(__xludf.DUMMYFUNCTION("""COMPUTED_VALUE"""),94.9)</f>
        <v>94.9</v>
      </c>
      <c r="G1381" s="3">
        <f>IFERROR(__xludf.DUMMYFUNCTION("""COMPUTED_VALUE"""),43706.99861111111)</f>
        <v>43706.99861</v>
      </c>
      <c r="H1381" s="2">
        <f>IFERROR(__xludf.DUMMYFUNCTION("""COMPUTED_VALUE"""),9495.0)</f>
        <v>9495</v>
      </c>
    </row>
    <row r="1382">
      <c r="A1382" s="3">
        <f>IFERROR(__xludf.DUMMYFUNCTION("""COMPUTED_VALUE"""),44008.66666666667)</f>
        <v>44008.66667</v>
      </c>
      <c r="B1382" s="2">
        <f>IFERROR(__xludf.DUMMYFUNCTION("""COMPUTED_VALUE"""),97.56)</f>
        <v>97.56</v>
      </c>
      <c r="D1382" s="3">
        <f>IFERROR(__xludf.DUMMYFUNCTION("""COMPUTED_VALUE"""),44008.66666666667)</f>
        <v>44008.66667</v>
      </c>
      <c r="E1382" s="2">
        <f>IFERROR(__xludf.DUMMYFUNCTION("""COMPUTED_VALUE"""),91.55)</f>
        <v>91.55</v>
      </c>
      <c r="G1382" s="3">
        <f>IFERROR(__xludf.DUMMYFUNCTION("""COMPUTED_VALUE"""),43707.99861111111)</f>
        <v>43707.99861</v>
      </c>
      <c r="H1382" s="2">
        <f>IFERROR(__xludf.DUMMYFUNCTION("""COMPUTED_VALUE"""),9582.42)</f>
        <v>9582.42</v>
      </c>
    </row>
    <row r="1383">
      <c r="A1383" s="3">
        <f>IFERROR(__xludf.DUMMYFUNCTION("""COMPUTED_VALUE"""),44011.66666666667)</f>
        <v>44011.66667</v>
      </c>
      <c r="B1383" s="2">
        <f>IFERROR(__xludf.DUMMYFUNCTION("""COMPUTED_VALUE"""),98.13)</f>
        <v>98.13</v>
      </c>
      <c r="D1383" s="3">
        <f>IFERROR(__xludf.DUMMYFUNCTION("""COMPUTED_VALUE"""),44011.66666666667)</f>
        <v>44011.66667</v>
      </c>
      <c r="E1383" s="2">
        <f>IFERROR(__xludf.DUMMYFUNCTION("""COMPUTED_VALUE"""),92.0)</f>
        <v>92</v>
      </c>
      <c r="G1383" s="3">
        <f>IFERROR(__xludf.DUMMYFUNCTION("""COMPUTED_VALUE"""),43708.99861111111)</f>
        <v>43708.99861</v>
      </c>
      <c r="H1383" s="2">
        <f>IFERROR(__xludf.DUMMYFUNCTION("""COMPUTED_VALUE"""),9600.86)</f>
        <v>9600.86</v>
      </c>
    </row>
    <row r="1384">
      <c r="A1384" s="3">
        <f>IFERROR(__xludf.DUMMYFUNCTION("""COMPUTED_VALUE"""),44012.66666666667)</f>
        <v>44012.66667</v>
      </c>
      <c r="B1384" s="2">
        <f>IFERROR(__xludf.DUMMYFUNCTION("""COMPUTED_VALUE"""),100.78)</f>
        <v>100.78</v>
      </c>
      <c r="D1384" s="3">
        <f>IFERROR(__xludf.DUMMYFUNCTION("""COMPUTED_VALUE"""),44012.66666666667)</f>
        <v>44012.66667</v>
      </c>
      <c r="E1384" s="2">
        <f>IFERROR(__xludf.DUMMYFUNCTION("""COMPUTED_VALUE"""),94.98)</f>
        <v>94.98</v>
      </c>
      <c r="G1384" s="3">
        <f>IFERROR(__xludf.DUMMYFUNCTION("""COMPUTED_VALUE"""),43709.99861111111)</f>
        <v>43709.99861</v>
      </c>
      <c r="H1384" s="2">
        <f>IFERROR(__xludf.DUMMYFUNCTION("""COMPUTED_VALUE"""),9766.52)</f>
        <v>9766.52</v>
      </c>
    </row>
    <row r="1385">
      <c r="A1385" s="3">
        <f>IFERROR(__xludf.DUMMYFUNCTION("""COMPUTED_VALUE"""),44013.66666666667)</f>
        <v>44013.66667</v>
      </c>
      <c r="B1385" s="2">
        <f>IFERROR(__xludf.DUMMYFUNCTION("""COMPUTED_VALUE"""),99.71)</f>
        <v>99.71</v>
      </c>
      <c r="D1385" s="3">
        <f>IFERROR(__xludf.DUMMYFUNCTION("""COMPUTED_VALUE"""),44013.66666666667)</f>
        <v>44013.66667</v>
      </c>
      <c r="E1385" s="2">
        <f>IFERROR(__xludf.DUMMYFUNCTION("""COMPUTED_VALUE"""),95.3)</f>
        <v>95.3</v>
      </c>
      <c r="G1385" s="3">
        <f>IFERROR(__xludf.DUMMYFUNCTION("""COMPUTED_VALUE"""),43710.99861111111)</f>
        <v>43710.99861</v>
      </c>
      <c r="H1385" s="2">
        <f>IFERROR(__xludf.DUMMYFUNCTION("""COMPUTED_VALUE"""),10381.2)</f>
        <v>10381.2</v>
      </c>
    </row>
    <row r="1386">
      <c r="A1386" s="3">
        <f>IFERROR(__xludf.DUMMYFUNCTION("""COMPUTED_VALUE"""),44014.66666666667)</f>
        <v>44014.66667</v>
      </c>
      <c r="B1386" s="2">
        <f>IFERROR(__xludf.DUMMYFUNCTION("""COMPUTED_VALUE"""),100.73)</f>
        <v>100.73</v>
      </c>
      <c r="D1386" s="3">
        <f>IFERROR(__xludf.DUMMYFUNCTION("""COMPUTED_VALUE"""),44014.66666666667)</f>
        <v>44014.66667</v>
      </c>
      <c r="E1386" s="2">
        <f>IFERROR(__xludf.DUMMYFUNCTION("""COMPUTED_VALUE"""),96.12)</f>
        <v>96.12</v>
      </c>
      <c r="G1386" s="3">
        <f>IFERROR(__xludf.DUMMYFUNCTION("""COMPUTED_VALUE"""),43711.99861111111)</f>
        <v>43711.99861</v>
      </c>
      <c r="H1386" s="2">
        <f>IFERROR(__xludf.DUMMYFUNCTION("""COMPUTED_VALUE"""),10628.4)</f>
        <v>10628.4</v>
      </c>
    </row>
    <row r="1387">
      <c r="A1387" s="3">
        <f>IFERROR(__xludf.DUMMYFUNCTION("""COMPUTED_VALUE"""),44018.66666666667)</f>
        <v>44018.66667</v>
      </c>
      <c r="B1387" s="2">
        <f>IFERROR(__xludf.DUMMYFUNCTION("""COMPUTED_VALUE"""),101.82)</f>
        <v>101.82</v>
      </c>
      <c r="D1387" s="3">
        <f>IFERROR(__xludf.DUMMYFUNCTION("""COMPUTED_VALUE"""),44018.66666666667)</f>
        <v>44018.66667</v>
      </c>
      <c r="E1387" s="2">
        <f>IFERROR(__xludf.DUMMYFUNCTION("""COMPUTED_VALUE"""),98.39)</f>
        <v>98.39</v>
      </c>
      <c r="G1387" s="3">
        <f>IFERROR(__xludf.DUMMYFUNCTION("""COMPUTED_VALUE"""),43712.99861111111)</f>
        <v>43712.99861</v>
      </c>
      <c r="H1387" s="2">
        <f>IFERROR(__xludf.DUMMYFUNCTION("""COMPUTED_VALUE"""),10582.2)</f>
        <v>10582.2</v>
      </c>
    </row>
    <row r="1388">
      <c r="A1388" s="3">
        <f>IFERROR(__xludf.DUMMYFUNCTION("""COMPUTED_VALUE"""),44019.66666666667)</f>
        <v>44019.66667</v>
      </c>
      <c r="B1388" s="2">
        <f>IFERROR(__xludf.DUMMYFUNCTION("""COMPUTED_VALUE"""),99.88)</f>
        <v>99.88</v>
      </c>
      <c r="D1388" s="3">
        <f>IFERROR(__xludf.DUMMYFUNCTION("""COMPUTED_VALUE"""),44019.66666666667)</f>
        <v>44019.66667</v>
      </c>
      <c r="E1388" s="2">
        <f>IFERROR(__xludf.DUMMYFUNCTION("""COMPUTED_VALUE"""),98.72)</f>
        <v>98.72</v>
      </c>
      <c r="G1388" s="3">
        <f>IFERROR(__xludf.DUMMYFUNCTION("""COMPUTED_VALUE"""),43713.99861111111)</f>
        <v>43713.99861</v>
      </c>
      <c r="H1388" s="2">
        <f>IFERROR(__xludf.DUMMYFUNCTION("""COMPUTED_VALUE"""),10574.7)</f>
        <v>10574.7</v>
      </c>
    </row>
    <row r="1389">
      <c r="A1389" s="3">
        <f>IFERROR(__xludf.DUMMYFUNCTION("""COMPUTED_VALUE"""),44020.66666666667)</f>
        <v>44020.66667</v>
      </c>
      <c r="B1389" s="2">
        <f>IFERROR(__xludf.DUMMYFUNCTION("""COMPUTED_VALUE"""),99.14)</f>
        <v>99.14</v>
      </c>
      <c r="D1389" s="3">
        <f>IFERROR(__xludf.DUMMYFUNCTION("""COMPUTED_VALUE"""),44020.66666666667)</f>
        <v>44020.66667</v>
      </c>
      <c r="E1389" s="2">
        <f>IFERROR(__xludf.DUMMYFUNCTION("""COMPUTED_VALUE"""),102.16)</f>
        <v>102.16</v>
      </c>
      <c r="G1389" s="3">
        <f>IFERROR(__xludf.DUMMYFUNCTION("""COMPUTED_VALUE"""),43714.99861111111)</f>
        <v>43714.99861</v>
      </c>
      <c r="H1389" s="2">
        <f>IFERROR(__xludf.DUMMYFUNCTION("""COMPUTED_VALUE"""),10306.9)</f>
        <v>10306.9</v>
      </c>
    </row>
    <row r="1390">
      <c r="A1390" s="3">
        <f>IFERROR(__xludf.DUMMYFUNCTION("""COMPUTED_VALUE"""),44021.66666666667)</f>
        <v>44021.66667</v>
      </c>
      <c r="B1390" s="2">
        <f>IFERROR(__xludf.DUMMYFUNCTION("""COMPUTED_VALUE"""),99.83)</f>
        <v>99.83</v>
      </c>
      <c r="D1390" s="3">
        <f>IFERROR(__xludf.DUMMYFUNCTION("""COMPUTED_VALUE"""),44021.66666666667)</f>
        <v>44021.66667</v>
      </c>
      <c r="E1390" s="2">
        <f>IFERROR(__xludf.DUMMYFUNCTION("""COMPUTED_VALUE"""),105.09)</f>
        <v>105.09</v>
      </c>
      <c r="G1390" s="3">
        <f>IFERROR(__xludf.DUMMYFUNCTION("""COMPUTED_VALUE"""),43715.99861111111)</f>
        <v>43715.99861</v>
      </c>
      <c r="H1390" s="2">
        <f>IFERROR(__xludf.DUMMYFUNCTION("""COMPUTED_VALUE"""),10484.3)</f>
        <v>10484.3</v>
      </c>
    </row>
    <row r="1391">
      <c r="A1391" s="3">
        <f>IFERROR(__xludf.DUMMYFUNCTION("""COMPUTED_VALUE"""),44022.66666666667)</f>
        <v>44022.66667</v>
      </c>
      <c r="B1391" s="2">
        <f>IFERROR(__xludf.DUMMYFUNCTION("""COMPUTED_VALUE"""),97.64)</f>
        <v>97.64</v>
      </c>
      <c r="D1391" s="3">
        <f>IFERROR(__xludf.DUMMYFUNCTION("""COMPUTED_VALUE"""),44022.66666666667)</f>
        <v>44022.66667</v>
      </c>
      <c r="E1391" s="2">
        <f>IFERROR(__xludf.DUMMYFUNCTION("""COMPUTED_VALUE"""),104.79)</f>
        <v>104.79</v>
      </c>
      <c r="G1391" s="3">
        <f>IFERROR(__xludf.DUMMYFUNCTION("""COMPUTED_VALUE"""),43716.99861111111)</f>
        <v>43716.99861</v>
      </c>
      <c r="H1391" s="2">
        <f>IFERROR(__xludf.DUMMYFUNCTION("""COMPUTED_VALUE"""),10398.9)</f>
        <v>10398.9</v>
      </c>
    </row>
    <row r="1392">
      <c r="A1392" s="3">
        <f>IFERROR(__xludf.DUMMYFUNCTION("""COMPUTED_VALUE"""),44025.66666666667)</f>
        <v>44025.66667</v>
      </c>
      <c r="B1392" s="2">
        <f>IFERROR(__xludf.DUMMYFUNCTION("""COMPUTED_VALUE"""),94.77)</f>
        <v>94.77</v>
      </c>
      <c r="D1392" s="3">
        <f>IFERROR(__xludf.DUMMYFUNCTION("""COMPUTED_VALUE"""),44025.66666666667)</f>
        <v>44025.66667</v>
      </c>
      <c r="E1392" s="2">
        <f>IFERROR(__xludf.DUMMYFUNCTION("""COMPUTED_VALUE"""),100.52)</f>
        <v>100.52</v>
      </c>
      <c r="G1392" s="3">
        <f>IFERROR(__xludf.DUMMYFUNCTION("""COMPUTED_VALUE"""),43717.99861111111)</f>
        <v>43717.99861</v>
      </c>
      <c r="H1392" s="2">
        <f>IFERROR(__xludf.DUMMYFUNCTION("""COMPUTED_VALUE"""),10310.0)</f>
        <v>10310</v>
      </c>
    </row>
    <row r="1393">
      <c r="A1393" s="3">
        <f>IFERROR(__xludf.DUMMYFUNCTION("""COMPUTED_VALUE"""),44026.66666666667)</f>
        <v>44026.66667</v>
      </c>
      <c r="B1393" s="2">
        <f>IFERROR(__xludf.DUMMYFUNCTION("""COMPUTED_VALUE"""),95.83)</f>
        <v>95.83</v>
      </c>
      <c r="D1393" s="3">
        <f>IFERROR(__xludf.DUMMYFUNCTION("""COMPUTED_VALUE"""),44026.66666666667)</f>
        <v>44026.66667</v>
      </c>
      <c r="E1393" s="2">
        <f>IFERROR(__xludf.DUMMYFUNCTION("""COMPUTED_VALUE"""),103.77)</f>
        <v>103.77</v>
      </c>
      <c r="G1393" s="3">
        <f>IFERROR(__xludf.DUMMYFUNCTION("""COMPUTED_VALUE"""),43718.99861111111)</f>
        <v>43718.99861</v>
      </c>
      <c r="H1393" s="2">
        <f>IFERROR(__xludf.DUMMYFUNCTION("""COMPUTED_VALUE"""),10084.1)</f>
        <v>10084.1</v>
      </c>
    </row>
    <row r="1394">
      <c r="A1394" s="3">
        <f>IFERROR(__xludf.DUMMYFUNCTION("""COMPUTED_VALUE"""),44027.66666666667)</f>
        <v>44027.66667</v>
      </c>
      <c r="B1394" s="2">
        <f>IFERROR(__xludf.DUMMYFUNCTION("""COMPUTED_VALUE"""),96.78)</f>
        <v>96.78</v>
      </c>
      <c r="D1394" s="3">
        <f>IFERROR(__xludf.DUMMYFUNCTION("""COMPUTED_VALUE"""),44027.66666666667)</f>
        <v>44027.66667</v>
      </c>
      <c r="E1394" s="2">
        <f>IFERROR(__xludf.DUMMYFUNCTION("""COMPUTED_VALUE"""),102.27)</f>
        <v>102.27</v>
      </c>
      <c r="G1394" s="3">
        <f>IFERROR(__xludf.DUMMYFUNCTION("""COMPUTED_VALUE"""),43719.99861111111)</f>
        <v>43719.99861</v>
      </c>
      <c r="H1394" s="2">
        <f>IFERROR(__xludf.DUMMYFUNCTION("""COMPUTED_VALUE"""),10160.2)</f>
        <v>10160.2</v>
      </c>
    </row>
    <row r="1395">
      <c r="A1395" s="3">
        <f>IFERROR(__xludf.DUMMYFUNCTION("""COMPUTED_VALUE"""),44028.66666666667)</f>
        <v>44028.66667</v>
      </c>
      <c r="B1395" s="2">
        <f>IFERROR(__xludf.DUMMYFUNCTION("""COMPUTED_VALUE"""),96.38)</f>
        <v>96.38</v>
      </c>
      <c r="D1395" s="3">
        <f>IFERROR(__xludf.DUMMYFUNCTION("""COMPUTED_VALUE"""),44028.66666666667)</f>
        <v>44028.66667</v>
      </c>
      <c r="E1395" s="2">
        <f>IFERROR(__xludf.DUMMYFUNCTION("""COMPUTED_VALUE"""),101.35)</f>
        <v>101.35</v>
      </c>
      <c r="G1395" s="3">
        <f>IFERROR(__xludf.DUMMYFUNCTION("""COMPUTED_VALUE"""),43720.99861111111)</f>
        <v>43720.99861</v>
      </c>
      <c r="H1395" s="2">
        <f>IFERROR(__xludf.DUMMYFUNCTION("""COMPUTED_VALUE"""),10423.7)</f>
        <v>10423.7</v>
      </c>
    </row>
    <row r="1396">
      <c r="A1396" s="3">
        <f>IFERROR(__xludf.DUMMYFUNCTION("""COMPUTED_VALUE"""),44029.66666666667)</f>
        <v>44029.66667</v>
      </c>
      <c r="B1396" s="2">
        <f>IFERROR(__xludf.DUMMYFUNCTION("""COMPUTED_VALUE"""),97.78)</f>
        <v>97.78</v>
      </c>
      <c r="D1396" s="3">
        <f>IFERROR(__xludf.DUMMYFUNCTION("""COMPUTED_VALUE"""),44029.66666666667)</f>
        <v>44029.66667</v>
      </c>
      <c r="E1396" s="2">
        <f>IFERROR(__xludf.DUMMYFUNCTION("""COMPUTED_VALUE"""),102.02)</f>
        <v>102.02</v>
      </c>
      <c r="G1396" s="3">
        <f>IFERROR(__xludf.DUMMYFUNCTION("""COMPUTED_VALUE"""),43721.99861111111)</f>
        <v>43721.99861</v>
      </c>
      <c r="H1396" s="2">
        <f>IFERROR(__xludf.DUMMYFUNCTION("""COMPUTED_VALUE"""),10367.4)</f>
        <v>10367.4</v>
      </c>
    </row>
    <row r="1397">
      <c r="A1397" s="3">
        <f>IFERROR(__xludf.DUMMYFUNCTION("""COMPUTED_VALUE"""),44032.66666666667)</f>
        <v>44032.66667</v>
      </c>
      <c r="B1397" s="2">
        <f>IFERROR(__xludf.DUMMYFUNCTION("""COMPUTED_VALUE"""),97.87)</f>
        <v>97.87</v>
      </c>
      <c r="D1397" s="3">
        <f>IFERROR(__xludf.DUMMYFUNCTION("""COMPUTED_VALUE"""),44032.66666666667)</f>
        <v>44032.66667</v>
      </c>
      <c r="E1397" s="2">
        <f>IFERROR(__xludf.DUMMYFUNCTION("""COMPUTED_VALUE"""),105.11)</f>
        <v>105.11</v>
      </c>
      <c r="G1397" s="3">
        <f>IFERROR(__xludf.DUMMYFUNCTION("""COMPUTED_VALUE"""),43722.99861111111)</f>
        <v>43722.99861</v>
      </c>
      <c r="H1397" s="2">
        <f>IFERROR(__xludf.DUMMYFUNCTION("""COMPUTED_VALUE"""),10360.2)</f>
        <v>10360.2</v>
      </c>
    </row>
    <row r="1398">
      <c r="A1398" s="3">
        <f>IFERROR(__xludf.DUMMYFUNCTION("""COMPUTED_VALUE"""),44033.66666666667)</f>
        <v>44033.66667</v>
      </c>
      <c r="B1398" s="2">
        <f>IFERROR(__xludf.DUMMYFUNCTION("""COMPUTED_VALUE"""),98.43)</f>
        <v>98.43</v>
      </c>
      <c r="D1398" s="3">
        <f>IFERROR(__xludf.DUMMYFUNCTION("""COMPUTED_VALUE"""),44033.66666666667)</f>
        <v>44033.66667</v>
      </c>
      <c r="E1398" s="2">
        <f>IFERROR(__xludf.DUMMYFUNCTION("""COMPUTED_VALUE"""),103.29)</f>
        <v>103.29</v>
      </c>
      <c r="G1398" s="3">
        <f>IFERROR(__xludf.DUMMYFUNCTION("""COMPUTED_VALUE"""),43723.99861111111)</f>
        <v>43723.99861</v>
      </c>
      <c r="H1398" s="2">
        <f>IFERROR(__xludf.DUMMYFUNCTION("""COMPUTED_VALUE"""),10304.4)</f>
        <v>10304.4</v>
      </c>
    </row>
    <row r="1399">
      <c r="A1399" s="3">
        <f>IFERROR(__xludf.DUMMYFUNCTION("""COMPUTED_VALUE"""),44034.66666666667)</f>
        <v>44034.66667</v>
      </c>
      <c r="B1399" s="2">
        <f>IFERROR(__xludf.DUMMYFUNCTION("""COMPUTED_VALUE"""),98.37)</f>
        <v>98.37</v>
      </c>
      <c r="D1399" s="3">
        <f>IFERROR(__xludf.DUMMYFUNCTION("""COMPUTED_VALUE"""),44034.66666666667)</f>
        <v>44034.66667</v>
      </c>
      <c r="E1399" s="2">
        <f>IFERROR(__xludf.DUMMYFUNCTION("""COMPUTED_VALUE"""),104.39)</f>
        <v>104.39</v>
      </c>
      <c r="G1399" s="3">
        <f>IFERROR(__xludf.DUMMYFUNCTION("""COMPUTED_VALUE"""),43724.99861111111)</f>
        <v>43724.99861</v>
      </c>
      <c r="H1399" s="2">
        <f>IFERROR(__xludf.DUMMYFUNCTION("""COMPUTED_VALUE"""),10262.5)</f>
        <v>10262.5</v>
      </c>
    </row>
    <row r="1400">
      <c r="A1400" s="3">
        <f>IFERROR(__xludf.DUMMYFUNCTION("""COMPUTED_VALUE"""),44035.66666666667)</f>
        <v>44035.66667</v>
      </c>
      <c r="B1400" s="2">
        <f>IFERROR(__xludf.DUMMYFUNCTION("""COMPUTED_VALUE"""),99.18)</f>
        <v>99.18</v>
      </c>
      <c r="D1400" s="3">
        <f>IFERROR(__xludf.DUMMYFUNCTION("""COMPUTED_VALUE"""),44035.66666666667)</f>
        <v>44035.66667</v>
      </c>
      <c r="E1400" s="2">
        <f>IFERROR(__xludf.DUMMYFUNCTION("""COMPUTED_VALUE"""),101.3)</f>
        <v>101.3</v>
      </c>
      <c r="G1400" s="3">
        <f>IFERROR(__xludf.DUMMYFUNCTION("""COMPUTED_VALUE"""),43725.99861111111)</f>
        <v>43725.99861</v>
      </c>
      <c r="H1400" s="2">
        <f>IFERROR(__xludf.DUMMYFUNCTION("""COMPUTED_VALUE"""),10185.3)</f>
        <v>10185.3</v>
      </c>
    </row>
    <row r="1401">
      <c r="A1401" s="3">
        <f>IFERROR(__xludf.DUMMYFUNCTION("""COMPUTED_VALUE"""),44036.66666666667)</f>
        <v>44036.66667</v>
      </c>
      <c r="B1401" s="2">
        <f>IFERROR(__xludf.DUMMYFUNCTION("""COMPUTED_VALUE"""),96.85)</f>
        <v>96.85</v>
      </c>
      <c r="D1401" s="3">
        <f>IFERROR(__xludf.DUMMYFUNCTION("""COMPUTED_VALUE"""),44036.66666666667)</f>
        <v>44036.66667</v>
      </c>
      <c r="E1401" s="2">
        <f>IFERROR(__xludf.DUMMYFUNCTION("""COMPUTED_VALUE"""),101.95)</f>
        <v>101.95</v>
      </c>
      <c r="G1401" s="3">
        <f>IFERROR(__xludf.DUMMYFUNCTION("""COMPUTED_VALUE"""),43726.99861111111)</f>
        <v>43726.99861</v>
      </c>
      <c r="H1401" s="2">
        <f>IFERROR(__xludf.DUMMYFUNCTION("""COMPUTED_VALUE"""),10155.2)</f>
        <v>10155.2</v>
      </c>
    </row>
    <row r="1402">
      <c r="A1402" s="3">
        <f>IFERROR(__xludf.DUMMYFUNCTION("""COMPUTED_VALUE"""),44039.66666666667)</f>
        <v>44039.66667</v>
      </c>
      <c r="B1402" s="2">
        <f>IFERROR(__xludf.DUMMYFUNCTION("""COMPUTED_VALUE"""),98.2)</f>
        <v>98.2</v>
      </c>
      <c r="D1402" s="3">
        <f>IFERROR(__xludf.DUMMYFUNCTION("""COMPUTED_VALUE"""),44039.66666666667)</f>
        <v>44039.66667</v>
      </c>
      <c r="E1402" s="2">
        <f>IFERROR(__xludf.DUMMYFUNCTION("""COMPUTED_VALUE"""),104.22)</f>
        <v>104.22</v>
      </c>
      <c r="G1402" s="3">
        <f>IFERROR(__xludf.DUMMYFUNCTION("""COMPUTED_VALUE"""),43727.99861111111)</f>
        <v>43727.99861</v>
      </c>
      <c r="H1402" s="2">
        <f>IFERROR(__xludf.DUMMYFUNCTION("""COMPUTED_VALUE"""),10287.7)</f>
        <v>10287.7</v>
      </c>
    </row>
    <row r="1403">
      <c r="A1403" s="3">
        <f>IFERROR(__xludf.DUMMYFUNCTION("""COMPUTED_VALUE"""),44040.66666666667)</f>
        <v>44040.66667</v>
      </c>
      <c r="B1403" s="2">
        <f>IFERROR(__xludf.DUMMYFUNCTION("""COMPUTED_VALUE"""),95.68)</f>
        <v>95.68</v>
      </c>
      <c r="D1403" s="3">
        <f>IFERROR(__xludf.DUMMYFUNCTION("""COMPUTED_VALUE"""),44040.66666666667)</f>
        <v>44040.66667</v>
      </c>
      <c r="E1403" s="2">
        <f>IFERROR(__xludf.DUMMYFUNCTION("""COMPUTED_VALUE"""),102.16)</f>
        <v>102.16</v>
      </c>
      <c r="G1403" s="3">
        <f>IFERROR(__xludf.DUMMYFUNCTION("""COMPUTED_VALUE"""),43728.99861111111)</f>
        <v>43728.99861</v>
      </c>
      <c r="H1403" s="2">
        <f>IFERROR(__xludf.DUMMYFUNCTION("""COMPUTED_VALUE"""),10168.8)</f>
        <v>10168.8</v>
      </c>
    </row>
    <row r="1404">
      <c r="A1404" s="3">
        <f>IFERROR(__xludf.DUMMYFUNCTION("""COMPUTED_VALUE"""),44041.66666666667)</f>
        <v>44041.66667</v>
      </c>
      <c r="B1404" s="2">
        <f>IFERROR(__xludf.DUMMYFUNCTION("""COMPUTED_VALUE"""),96.21)</f>
        <v>96.21</v>
      </c>
      <c r="D1404" s="3">
        <f>IFERROR(__xludf.DUMMYFUNCTION("""COMPUTED_VALUE"""),44041.66666666667)</f>
        <v>44041.66667</v>
      </c>
      <c r="E1404" s="2">
        <f>IFERROR(__xludf.DUMMYFUNCTION("""COMPUTED_VALUE"""),104.66)</f>
        <v>104.66</v>
      </c>
      <c r="G1404" s="3">
        <f>IFERROR(__xludf.DUMMYFUNCTION("""COMPUTED_VALUE"""),43729.99861111111)</f>
        <v>43729.99861</v>
      </c>
      <c r="H1404" s="2">
        <f>IFERROR(__xludf.DUMMYFUNCTION("""COMPUTED_VALUE"""),9975.12)</f>
        <v>9975.12</v>
      </c>
    </row>
    <row r="1405">
      <c r="A1405" s="3">
        <f>IFERROR(__xludf.DUMMYFUNCTION("""COMPUTED_VALUE"""),44042.66666666667)</f>
        <v>44042.66667</v>
      </c>
      <c r="B1405" s="2">
        <f>IFERROR(__xludf.DUMMYFUNCTION("""COMPUTED_VALUE"""),98.98)</f>
        <v>98.98</v>
      </c>
      <c r="D1405" s="3">
        <f>IFERROR(__xludf.DUMMYFUNCTION("""COMPUTED_VALUE"""),44042.66666666667)</f>
        <v>44042.66667</v>
      </c>
      <c r="E1405" s="2">
        <f>IFERROR(__xludf.DUMMYFUNCTION("""COMPUTED_VALUE"""),106.14)</f>
        <v>106.14</v>
      </c>
      <c r="G1405" s="3">
        <f>IFERROR(__xludf.DUMMYFUNCTION("""COMPUTED_VALUE"""),43730.99861111111)</f>
        <v>43730.99861</v>
      </c>
      <c r="H1405" s="2">
        <f>IFERROR(__xludf.DUMMYFUNCTION("""COMPUTED_VALUE"""),10026.8)</f>
        <v>10026.8</v>
      </c>
    </row>
    <row r="1406">
      <c r="A1406" s="3">
        <f>IFERROR(__xludf.DUMMYFUNCTION("""COMPUTED_VALUE"""),44043.66666666667)</f>
        <v>44043.66667</v>
      </c>
      <c r="B1406" s="2">
        <f>IFERROR(__xludf.DUMMYFUNCTION("""COMPUTED_VALUE"""),99.89)</f>
        <v>99.89</v>
      </c>
      <c r="D1406" s="3">
        <f>IFERROR(__xludf.DUMMYFUNCTION("""COMPUTED_VALUE"""),44043.66666666667)</f>
        <v>44043.66667</v>
      </c>
      <c r="E1406" s="2">
        <f>IFERROR(__xludf.DUMMYFUNCTION("""COMPUTED_VALUE"""),106.15)</f>
        <v>106.15</v>
      </c>
      <c r="G1406" s="3">
        <f>IFERROR(__xludf.DUMMYFUNCTION("""COMPUTED_VALUE"""),43731.99861111111)</f>
        <v>43731.99861</v>
      </c>
      <c r="H1406" s="2">
        <f>IFERROR(__xludf.DUMMYFUNCTION("""COMPUTED_VALUE"""),9693.75)</f>
        <v>9693.75</v>
      </c>
    </row>
    <row r="1407">
      <c r="A1407" s="3">
        <f>IFERROR(__xludf.DUMMYFUNCTION("""COMPUTED_VALUE"""),44046.66666666667)</f>
        <v>44046.66667</v>
      </c>
      <c r="B1407" s="2">
        <f>IFERROR(__xludf.DUMMYFUNCTION("""COMPUTED_VALUE"""),100.77)</f>
        <v>100.77</v>
      </c>
      <c r="D1407" s="3">
        <f>IFERROR(__xludf.DUMMYFUNCTION("""COMPUTED_VALUE"""),44046.66666666667)</f>
        <v>44046.66667</v>
      </c>
      <c r="E1407" s="2">
        <f>IFERROR(__xludf.DUMMYFUNCTION("""COMPUTED_VALUE"""),110.1)</f>
        <v>110.1</v>
      </c>
      <c r="G1407" s="3">
        <f>IFERROR(__xludf.DUMMYFUNCTION("""COMPUTED_VALUE"""),43732.99861111111)</f>
        <v>43732.99861</v>
      </c>
      <c r="H1407" s="2">
        <f>IFERROR(__xludf.DUMMYFUNCTION("""COMPUTED_VALUE"""),8530.01)</f>
        <v>8530.01</v>
      </c>
    </row>
    <row r="1408">
      <c r="A1408" s="3">
        <f>IFERROR(__xludf.DUMMYFUNCTION("""COMPUTED_VALUE"""),44047.66666666667)</f>
        <v>44047.66667</v>
      </c>
      <c r="B1408" s="2">
        <f>IFERROR(__xludf.DUMMYFUNCTION("""COMPUTED_VALUE"""),100.3)</f>
        <v>100.3</v>
      </c>
      <c r="D1408" s="3">
        <f>IFERROR(__xludf.DUMMYFUNCTION("""COMPUTED_VALUE"""),44047.66666666667)</f>
        <v>44047.66667</v>
      </c>
      <c r="E1408" s="2">
        <f>IFERROR(__xludf.DUMMYFUNCTION("""COMPUTED_VALUE"""),112.28)</f>
        <v>112.28</v>
      </c>
      <c r="G1408" s="3">
        <f>IFERROR(__xludf.DUMMYFUNCTION("""COMPUTED_VALUE"""),43733.99861111111)</f>
        <v>43733.99861</v>
      </c>
      <c r="H1408" s="2">
        <f>IFERROR(__xludf.DUMMYFUNCTION("""COMPUTED_VALUE"""),8438.35)</f>
        <v>8438.35</v>
      </c>
    </row>
    <row r="1409">
      <c r="A1409" s="3">
        <f>IFERROR(__xludf.DUMMYFUNCTION("""COMPUTED_VALUE"""),44048.66666666667)</f>
        <v>44048.66667</v>
      </c>
      <c r="B1409" s="2">
        <f>IFERROR(__xludf.DUMMYFUNCTION("""COMPUTED_VALUE"""),100.35)</f>
        <v>100.35</v>
      </c>
      <c r="D1409" s="3">
        <f>IFERROR(__xludf.DUMMYFUNCTION("""COMPUTED_VALUE"""),44048.66666666667)</f>
        <v>44048.66667</v>
      </c>
      <c r="E1409" s="2">
        <f>IFERROR(__xludf.DUMMYFUNCTION("""COMPUTED_VALUE"""),112.87)</f>
        <v>112.87</v>
      </c>
      <c r="G1409" s="3">
        <f>IFERROR(__xludf.DUMMYFUNCTION("""COMPUTED_VALUE"""),43734.99861111111)</f>
        <v>43734.99861</v>
      </c>
      <c r="H1409" s="2">
        <f>IFERROR(__xludf.DUMMYFUNCTION("""COMPUTED_VALUE"""),8068.2)</f>
        <v>8068.2</v>
      </c>
    </row>
    <row r="1410">
      <c r="A1410" s="3">
        <f>IFERROR(__xludf.DUMMYFUNCTION("""COMPUTED_VALUE"""),44049.66666666667)</f>
        <v>44049.66667</v>
      </c>
      <c r="B1410" s="2">
        <f>IFERROR(__xludf.DUMMYFUNCTION("""COMPUTED_VALUE"""),99.98)</f>
        <v>99.98</v>
      </c>
      <c r="D1410" s="3">
        <f>IFERROR(__xludf.DUMMYFUNCTION("""COMPUTED_VALUE"""),44049.66666666667)</f>
        <v>44049.66667</v>
      </c>
      <c r="E1410" s="2">
        <f>IFERROR(__xludf.DUMMYFUNCTION("""COMPUTED_VALUE"""),113.36)</f>
        <v>113.36</v>
      </c>
      <c r="G1410" s="3">
        <f>IFERROR(__xludf.DUMMYFUNCTION("""COMPUTED_VALUE"""),43735.99861111111)</f>
        <v>43735.99861</v>
      </c>
      <c r="H1410" s="2">
        <f>IFERROR(__xludf.DUMMYFUNCTION("""COMPUTED_VALUE"""),8193.99)</f>
        <v>8193.99</v>
      </c>
    </row>
    <row r="1411">
      <c r="A1411" s="3">
        <f>IFERROR(__xludf.DUMMYFUNCTION("""COMPUTED_VALUE"""),44050.66666666667)</f>
        <v>44050.66667</v>
      </c>
      <c r="B1411" s="2">
        <f>IFERROR(__xludf.DUMMYFUNCTION("""COMPUTED_VALUE"""),98.14)</f>
        <v>98.14</v>
      </c>
      <c r="D1411" s="3">
        <f>IFERROR(__xludf.DUMMYFUNCTION("""COMPUTED_VALUE"""),44050.66666666667)</f>
        <v>44050.66667</v>
      </c>
      <c r="E1411" s="2">
        <f>IFERROR(__xludf.DUMMYFUNCTION("""COMPUTED_VALUE"""),112.0)</f>
        <v>112</v>
      </c>
      <c r="G1411" s="3">
        <f>IFERROR(__xludf.DUMMYFUNCTION("""COMPUTED_VALUE"""),43736.99861111111)</f>
        <v>43736.99861</v>
      </c>
      <c r="H1411" s="2">
        <f>IFERROR(__xludf.DUMMYFUNCTION("""COMPUTED_VALUE"""),8217.46)</f>
        <v>8217.46</v>
      </c>
    </row>
    <row r="1412">
      <c r="A1412" s="3">
        <f>IFERROR(__xludf.DUMMYFUNCTION("""COMPUTED_VALUE"""),44053.66666666667)</f>
        <v>44053.66667</v>
      </c>
      <c r="B1412" s="2">
        <f>IFERROR(__xludf.DUMMYFUNCTION("""COMPUTED_VALUE"""),97.77)</f>
        <v>97.77</v>
      </c>
      <c r="D1412" s="3">
        <f>IFERROR(__xludf.DUMMYFUNCTION("""COMPUTED_VALUE"""),44053.66666666667)</f>
        <v>44053.66667</v>
      </c>
      <c r="E1412" s="2">
        <f>IFERROR(__xludf.DUMMYFUNCTION("""COMPUTED_VALUE"""),111.65)</f>
        <v>111.65</v>
      </c>
      <c r="G1412" s="3">
        <f>IFERROR(__xludf.DUMMYFUNCTION("""COMPUTED_VALUE"""),43737.99861111111)</f>
        <v>43737.99861</v>
      </c>
      <c r="H1412" s="2">
        <f>IFERROR(__xludf.DUMMYFUNCTION("""COMPUTED_VALUE"""),8052.4)</f>
        <v>8052.4</v>
      </c>
    </row>
    <row r="1413">
      <c r="A1413" s="3">
        <f>IFERROR(__xludf.DUMMYFUNCTION("""COMPUTED_VALUE"""),44054.66666666667)</f>
        <v>44054.66667</v>
      </c>
      <c r="B1413" s="2">
        <f>IFERROR(__xludf.DUMMYFUNCTION("""COMPUTED_VALUE"""),98.81)</f>
        <v>98.81</v>
      </c>
      <c r="D1413" s="3">
        <f>IFERROR(__xludf.DUMMYFUNCTION("""COMPUTED_VALUE"""),44054.66666666667)</f>
        <v>44054.66667</v>
      </c>
      <c r="E1413" s="2">
        <f>IFERROR(__xludf.DUMMYFUNCTION("""COMPUTED_VALUE"""),108.5)</f>
        <v>108.5</v>
      </c>
      <c r="G1413" s="3">
        <f>IFERROR(__xludf.DUMMYFUNCTION("""COMPUTED_VALUE"""),43738.99861111111)</f>
        <v>43738.99861</v>
      </c>
      <c r="H1413" s="2">
        <f>IFERROR(__xludf.DUMMYFUNCTION("""COMPUTED_VALUE"""),8304.95)</f>
        <v>8304.95</v>
      </c>
    </row>
    <row r="1414">
      <c r="A1414" s="3">
        <f>IFERROR(__xludf.DUMMYFUNCTION("""COMPUTED_VALUE"""),44055.66666666667)</f>
        <v>44055.66667</v>
      </c>
      <c r="B1414" s="2">
        <f>IFERROR(__xludf.DUMMYFUNCTION("""COMPUTED_VALUE"""),99.57)</f>
        <v>99.57</v>
      </c>
      <c r="D1414" s="3">
        <f>IFERROR(__xludf.DUMMYFUNCTION("""COMPUTED_VALUE"""),44055.66666666667)</f>
        <v>44055.66667</v>
      </c>
      <c r="E1414" s="2">
        <f>IFERROR(__xludf.DUMMYFUNCTION("""COMPUTED_VALUE"""),114.4)</f>
        <v>114.4</v>
      </c>
      <c r="G1414" s="3">
        <f>IFERROR(__xludf.DUMMYFUNCTION("""COMPUTED_VALUE"""),43739.99861111111)</f>
        <v>43739.99861</v>
      </c>
      <c r="H1414" s="2">
        <f>IFERROR(__xludf.DUMMYFUNCTION("""COMPUTED_VALUE"""),8322.73)</f>
        <v>8322.73</v>
      </c>
    </row>
    <row r="1415">
      <c r="A1415" s="3">
        <f>IFERROR(__xludf.DUMMYFUNCTION("""COMPUTED_VALUE"""),44056.66666666667)</f>
        <v>44056.66667</v>
      </c>
      <c r="B1415" s="2">
        <f>IFERROR(__xludf.DUMMYFUNCTION("""COMPUTED_VALUE"""),103.2)</f>
        <v>103.2</v>
      </c>
      <c r="D1415" s="3">
        <f>IFERROR(__xludf.DUMMYFUNCTION("""COMPUTED_VALUE"""),44056.66666666667)</f>
        <v>44056.66667</v>
      </c>
      <c r="E1415" s="2">
        <f>IFERROR(__xludf.DUMMYFUNCTION("""COMPUTED_VALUE"""),114.43)</f>
        <v>114.43</v>
      </c>
      <c r="G1415" s="3">
        <f>IFERROR(__xludf.DUMMYFUNCTION("""COMPUTED_VALUE"""),43740.99861111111)</f>
        <v>43740.99861</v>
      </c>
      <c r="H1415" s="2">
        <f>IFERROR(__xludf.DUMMYFUNCTION("""COMPUTED_VALUE"""),8381.71)</f>
        <v>8381.71</v>
      </c>
    </row>
    <row r="1416">
      <c r="A1416" s="3">
        <f>IFERROR(__xludf.DUMMYFUNCTION("""COMPUTED_VALUE"""),44057.66666666667)</f>
        <v>44057.66667</v>
      </c>
      <c r="B1416" s="2">
        <f>IFERROR(__xludf.DUMMYFUNCTION("""COMPUTED_VALUE"""),102.95)</f>
        <v>102.95</v>
      </c>
      <c r="D1416" s="3">
        <f>IFERROR(__xludf.DUMMYFUNCTION("""COMPUTED_VALUE"""),44057.66666666667)</f>
        <v>44057.66667</v>
      </c>
      <c r="E1416" s="2">
        <f>IFERROR(__xludf.DUMMYFUNCTION("""COMPUTED_VALUE"""),115.64)</f>
        <v>115.64</v>
      </c>
      <c r="G1416" s="3">
        <f>IFERROR(__xludf.DUMMYFUNCTION("""COMPUTED_VALUE"""),43741.99861111111)</f>
        <v>43741.99861</v>
      </c>
      <c r="H1416" s="2">
        <f>IFERROR(__xludf.DUMMYFUNCTION("""COMPUTED_VALUE"""),8240.41)</f>
        <v>8240.41</v>
      </c>
    </row>
    <row r="1417">
      <c r="A1417" s="3">
        <f>IFERROR(__xludf.DUMMYFUNCTION("""COMPUTED_VALUE"""),44060.66666666667)</f>
        <v>44060.66667</v>
      </c>
      <c r="B1417" s="2">
        <f>IFERROR(__xludf.DUMMYFUNCTION("""COMPUTED_VALUE"""),102.6)</f>
        <v>102.6</v>
      </c>
      <c r="D1417" s="3">
        <f>IFERROR(__xludf.DUMMYFUNCTION("""COMPUTED_VALUE"""),44060.66666666667)</f>
        <v>44060.66667</v>
      </c>
      <c r="E1417" s="2">
        <f>IFERROR(__xludf.DUMMYFUNCTION("""COMPUTED_VALUE"""),123.37)</f>
        <v>123.37</v>
      </c>
      <c r="G1417" s="3">
        <f>IFERROR(__xludf.DUMMYFUNCTION("""COMPUTED_VALUE"""),43742.99861111111)</f>
        <v>43742.99861</v>
      </c>
      <c r="H1417" s="2">
        <f>IFERROR(__xludf.DUMMYFUNCTION("""COMPUTED_VALUE"""),8156.67)</f>
        <v>8156.67</v>
      </c>
    </row>
    <row r="1418">
      <c r="A1418" s="3">
        <f>IFERROR(__xludf.DUMMYFUNCTION("""COMPUTED_VALUE"""),44061.66666666667)</f>
        <v>44061.66667</v>
      </c>
      <c r="B1418" s="2">
        <f>IFERROR(__xludf.DUMMYFUNCTION("""COMPUTED_VALUE"""),102.69)</f>
        <v>102.69</v>
      </c>
      <c r="D1418" s="3">
        <f>IFERROR(__xludf.DUMMYFUNCTION("""COMPUTED_VALUE"""),44061.66666666667)</f>
        <v>44061.66667</v>
      </c>
      <c r="E1418" s="2">
        <f>IFERROR(__xludf.DUMMYFUNCTION("""COMPUTED_VALUE"""),122.61)</f>
        <v>122.61</v>
      </c>
      <c r="G1418" s="3">
        <f>IFERROR(__xludf.DUMMYFUNCTION("""COMPUTED_VALUE"""),43743.99861111111)</f>
        <v>43743.99861</v>
      </c>
      <c r="H1418" s="2">
        <f>IFERROR(__xludf.DUMMYFUNCTION("""COMPUTED_VALUE"""),8147.63)</f>
        <v>8147.63</v>
      </c>
    </row>
    <row r="1419">
      <c r="A1419" s="3">
        <f>IFERROR(__xludf.DUMMYFUNCTION("""COMPUTED_VALUE"""),44062.66666666667)</f>
        <v>44062.66667</v>
      </c>
      <c r="B1419" s="2">
        <f>IFERROR(__xludf.DUMMYFUNCTION("""COMPUTED_VALUE"""),104.0)</f>
        <v>104</v>
      </c>
      <c r="D1419" s="3">
        <f>IFERROR(__xludf.DUMMYFUNCTION("""COMPUTED_VALUE"""),44062.66666666667)</f>
        <v>44062.66667</v>
      </c>
      <c r="E1419" s="2">
        <f>IFERROR(__xludf.DUMMYFUNCTION("""COMPUTED_VALUE"""),121.39)</f>
        <v>121.39</v>
      </c>
      <c r="G1419" s="3">
        <f>IFERROR(__xludf.DUMMYFUNCTION("""COMPUTED_VALUE"""),43744.99861111111)</f>
        <v>43744.99861</v>
      </c>
      <c r="H1419" s="2">
        <f>IFERROR(__xludf.DUMMYFUNCTION("""COMPUTED_VALUE"""),7859.79)</f>
        <v>7859.79</v>
      </c>
    </row>
    <row r="1420">
      <c r="A1420" s="3">
        <f>IFERROR(__xludf.DUMMYFUNCTION("""COMPUTED_VALUE"""),44063.66666666667)</f>
        <v>44063.66667</v>
      </c>
      <c r="B1420" s="2">
        <f>IFERROR(__xludf.DUMMYFUNCTION("""COMPUTED_VALUE"""),102.82)</f>
        <v>102.82</v>
      </c>
      <c r="D1420" s="3">
        <f>IFERROR(__xludf.DUMMYFUNCTION("""COMPUTED_VALUE"""),44063.66666666667)</f>
        <v>44063.66667</v>
      </c>
      <c r="E1420" s="2">
        <f>IFERROR(__xludf.DUMMYFUNCTION("""COMPUTED_VALUE"""),121.41)</f>
        <v>121.41</v>
      </c>
      <c r="G1420" s="3">
        <f>IFERROR(__xludf.DUMMYFUNCTION("""COMPUTED_VALUE"""),43745.99861111111)</f>
        <v>43745.99861</v>
      </c>
      <c r="H1420" s="2">
        <f>IFERROR(__xludf.DUMMYFUNCTION("""COMPUTED_VALUE"""),8209.0)</f>
        <v>8209</v>
      </c>
    </row>
    <row r="1421">
      <c r="A1421" s="3">
        <f>IFERROR(__xludf.DUMMYFUNCTION("""COMPUTED_VALUE"""),44064.66666666667)</f>
        <v>44064.66667</v>
      </c>
      <c r="B1421" s="2">
        <f>IFERROR(__xludf.DUMMYFUNCTION("""COMPUTED_VALUE"""),95.88)</f>
        <v>95.88</v>
      </c>
      <c r="D1421" s="3">
        <f>IFERROR(__xludf.DUMMYFUNCTION("""COMPUTED_VALUE"""),44064.66666666667)</f>
        <v>44064.66667</v>
      </c>
      <c r="E1421" s="2">
        <f>IFERROR(__xludf.DUMMYFUNCTION("""COMPUTED_VALUE"""),126.84)</f>
        <v>126.84</v>
      </c>
      <c r="G1421" s="3">
        <f>IFERROR(__xludf.DUMMYFUNCTION("""COMPUTED_VALUE"""),43746.99861111111)</f>
        <v>43746.99861</v>
      </c>
      <c r="H1421" s="2">
        <f>IFERROR(__xludf.DUMMYFUNCTION("""COMPUTED_VALUE"""),8180.0)</f>
        <v>8180</v>
      </c>
    </row>
    <row r="1422">
      <c r="A1422" s="3">
        <f>IFERROR(__xludf.DUMMYFUNCTION("""COMPUTED_VALUE"""),44067.66666666667)</f>
        <v>44067.66667</v>
      </c>
      <c r="B1422" s="2">
        <f>IFERROR(__xludf.DUMMYFUNCTION("""COMPUTED_VALUE"""),96.29)</f>
        <v>96.29</v>
      </c>
      <c r="D1422" s="3">
        <f>IFERROR(__xludf.DUMMYFUNCTION("""COMPUTED_VALUE"""),44067.66666666667)</f>
        <v>44067.66667</v>
      </c>
      <c r="E1422" s="2">
        <f>IFERROR(__xludf.DUMMYFUNCTION("""COMPUTED_VALUE"""),127.2)</f>
        <v>127.2</v>
      </c>
      <c r="G1422" s="3">
        <f>IFERROR(__xludf.DUMMYFUNCTION("""COMPUTED_VALUE"""),43747.99861111111)</f>
        <v>43747.99861</v>
      </c>
      <c r="H1422" s="2">
        <f>IFERROR(__xludf.DUMMYFUNCTION("""COMPUTED_VALUE"""),8590.01)</f>
        <v>8590.01</v>
      </c>
    </row>
    <row r="1423">
      <c r="A1423" s="3">
        <f>IFERROR(__xludf.DUMMYFUNCTION("""COMPUTED_VALUE"""),44068.66666666667)</f>
        <v>44068.66667</v>
      </c>
      <c r="B1423" s="2">
        <f>IFERROR(__xludf.DUMMYFUNCTION("""COMPUTED_VALUE"""),97.58)</f>
        <v>97.58</v>
      </c>
      <c r="D1423" s="3">
        <f>IFERROR(__xludf.DUMMYFUNCTION("""COMPUTED_VALUE"""),44068.66666666667)</f>
        <v>44068.66667</v>
      </c>
      <c r="E1423" s="2">
        <f>IFERROR(__xludf.DUMMYFUNCTION("""COMPUTED_VALUE"""),127.5)</f>
        <v>127.5</v>
      </c>
      <c r="G1423" s="3">
        <f>IFERROR(__xludf.DUMMYFUNCTION("""COMPUTED_VALUE"""),43748.99861111111)</f>
        <v>43748.99861</v>
      </c>
      <c r="H1423" s="2">
        <f>IFERROR(__xludf.DUMMYFUNCTION("""COMPUTED_VALUE"""),8587.5)</f>
        <v>8587.5</v>
      </c>
    </row>
    <row r="1424">
      <c r="A1424" s="3">
        <f>IFERROR(__xludf.DUMMYFUNCTION("""COMPUTED_VALUE"""),44069.66666666667)</f>
        <v>44069.66667</v>
      </c>
      <c r="B1424" s="2">
        <f>IFERROR(__xludf.DUMMYFUNCTION("""COMPUTED_VALUE"""),98.07)</f>
        <v>98.07</v>
      </c>
      <c r="D1424" s="3">
        <f>IFERROR(__xludf.DUMMYFUNCTION("""COMPUTED_VALUE"""),44069.66666666667)</f>
        <v>44069.66667</v>
      </c>
      <c r="E1424" s="2">
        <f>IFERROR(__xludf.DUMMYFUNCTION("""COMPUTED_VALUE"""),127.73)</f>
        <v>127.73</v>
      </c>
      <c r="G1424" s="3">
        <f>IFERROR(__xludf.DUMMYFUNCTION("""COMPUTED_VALUE"""),43749.99861111111)</f>
        <v>43749.99861</v>
      </c>
      <c r="H1424" s="2">
        <f>IFERROR(__xludf.DUMMYFUNCTION("""COMPUTED_VALUE"""),8267.33)</f>
        <v>8267.33</v>
      </c>
    </row>
    <row r="1425">
      <c r="A1425" s="3">
        <f>IFERROR(__xludf.DUMMYFUNCTION("""COMPUTED_VALUE"""),44070.66666666667)</f>
        <v>44070.66667</v>
      </c>
      <c r="B1425" s="2">
        <f>IFERROR(__xludf.DUMMYFUNCTION("""COMPUTED_VALUE"""),95.61)</f>
        <v>95.61</v>
      </c>
      <c r="D1425" s="3">
        <f>IFERROR(__xludf.DUMMYFUNCTION("""COMPUTED_VALUE"""),44070.66666666667)</f>
        <v>44070.66667</v>
      </c>
      <c r="E1425" s="2">
        <f>IFERROR(__xludf.DUMMYFUNCTION("""COMPUTED_VALUE"""),126.28)</f>
        <v>126.28</v>
      </c>
      <c r="G1425" s="3">
        <f>IFERROR(__xludf.DUMMYFUNCTION("""COMPUTED_VALUE"""),43750.99861111111)</f>
        <v>43750.99861</v>
      </c>
      <c r="H1425" s="2">
        <f>IFERROR(__xludf.DUMMYFUNCTION("""COMPUTED_VALUE"""),8309.03)</f>
        <v>8309.03</v>
      </c>
    </row>
    <row r="1426">
      <c r="A1426" s="3">
        <f>IFERROR(__xludf.DUMMYFUNCTION("""COMPUTED_VALUE"""),44071.66666666667)</f>
        <v>44071.66667</v>
      </c>
      <c r="B1426" s="2">
        <f>IFERROR(__xludf.DUMMYFUNCTION("""COMPUTED_VALUE"""),97.33)</f>
        <v>97.33</v>
      </c>
      <c r="D1426" s="3">
        <f>IFERROR(__xludf.DUMMYFUNCTION("""COMPUTED_VALUE"""),44071.66666666667)</f>
        <v>44071.66667</v>
      </c>
      <c r="E1426" s="2">
        <f>IFERROR(__xludf.DUMMYFUNCTION("""COMPUTED_VALUE"""),131.48)</f>
        <v>131.48</v>
      </c>
      <c r="G1426" s="3">
        <f>IFERROR(__xludf.DUMMYFUNCTION("""COMPUTED_VALUE"""),43751.99861111111)</f>
        <v>43751.99861</v>
      </c>
      <c r="H1426" s="2">
        <f>IFERROR(__xludf.DUMMYFUNCTION("""COMPUTED_VALUE"""),8282.96)</f>
        <v>8282.96</v>
      </c>
    </row>
    <row r="1427">
      <c r="A1427" s="3">
        <f>IFERROR(__xludf.DUMMYFUNCTION("""COMPUTED_VALUE"""),44074.66666666667)</f>
        <v>44074.66667</v>
      </c>
      <c r="B1427" s="2">
        <f>IFERROR(__xludf.DUMMYFUNCTION("""COMPUTED_VALUE"""),98.52)</f>
        <v>98.52</v>
      </c>
      <c r="D1427" s="3">
        <f>IFERROR(__xludf.DUMMYFUNCTION("""COMPUTED_VALUE"""),44074.66666666667)</f>
        <v>44074.66667</v>
      </c>
      <c r="E1427" s="2">
        <f>IFERROR(__xludf.DUMMYFUNCTION("""COMPUTED_VALUE"""),133.75)</f>
        <v>133.75</v>
      </c>
      <c r="G1427" s="3">
        <f>IFERROR(__xludf.DUMMYFUNCTION("""COMPUTED_VALUE"""),43752.99861111111)</f>
        <v>43752.99861</v>
      </c>
      <c r="H1427" s="2">
        <f>IFERROR(__xludf.DUMMYFUNCTION("""COMPUTED_VALUE"""),8355.0)</f>
        <v>8355</v>
      </c>
    </row>
    <row r="1428">
      <c r="A1428" s="3">
        <f>IFERROR(__xludf.DUMMYFUNCTION("""COMPUTED_VALUE"""),44075.66666666667)</f>
        <v>44075.66667</v>
      </c>
      <c r="B1428" s="2">
        <f>IFERROR(__xludf.DUMMYFUNCTION("""COMPUTED_VALUE"""),99.74)</f>
        <v>99.74</v>
      </c>
      <c r="D1428" s="3">
        <f>IFERROR(__xludf.DUMMYFUNCTION("""COMPUTED_VALUE"""),44075.66666666667)</f>
        <v>44075.66667</v>
      </c>
      <c r="E1428" s="2">
        <f>IFERROR(__xludf.DUMMYFUNCTION("""COMPUTED_VALUE"""),138.21)</f>
        <v>138.21</v>
      </c>
      <c r="G1428" s="3">
        <f>IFERROR(__xludf.DUMMYFUNCTION("""COMPUTED_VALUE"""),43753.99861111111)</f>
        <v>43753.99861</v>
      </c>
      <c r="H1428" s="2">
        <f>IFERROR(__xludf.DUMMYFUNCTION("""COMPUTED_VALUE"""),8162.44)</f>
        <v>8162.44</v>
      </c>
    </row>
    <row r="1429">
      <c r="A1429" s="3">
        <f>IFERROR(__xludf.DUMMYFUNCTION("""COMPUTED_VALUE"""),44076.66666666667)</f>
        <v>44076.66667</v>
      </c>
      <c r="B1429" s="2">
        <f>IFERROR(__xludf.DUMMYFUNCTION("""COMPUTED_VALUE"""),102.5)</f>
        <v>102.5</v>
      </c>
      <c r="D1429" s="3">
        <f>IFERROR(__xludf.DUMMYFUNCTION("""COMPUTED_VALUE"""),44076.66666666667)</f>
        <v>44076.66667</v>
      </c>
      <c r="E1429" s="2">
        <f>IFERROR(__xludf.DUMMYFUNCTION("""COMPUTED_VALUE"""),143.47)</f>
        <v>143.47</v>
      </c>
      <c r="G1429" s="3">
        <f>IFERROR(__xludf.DUMMYFUNCTION("""COMPUTED_VALUE"""),43754.99861111111)</f>
        <v>43754.99861</v>
      </c>
      <c r="H1429" s="2">
        <f>IFERROR(__xludf.DUMMYFUNCTION("""COMPUTED_VALUE"""),7993.54)</f>
        <v>7993.54</v>
      </c>
    </row>
    <row r="1430">
      <c r="A1430" s="3">
        <f>IFERROR(__xludf.DUMMYFUNCTION("""COMPUTED_VALUE"""),44077.66666666667)</f>
        <v>44077.66667</v>
      </c>
      <c r="B1430" s="2">
        <f>IFERROR(__xludf.DUMMYFUNCTION("""COMPUTED_VALUE"""),97.89)</f>
        <v>97.89</v>
      </c>
      <c r="D1430" s="3">
        <f>IFERROR(__xludf.DUMMYFUNCTION("""COMPUTED_VALUE"""),44077.66666666667)</f>
        <v>44077.66667</v>
      </c>
      <c r="E1430" s="2">
        <f>IFERROR(__xludf.DUMMYFUNCTION("""COMPUTED_VALUE"""),130.16)</f>
        <v>130.16</v>
      </c>
      <c r="G1430" s="3">
        <f>IFERROR(__xludf.DUMMYFUNCTION("""COMPUTED_VALUE"""),43755.99861111111)</f>
        <v>43755.99861</v>
      </c>
      <c r="H1430" s="2">
        <f>IFERROR(__xludf.DUMMYFUNCTION("""COMPUTED_VALUE"""),8076.2)</f>
        <v>8076.2</v>
      </c>
    </row>
    <row r="1431">
      <c r="A1431" s="3">
        <f>IFERROR(__xludf.DUMMYFUNCTION("""COMPUTED_VALUE"""),44078.66666666667)</f>
        <v>44078.66667</v>
      </c>
      <c r="B1431" s="2">
        <f>IFERROR(__xludf.DUMMYFUNCTION("""COMPUTED_VALUE"""),94.95)</f>
        <v>94.95</v>
      </c>
      <c r="D1431" s="3">
        <f>IFERROR(__xludf.DUMMYFUNCTION("""COMPUTED_VALUE"""),44078.66666666667)</f>
        <v>44078.66667</v>
      </c>
      <c r="E1431" s="2">
        <f>IFERROR(__xludf.DUMMYFUNCTION("""COMPUTED_VALUE"""),126.23)</f>
        <v>126.23</v>
      </c>
      <c r="G1431" s="3">
        <f>IFERROR(__xludf.DUMMYFUNCTION("""COMPUTED_VALUE"""),43756.99861111111)</f>
        <v>43756.99861</v>
      </c>
      <c r="H1431" s="2">
        <f>IFERROR(__xludf.DUMMYFUNCTION("""COMPUTED_VALUE"""),7954.16)</f>
        <v>7954.16</v>
      </c>
    </row>
    <row r="1432">
      <c r="A1432" s="3">
        <f>IFERROR(__xludf.DUMMYFUNCTION("""COMPUTED_VALUE"""),44082.66666666667)</f>
        <v>44082.66667</v>
      </c>
      <c r="B1432" s="2">
        <f>IFERROR(__xludf.DUMMYFUNCTION("""COMPUTED_VALUE"""),93.39)</f>
        <v>93.39</v>
      </c>
      <c r="D1432" s="3">
        <f>IFERROR(__xludf.DUMMYFUNCTION("""COMPUTED_VALUE"""),44082.66666666667)</f>
        <v>44082.66667</v>
      </c>
      <c r="E1432" s="2">
        <f>IFERROR(__xludf.DUMMYFUNCTION("""COMPUTED_VALUE"""),119.13)</f>
        <v>119.13</v>
      </c>
      <c r="G1432" s="3">
        <f>IFERROR(__xludf.DUMMYFUNCTION("""COMPUTED_VALUE"""),43757.99861111111)</f>
        <v>43757.99861</v>
      </c>
      <c r="H1432" s="2">
        <f>IFERROR(__xludf.DUMMYFUNCTION("""COMPUTED_VALUE"""),7965.28)</f>
        <v>7965.28</v>
      </c>
    </row>
    <row r="1433">
      <c r="A1433" s="3">
        <f>IFERROR(__xludf.DUMMYFUNCTION("""COMPUTED_VALUE"""),44083.66666666667)</f>
        <v>44083.66667</v>
      </c>
      <c r="B1433" s="2">
        <f>IFERROR(__xludf.DUMMYFUNCTION("""COMPUTED_VALUE"""),92.89)</f>
        <v>92.89</v>
      </c>
      <c r="D1433" s="3">
        <f>IFERROR(__xludf.DUMMYFUNCTION("""COMPUTED_VALUE"""),44083.66666666667)</f>
        <v>44083.66667</v>
      </c>
      <c r="E1433" s="2">
        <f>IFERROR(__xludf.DUMMYFUNCTION("""COMPUTED_VALUE"""),127.15)</f>
        <v>127.15</v>
      </c>
      <c r="G1433" s="3">
        <f>IFERROR(__xludf.DUMMYFUNCTION("""COMPUTED_VALUE"""),43758.99861111111)</f>
        <v>43758.99861</v>
      </c>
      <c r="H1433" s="2">
        <f>IFERROR(__xludf.DUMMYFUNCTION("""COMPUTED_VALUE"""),8236.04)</f>
        <v>8236.04</v>
      </c>
    </row>
    <row r="1434">
      <c r="A1434" s="3">
        <f>IFERROR(__xludf.DUMMYFUNCTION("""COMPUTED_VALUE"""),44084.66666666667)</f>
        <v>44084.66667</v>
      </c>
      <c r="B1434" s="2">
        <f>IFERROR(__xludf.DUMMYFUNCTION("""COMPUTED_VALUE"""),90.69)</f>
        <v>90.69</v>
      </c>
      <c r="D1434" s="3">
        <f>IFERROR(__xludf.DUMMYFUNCTION("""COMPUTED_VALUE"""),44084.66666666667)</f>
        <v>44084.66667</v>
      </c>
      <c r="E1434" s="2">
        <f>IFERROR(__xludf.DUMMYFUNCTION("""COMPUTED_VALUE"""),123.12)</f>
        <v>123.12</v>
      </c>
      <c r="G1434" s="3">
        <f>IFERROR(__xludf.DUMMYFUNCTION("""COMPUTED_VALUE"""),43759.99861111111)</f>
        <v>43759.99861</v>
      </c>
      <c r="H1434" s="2">
        <f>IFERROR(__xludf.DUMMYFUNCTION("""COMPUTED_VALUE"""),8209.92)</f>
        <v>8209.92</v>
      </c>
    </row>
    <row r="1435">
      <c r="A1435" s="3">
        <f>IFERROR(__xludf.DUMMYFUNCTION("""COMPUTED_VALUE"""),44085.66666666667)</f>
        <v>44085.66667</v>
      </c>
      <c r="B1435" s="2">
        <f>IFERROR(__xludf.DUMMYFUNCTION("""COMPUTED_VALUE"""),92.35)</f>
        <v>92.35</v>
      </c>
      <c r="D1435" s="3">
        <f>IFERROR(__xludf.DUMMYFUNCTION("""COMPUTED_VALUE"""),44085.66666666667)</f>
        <v>44085.66667</v>
      </c>
      <c r="E1435" s="2">
        <f>IFERROR(__xludf.DUMMYFUNCTION("""COMPUTED_VALUE"""),121.65)</f>
        <v>121.65</v>
      </c>
      <c r="G1435" s="3">
        <f>IFERROR(__xludf.DUMMYFUNCTION("""COMPUTED_VALUE"""),43760.99861111111)</f>
        <v>43760.99861</v>
      </c>
      <c r="H1435" s="2">
        <f>IFERROR(__xludf.DUMMYFUNCTION("""COMPUTED_VALUE"""),8024.72)</f>
        <v>8024.72</v>
      </c>
    </row>
    <row r="1436">
      <c r="A1436" s="3">
        <f>IFERROR(__xludf.DUMMYFUNCTION("""COMPUTED_VALUE"""),44088.66666666667)</f>
        <v>44088.66667</v>
      </c>
      <c r="B1436" s="2">
        <f>IFERROR(__xludf.DUMMYFUNCTION("""COMPUTED_VALUE"""),94.23)</f>
        <v>94.23</v>
      </c>
      <c r="D1436" s="3">
        <f>IFERROR(__xludf.DUMMYFUNCTION("""COMPUTED_VALUE"""),44088.66666666667)</f>
        <v>44088.66667</v>
      </c>
      <c r="E1436" s="2">
        <f>IFERROR(__xludf.DUMMYFUNCTION("""COMPUTED_VALUE"""),128.72)</f>
        <v>128.72</v>
      </c>
      <c r="G1436" s="3">
        <f>IFERROR(__xludf.DUMMYFUNCTION("""COMPUTED_VALUE"""),43761.99861111111)</f>
        <v>43761.99861</v>
      </c>
      <c r="H1436" s="2">
        <f>IFERROR(__xludf.DUMMYFUNCTION("""COMPUTED_VALUE"""),7474.85)</f>
        <v>7474.85</v>
      </c>
    </row>
    <row r="1437">
      <c r="A1437" s="3">
        <f>IFERROR(__xludf.DUMMYFUNCTION("""COMPUTED_VALUE"""),44089.66666666667)</f>
        <v>44089.66667</v>
      </c>
      <c r="B1437" s="2">
        <f>IFERROR(__xludf.DUMMYFUNCTION("""COMPUTED_VALUE"""),96.21)</f>
        <v>96.21</v>
      </c>
      <c r="D1437" s="3">
        <f>IFERROR(__xludf.DUMMYFUNCTION("""COMPUTED_VALUE"""),44089.66666666667)</f>
        <v>44089.66667</v>
      </c>
      <c r="E1437" s="2">
        <f>IFERROR(__xludf.DUMMYFUNCTION("""COMPUTED_VALUE"""),129.91)</f>
        <v>129.91</v>
      </c>
      <c r="G1437" s="3">
        <f>IFERROR(__xludf.DUMMYFUNCTION("""COMPUTED_VALUE"""),43762.99861111111)</f>
        <v>43762.99861</v>
      </c>
      <c r="H1437" s="2">
        <f>IFERROR(__xludf.DUMMYFUNCTION("""COMPUTED_VALUE"""),7430.87)</f>
        <v>7430.87</v>
      </c>
    </row>
    <row r="1438">
      <c r="A1438" s="3">
        <f>IFERROR(__xludf.DUMMYFUNCTION("""COMPUTED_VALUE"""),44090.66666666667)</f>
        <v>44090.66667</v>
      </c>
      <c r="B1438" s="2">
        <f>IFERROR(__xludf.DUMMYFUNCTION("""COMPUTED_VALUE"""),97.97)</f>
        <v>97.97</v>
      </c>
      <c r="D1438" s="3">
        <f>IFERROR(__xludf.DUMMYFUNCTION("""COMPUTED_VALUE"""),44090.66666666667)</f>
        <v>44090.66667</v>
      </c>
      <c r="E1438" s="2">
        <f>IFERROR(__xludf.DUMMYFUNCTION("""COMPUTED_VALUE"""),125.15)</f>
        <v>125.15</v>
      </c>
      <c r="G1438" s="3">
        <f>IFERROR(__xludf.DUMMYFUNCTION("""COMPUTED_VALUE"""),43763.99861111111)</f>
        <v>43763.99861</v>
      </c>
      <c r="H1438" s="2">
        <f>IFERROR(__xludf.DUMMYFUNCTION("""COMPUTED_VALUE"""),8668.0)</f>
        <v>8668</v>
      </c>
    </row>
    <row r="1439">
      <c r="A1439" s="3">
        <f>IFERROR(__xludf.DUMMYFUNCTION("""COMPUTED_VALUE"""),44091.66666666667)</f>
        <v>44091.66667</v>
      </c>
      <c r="B1439" s="2">
        <f>IFERROR(__xludf.DUMMYFUNCTION("""COMPUTED_VALUE"""),98.25)</f>
        <v>98.25</v>
      </c>
      <c r="D1439" s="3">
        <f>IFERROR(__xludf.DUMMYFUNCTION("""COMPUTED_VALUE"""),44091.66666666667)</f>
        <v>44091.66667</v>
      </c>
      <c r="E1439" s="2">
        <f>IFERROR(__xludf.DUMMYFUNCTION("""COMPUTED_VALUE"""),124.64)</f>
        <v>124.64</v>
      </c>
      <c r="G1439" s="3">
        <f>IFERROR(__xludf.DUMMYFUNCTION("""COMPUTED_VALUE"""),43764.99861111111)</f>
        <v>43764.99861</v>
      </c>
      <c r="H1439" s="2">
        <f>IFERROR(__xludf.DUMMYFUNCTION("""COMPUTED_VALUE"""),9259.78)</f>
        <v>9259.78</v>
      </c>
    </row>
    <row r="1440">
      <c r="A1440" s="3">
        <f>IFERROR(__xludf.DUMMYFUNCTION("""COMPUTED_VALUE"""),44092.66666666667)</f>
        <v>44092.66667</v>
      </c>
      <c r="B1440" s="2">
        <f>IFERROR(__xludf.DUMMYFUNCTION("""COMPUTED_VALUE"""),97.1)</f>
        <v>97.1</v>
      </c>
      <c r="D1440" s="3">
        <f>IFERROR(__xludf.DUMMYFUNCTION("""COMPUTED_VALUE"""),44092.66666666667)</f>
        <v>44092.66667</v>
      </c>
      <c r="E1440" s="2">
        <f>IFERROR(__xludf.DUMMYFUNCTION("""COMPUTED_VALUE"""),121.89)</f>
        <v>121.89</v>
      </c>
      <c r="G1440" s="3">
        <f>IFERROR(__xludf.DUMMYFUNCTION("""COMPUTED_VALUE"""),43765.99861111111)</f>
        <v>43765.99861</v>
      </c>
      <c r="H1440" s="2">
        <f>IFERROR(__xludf.DUMMYFUNCTION("""COMPUTED_VALUE"""),9548.84)</f>
        <v>9548.84</v>
      </c>
    </row>
    <row r="1441">
      <c r="A1441" s="3">
        <f>IFERROR(__xludf.DUMMYFUNCTION("""COMPUTED_VALUE"""),44095.66666666667)</f>
        <v>44095.66667</v>
      </c>
      <c r="B1441" s="2">
        <f>IFERROR(__xludf.DUMMYFUNCTION("""COMPUTED_VALUE"""),97.8)</f>
        <v>97.8</v>
      </c>
      <c r="D1441" s="3">
        <f>IFERROR(__xludf.DUMMYFUNCTION("""COMPUTED_VALUE"""),44095.66666666667)</f>
        <v>44095.66667</v>
      </c>
      <c r="E1441" s="2">
        <f>IFERROR(__xludf.DUMMYFUNCTION("""COMPUTED_VALUE"""),125.17)</f>
        <v>125.17</v>
      </c>
      <c r="G1441" s="3">
        <f>IFERROR(__xludf.DUMMYFUNCTION("""COMPUTED_VALUE"""),43766.99861111111)</f>
        <v>43766.99861</v>
      </c>
      <c r="H1441" s="2">
        <f>IFERROR(__xludf.DUMMYFUNCTION("""COMPUTED_VALUE"""),9219.94)</f>
        <v>9219.94</v>
      </c>
    </row>
    <row r="1442">
      <c r="A1442" s="3">
        <f>IFERROR(__xludf.DUMMYFUNCTION("""COMPUTED_VALUE"""),44096.66666666667)</f>
        <v>44096.66667</v>
      </c>
      <c r="B1442" s="2">
        <f>IFERROR(__xludf.DUMMYFUNCTION("""COMPUTED_VALUE"""),97.42)</f>
        <v>97.42</v>
      </c>
      <c r="D1442" s="3">
        <f>IFERROR(__xludf.DUMMYFUNCTION("""COMPUTED_VALUE"""),44096.66666666667)</f>
        <v>44096.66667</v>
      </c>
      <c r="E1442" s="2">
        <f>IFERROR(__xludf.DUMMYFUNCTION("""COMPUTED_VALUE"""),126.38)</f>
        <v>126.38</v>
      </c>
      <c r="G1442" s="3">
        <f>IFERROR(__xludf.DUMMYFUNCTION("""COMPUTED_VALUE"""),43767.99861111111)</f>
        <v>43767.99861</v>
      </c>
      <c r="H1442" s="2">
        <f>IFERROR(__xludf.DUMMYFUNCTION("""COMPUTED_VALUE"""),9430.79)</f>
        <v>9430.79</v>
      </c>
    </row>
    <row r="1443">
      <c r="A1443" s="3">
        <f>IFERROR(__xludf.DUMMYFUNCTION("""COMPUTED_VALUE"""),44097.66666666667)</f>
        <v>44097.66667</v>
      </c>
      <c r="B1443" s="2">
        <f>IFERROR(__xludf.DUMMYFUNCTION("""COMPUTED_VALUE"""),96.36)</f>
        <v>96.36</v>
      </c>
      <c r="D1443" s="3">
        <f>IFERROR(__xludf.DUMMYFUNCTION("""COMPUTED_VALUE"""),44097.66666666667)</f>
        <v>44097.66667</v>
      </c>
      <c r="E1443" s="2">
        <f>IFERROR(__xludf.DUMMYFUNCTION("""COMPUTED_VALUE"""),121.24)</f>
        <v>121.24</v>
      </c>
      <c r="G1443" s="3">
        <f>IFERROR(__xludf.DUMMYFUNCTION("""COMPUTED_VALUE"""),43768.99861111111)</f>
        <v>43768.99861</v>
      </c>
      <c r="H1443" s="2">
        <f>IFERROR(__xludf.DUMMYFUNCTION("""COMPUTED_VALUE"""),9164.45)</f>
        <v>9164.45</v>
      </c>
    </row>
    <row r="1444">
      <c r="A1444" s="3">
        <f>IFERROR(__xludf.DUMMYFUNCTION("""COMPUTED_VALUE"""),44098.66666666667)</f>
        <v>44098.66667</v>
      </c>
      <c r="B1444" s="2">
        <f>IFERROR(__xludf.DUMMYFUNCTION("""COMPUTED_VALUE"""),96.6)</f>
        <v>96.6</v>
      </c>
      <c r="D1444" s="3">
        <f>IFERROR(__xludf.DUMMYFUNCTION("""COMPUTED_VALUE"""),44098.66666666667)</f>
        <v>44098.66667</v>
      </c>
      <c r="E1444" s="2">
        <f>IFERROR(__xludf.DUMMYFUNCTION("""COMPUTED_VALUE"""),123.48)</f>
        <v>123.48</v>
      </c>
      <c r="G1444" s="3">
        <f>IFERROR(__xludf.DUMMYFUNCTION("""COMPUTED_VALUE"""),43769.99861111111)</f>
        <v>43769.99861</v>
      </c>
      <c r="H1444" s="2">
        <f>IFERROR(__xludf.DUMMYFUNCTION("""COMPUTED_VALUE"""),9159.48)</f>
        <v>9159.48</v>
      </c>
    </row>
    <row r="1445">
      <c r="A1445" s="3">
        <f>IFERROR(__xludf.DUMMYFUNCTION("""COMPUTED_VALUE"""),44099.66666666667)</f>
        <v>44099.66667</v>
      </c>
      <c r="B1445" s="2">
        <f>IFERROR(__xludf.DUMMYFUNCTION("""COMPUTED_VALUE"""),98.12)</f>
        <v>98.12</v>
      </c>
      <c r="D1445" s="3">
        <f>IFERROR(__xludf.DUMMYFUNCTION("""COMPUTED_VALUE"""),44099.66666666667)</f>
        <v>44099.66667</v>
      </c>
      <c r="E1445" s="2">
        <f>IFERROR(__xludf.DUMMYFUNCTION("""COMPUTED_VALUE"""),128.74)</f>
        <v>128.74</v>
      </c>
      <c r="G1445" s="3">
        <f>IFERROR(__xludf.DUMMYFUNCTION("""COMPUTED_VALUE"""),43770.99861111111)</f>
        <v>43770.99861</v>
      </c>
      <c r="H1445" s="2">
        <f>IFERROR(__xludf.DUMMYFUNCTION("""COMPUTED_VALUE"""),9253.12)</f>
        <v>9253.12</v>
      </c>
    </row>
    <row r="1446">
      <c r="A1446" s="3">
        <f>IFERROR(__xludf.DUMMYFUNCTION("""COMPUTED_VALUE"""),44102.66666666667)</f>
        <v>44102.66667</v>
      </c>
      <c r="B1446" s="2">
        <f>IFERROR(__xludf.DUMMYFUNCTION("""COMPUTED_VALUE"""),100.25)</f>
        <v>100.25</v>
      </c>
      <c r="D1446" s="3">
        <f>IFERROR(__xludf.DUMMYFUNCTION("""COMPUTED_VALUE"""),44102.66666666667)</f>
        <v>44102.66667</v>
      </c>
      <c r="E1446" s="2">
        <f>IFERROR(__xludf.DUMMYFUNCTION("""COMPUTED_VALUE"""),130.35)</f>
        <v>130.35</v>
      </c>
      <c r="G1446" s="3">
        <f>IFERROR(__xludf.DUMMYFUNCTION("""COMPUTED_VALUE"""),43771.99861111111)</f>
        <v>43771.99861</v>
      </c>
      <c r="H1446" s="2">
        <f>IFERROR(__xludf.DUMMYFUNCTION("""COMPUTED_VALUE"""),9308.51)</f>
        <v>9308.51</v>
      </c>
    </row>
    <row r="1447">
      <c r="A1447" s="3">
        <f>IFERROR(__xludf.DUMMYFUNCTION("""COMPUTED_VALUE"""),44103.66666666667)</f>
        <v>44103.66667</v>
      </c>
      <c r="B1447" s="2">
        <f>IFERROR(__xludf.DUMMYFUNCTION("""COMPUTED_VALUE"""),99.6)</f>
        <v>99.6</v>
      </c>
      <c r="D1447" s="3">
        <f>IFERROR(__xludf.DUMMYFUNCTION("""COMPUTED_VALUE"""),44103.66666666667)</f>
        <v>44103.66667</v>
      </c>
      <c r="E1447" s="2">
        <f>IFERROR(__xludf.DUMMYFUNCTION("""COMPUTED_VALUE"""),132.26)</f>
        <v>132.26</v>
      </c>
      <c r="G1447" s="3">
        <f>IFERROR(__xludf.DUMMYFUNCTION("""COMPUTED_VALUE"""),43772.99861111111)</f>
        <v>43772.99861</v>
      </c>
      <c r="H1447" s="2">
        <f>IFERROR(__xludf.DUMMYFUNCTION("""COMPUTED_VALUE"""),9206.52)</f>
        <v>9206.52</v>
      </c>
    </row>
    <row r="1448">
      <c r="A1448" s="3">
        <f>IFERROR(__xludf.DUMMYFUNCTION("""COMPUTED_VALUE"""),44104.66666666667)</f>
        <v>44104.66667</v>
      </c>
      <c r="B1448" s="2">
        <f>IFERROR(__xludf.DUMMYFUNCTION("""COMPUTED_VALUE"""),98.78)</f>
        <v>98.78</v>
      </c>
      <c r="D1448" s="3">
        <f>IFERROR(__xludf.DUMMYFUNCTION("""COMPUTED_VALUE"""),44104.66666666667)</f>
        <v>44104.66667</v>
      </c>
      <c r="E1448" s="2">
        <f>IFERROR(__xludf.DUMMYFUNCTION("""COMPUTED_VALUE"""),135.31)</f>
        <v>135.31</v>
      </c>
      <c r="G1448" s="3">
        <f>IFERROR(__xludf.DUMMYFUNCTION("""COMPUTED_VALUE"""),43773.99861111111)</f>
        <v>43773.99861</v>
      </c>
      <c r="H1448" s="2">
        <f>IFERROR(__xludf.DUMMYFUNCTION("""COMPUTED_VALUE"""),9412.53)</f>
        <v>9412.53</v>
      </c>
    </row>
    <row r="1449">
      <c r="A1449" s="3">
        <f>IFERROR(__xludf.DUMMYFUNCTION("""COMPUTED_VALUE"""),44105.66666666667)</f>
        <v>44105.66667</v>
      </c>
      <c r="B1449" s="2">
        <f>IFERROR(__xludf.DUMMYFUNCTION("""COMPUTED_VALUE"""),97.48)</f>
        <v>97.48</v>
      </c>
      <c r="D1449" s="3">
        <f>IFERROR(__xludf.DUMMYFUNCTION("""COMPUTED_VALUE"""),44105.66666666667)</f>
        <v>44105.66667</v>
      </c>
      <c r="E1449" s="2">
        <f>IFERROR(__xludf.DUMMYFUNCTION("""COMPUTED_VALUE"""),136.15)</f>
        <v>136.15</v>
      </c>
      <c r="G1449" s="3">
        <f>IFERROR(__xludf.DUMMYFUNCTION("""COMPUTED_VALUE"""),43774.99861111111)</f>
        <v>43774.99861</v>
      </c>
      <c r="H1449" s="2">
        <f>IFERROR(__xludf.DUMMYFUNCTION("""COMPUTED_VALUE"""),9309.0)</f>
        <v>9309</v>
      </c>
    </row>
    <row r="1450">
      <c r="A1450" s="3">
        <f>IFERROR(__xludf.DUMMYFUNCTION("""COMPUTED_VALUE"""),44106.66666666667)</f>
        <v>44106.66667</v>
      </c>
      <c r="B1450" s="2">
        <f>IFERROR(__xludf.DUMMYFUNCTION("""COMPUTED_VALUE"""),98.27)</f>
        <v>98.27</v>
      </c>
      <c r="D1450" s="3">
        <f>IFERROR(__xludf.DUMMYFUNCTION("""COMPUTED_VALUE"""),44106.66666666667)</f>
        <v>44106.66667</v>
      </c>
      <c r="E1450" s="2">
        <f>IFERROR(__xludf.DUMMYFUNCTION("""COMPUTED_VALUE"""),130.62)</f>
        <v>130.62</v>
      </c>
      <c r="G1450" s="3">
        <f>IFERROR(__xludf.DUMMYFUNCTION("""COMPUTED_VALUE"""),43775.99861111111)</f>
        <v>43775.99861</v>
      </c>
      <c r="H1450" s="2">
        <f>IFERROR(__xludf.DUMMYFUNCTION("""COMPUTED_VALUE"""),9341.27)</f>
        <v>9341.27</v>
      </c>
    </row>
    <row r="1451">
      <c r="A1451" s="3">
        <f>IFERROR(__xludf.DUMMYFUNCTION("""COMPUTED_VALUE"""),44109.66666666667)</f>
        <v>44109.66667</v>
      </c>
      <c r="B1451" s="2">
        <f>IFERROR(__xludf.DUMMYFUNCTION("""COMPUTED_VALUE"""),99.69)</f>
        <v>99.69</v>
      </c>
      <c r="D1451" s="3">
        <f>IFERROR(__xludf.DUMMYFUNCTION("""COMPUTED_VALUE"""),44109.66666666667)</f>
        <v>44109.66667</v>
      </c>
      <c r="E1451" s="2">
        <f>IFERROR(__xludf.DUMMYFUNCTION("""COMPUTED_VALUE"""),136.43)</f>
        <v>136.43</v>
      </c>
      <c r="G1451" s="3">
        <f>IFERROR(__xludf.DUMMYFUNCTION("""COMPUTED_VALUE"""),43776.99861111111)</f>
        <v>43776.99861</v>
      </c>
      <c r="H1451" s="2">
        <f>IFERROR(__xludf.DUMMYFUNCTION("""COMPUTED_VALUE"""),9205.76)</f>
        <v>9205.76</v>
      </c>
    </row>
    <row r="1452">
      <c r="A1452" s="3">
        <f>IFERROR(__xludf.DUMMYFUNCTION("""COMPUTED_VALUE"""),44110.66666666667)</f>
        <v>44110.66667</v>
      </c>
      <c r="B1452" s="2">
        <f>IFERROR(__xludf.DUMMYFUNCTION("""COMPUTED_VALUE"""),99.49)</f>
        <v>99.49</v>
      </c>
      <c r="D1452" s="3">
        <f>IFERROR(__xludf.DUMMYFUNCTION("""COMPUTED_VALUE"""),44110.66666666667)</f>
        <v>44110.66667</v>
      </c>
      <c r="E1452" s="2">
        <f>IFERROR(__xludf.DUMMYFUNCTION("""COMPUTED_VALUE"""),137.37)</f>
        <v>137.37</v>
      </c>
      <c r="G1452" s="3">
        <f>IFERROR(__xludf.DUMMYFUNCTION("""COMPUTED_VALUE"""),43777.99861111111)</f>
        <v>43777.99861</v>
      </c>
      <c r="H1452" s="2">
        <f>IFERROR(__xludf.DUMMYFUNCTION("""COMPUTED_VALUE"""),8763.01)</f>
        <v>8763.01</v>
      </c>
    </row>
    <row r="1453">
      <c r="A1453" s="3">
        <f>IFERROR(__xludf.DUMMYFUNCTION("""COMPUTED_VALUE"""),44111.66666666667)</f>
        <v>44111.66667</v>
      </c>
      <c r="B1453" s="2">
        <f>IFERROR(__xludf.DUMMYFUNCTION("""COMPUTED_VALUE"""),101.16)</f>
        <v>101.16</v>
      </c>
      <c r="D1453" s="3">
        <f>IFERROR(__xludf.DUMMYFUNCTION("""COMPUTED_VALUE"""),44111.66666666667)</f>
        <v>44111.66667</v>
      </c>
      <c r="E1453" s="2">
        <f>IFERROR(__xludf.DUMMYFUNCTION("""COMPUTED_VALUE"""),139.64)</f>
        <v>139.64</v>
      </c>
      <c r="G1453" s="3">
        <f>IFERROR(__xludf.DUMMYFUNCTION("""COMPUTED_VALUE"""),43778.99861111111)</f>
        <v>43778.99861</v>
      </c>
      <c r="H1453" s="2">
        <f>IFERROR(__xludf.DUMMYFUNCTION("""COMPUTED_VALUE"""),8810.76)</f>
        <v>8810.76</v>
      </c>
    </row>
    <row r="1454">
      <c r="A1454" s="3">
        <f>IFERROR(__xludf.DUMMYFUNCTION("""COMPUTED_VALUE"""),44112.66666666667)</f>
        <v>44112.66667</v>
      </c>
      <c r="B1454" s="2">
        <f>IFERROR(__xludf.DUMMYFUNCTION("""COMPUTED_VALUE"""),103.18)</f>
        <v>103.18</v>
      </c>
      <c r="D1454" s="3">
        <f>IFERROR(__xludf.DUMMYFUNCTION("""COMPUTED_VALUE"""),44112.66666666667)</f>
        <v>44112.66667</v>
      </c>
      <c r="E1454" s="2">
        <f>IFERROR(__xludf.DUMMYFUNCTION("""COMPUTED_VALUE"""),138.39)</f>
        <v>138.39</v>
      </c>
      <c r="G1454" s="3">
        <f>IFERROR(__xludf.DUMMYFUNCTION("""COMPUTED_VALUE"""),43779.99861111111)</f>
        <v>43779.99861</v>
      </c>
      <c r="H1454" s="2">
        <f>IFERROR(__xludf.DUMMYFUNCTION("""COMPUTED_VALUE"""),9038.2)</f>
        <v>9038.2</v>
      </c>
    </row>
    <row r="1455">
      <c r="A1455" s="3">
        <f>IFERROR(__xludf.DUMMYFUNCTION("""COMPUTED_VALUE"""),44113.66666666667)</f>
        <v>44113.66667</v>
      </c>
      <c r="B1455" s="2">
        <f>IFERROR(__xludf.DUMMYFUNCTION("""COMPUTED_VALUE"""),105.26)</f>
        <v>105.26</v>
      </c>
      <c r="D1455" s="3">
        <f>IFERROR(__xludf.DUMMYFUNCTION("""COMPUTED_VALUE"""),44113.66666666667)</f>
        <v>44113.66667</v>
      </c>
      <c r="E1455" s="2">
        <f>IFERROR(__xludf.DUMMYFUNCTION("""COMPUTED_VALUE"""),137.63)</f>
        <v>137.63</v>
      </c>
      <c r="G1455" s="3">
        <f>IFERROR(__xludf.DUMMYFUNCTION("""COMPUTED_VALUE"""),43780.99861111111)</f>
        <v>43780.99861</v>
      </c>
      <c r="H1455" s="2">
        <f>IFERROR(__xludf.DUMMYFUNCTION("""COMPUTED_VALUE"""),8721.54)</f>
        <v>8721.54</v>
      </c>
    </row>
    <row r="1456">
      <c r="A1456" s="3">
        <f>IFERROR(__xludf.DUMMYFUNCTION("""COMPUTED_VALUE"""),44116.66666666667)</f>
        <v>44116.66667</v>
      </c>
      <c r="B1456" s="2">
        <f>IFERROR(__xludf.DUMMYFUNCTION("""COMPUTED_VALUE"""),105.72)</f>
        <v>105.72</v>
      </c>
      <c r="D1456" s="3">
        <f>IFERROR(__xludf.DUMMYFUNCTION("""COMPUTED_VALUE"""),44116.66666666667)</f>
        <v>44116.66667</v>
      </c>
      <c r="E1456" s="2">
        <f>IFERROR(__xludf.DUMMYFUNCTION("""COMPUTED_VALUE"""),142.26)</f>
        <v>142.26</v>
      </c>
      <c r="G1456" s="3">
        <f>IFERROR(__xludf.DUMMYFUNCTION("""COMPUTED_VALUE"""),43781.99861111111)</f>
        <v>43781.99861</v>
      </c>
      <c r="H1456" s="2">
        <f>IFERROR(__xludf.DUMMYFUNCTION("""COMPUTED_VALUE"""),8795.77)</f>
        <v>8795.77</v>
      </c>
    </row>
    <row r="1457">
      <c r="A1457" s="3">
        <f>IFERROR(__xludf.DUMMYFUNCTION("""COMPUTED_VALUE"""),44117.66666666667)</f>
        <v>44117.66667</v>
      </c>
      <c r="B1457" s="2">
        <f>IFERROR(__xludf.DUMMYFUNCTION("""COMPUTED_VALUE"""),104.49)</f>
        <v>104.49</v>
      </c>
      <c r="D1457" s="3">
        <f>IFERROR(__xludf.DUMMYFUNCTION("""COMPUTED_VALUE"""),44117.66666666667)</f>
        <v>44117.66667</v>
      </c>
      <c r="E1457" s="2">
        <f>IFERROR(__xludf.DUMMYFUNCTION("""COMPUTED_VALUE"""),142.48)</f>
        <v>142.48</v>
      </c>
      <c r="G1457" s="3">
        <f>IFERROR(__xludf.DUMMYFUNCTION("""COMPUTED_VALUE"""),43782.99861111111)</f>
        <v>43782.99861</v>
      </c>
      <c r="H1457" s="2">
        <f>IFERROR(__xludf.DUMMYFUNCTION("""COMPUTED_VALUE"""),8758.34)</f>
        <v>8758.34</v>
      </c>
    </row>
    <row r="1458">
      <c r="A1458" s="3">
        <f>IFERROR(__xludf.DUMMYFUNCTION("""COMPUTED_VALUE"""),44118.66666666667)</f>
        <v>44118.66667</v>
      </c>
      <c r="B1458" s="2">
        <f>IFERROR(__xludf.DUMMYFUNCTION("""COMPUTED_VALUE"""),104.98)</f>
        <v>104.98</v>
      </c>
      <c r="D1458" s="3">
        <f>IFERROR(__xludf.DUMMYFUNCTION("""COMPUTED_VALUE"""),44118.66666666667)</f>
        <v>44118.66667</v>
      </c>
      <c r="E1458" s="2">
        <f>IFERROR(__xludf.DUMMYFUNCTION("""COMPUTED_VALUE"""),140.95)</f>
        <v>140.95</v>
      </c>
      <c r="G1458" s="3">
        <f>IFERROR(__xludf.DUMMYFUNCTION("""COMPUTED_VALUE"""),43783.99861111111)</f>
        <v>43783.99861</v>
      </c>
      <c r="H1458" s="2">
        <f>IFERROR(__xludf.DUMMYFUNCTION("""COMPUTED_VALUE"""),8635.01)</f>
        <v>8635.01</v>
      </c>
    </row>
    <row r="1459">
      <c r="A1459" s="3">
        <f>IFERROR(__xludf.DUMMYFUNCTION("""COMPUTED_VALUE"""),44119.66666666667)</f>
        <v>44119.66667</v>
      </c>
      <c r="B1459" s="2">
        <f>IFERROR(__xludf.DUMMYFUNCTION("""COMPUTED_VALUE"""),105.68)</f>
        <v>105.68</v>
      </c>
      <c r="D1459" s="3">
        <f>IFERROR(__xludf.DUMMYFUNCTION("""COMPUTED_VALUE"""),44119.66666666667)</f>
        <v>44119.66667</v>
      </c>
      <c r="E1459" s="2">
        <f>IFERROR(__xludf.DUMMYFUNCTION("""COMPUTED_VALUE"""),139.7)</f>
        <v>139.7</v>
      </c>
      <c r="G1459" s="3">
        <f>IFERROR(__xludf.DUMMYFUNCTION("""COMPUTED_VALUE"""),43784.99861111111)</f>
        <v>43784.99861</v>
      </c>
      <c r="H1459" s="2">
        <f>IFERROR(__xludf.DUMMYFUNCTION("""COMPUTED_VALUE"""),8457.48)</f>
        <v>8457.48</v>
      </c>
    </row>
    <row r="1460">
      <c r="A1460" s="3">
        <f>IFERROR(__xludf.DUMMYFUNCTION("""COMPUTED_VALUE"""),44120.66666666667)</f>
        <v>44120.66667</v>
      </c>
      <c r="B1460" s="2">
        <f>IFERROR(__xludf.DUMMYFUNCTION("""COMPUTED_VALUE"""),104.91)</f>
        <v>104.91</v>
      </c>
      <c r="D1460" s="3">
        <f>IFERROR(__xludf.DUMMYFUNCTION("""COMPUTED_VALUE"""),44120.66666666667)</f>
        <v>44120.66667</v>
      </c>
      <c r="E1460" s="2">
        <f>IFERROR(__xludf.DUMMYFUNCTION("""COMPUTED_VALUE"""),138.12)</f>
        <v>138.12</v>
      </c>
      <c r="G1460" s="3">
        <f>IFERROR(__xludf.DUMMYFUNCTION("""COMPUTED_VALUE"""),43785.99861111111)</f>
        <v>43785.99861</v>
      </c>
      <c r="H1460" s="2">
        <f>IFERROR(__xludf.DUMMYFUNCTION("""COMPUTED_VALUE"""),8480.79)</f>
        <v>8480.79</v>
      </c>
    </row>
    <row r="1461">
      <c r="A1461" s="3">
        <f>IFERROR(__xludf.DUMMYFUNCTION("""COMPUTED_VALUE"""),44123.66666666667)</f>
        <v>44123.66667</v>
      </c>
      <c r="B1461" s="2">
        <f>IFERROR(__xludf.DUMMYFUNCTION("""COMPUTED_VALUE"""),106.68)</f>
        <v>106.68</v>
      </c>
      <c r="D1461" s="3">
        <f>IFERROR(__xludf.DUMMYFUNCTION("""COMPUTED_VALUE"""),44123.66666666667)</f>
        <v>44123.66667</v>
      </c>
      <c r="E1461" s="2">
        <f>IFERROR(__xludf.DUMMYFUNCTION("""COMPUTED_VALUE"""),134.98)</f>
        <v>134.98</v>
      </c>
      <c r="G1461" s="3">
        <f>IFERROR(__xludf.DUMMYFUNCTION("""COMPUTED_VALUE"""),43786.99861111111)</f>
        <v>43786.99861</v>
      </c>
      <c r="H1461" s="2">
        <f>IFERROR(__xludf.DUMMYFUNCTION("""COMPUTED_VALUE"""),8500.01)</f>
        <v>8500.01</v>
      </c>
    </row>
    <row r="1462">
      <c r="A1462" s="3">
        <f>IFERROR(__xludf.DUMMYFUNCTION("""COMPUTED_VALUE"""),44124.66666666667)</f>
        <v>44124.66667</v>
      </c>
      <c r="B1462" s="2">
        <f>IFERROR(__xludf.DUMMYFUNCTION("""COMPUTED_VALUE"""),105.45)</f>
        <v>105.45</v>
      </c>
      <c r="D1462" s="3">
        <f>IFERROR(__xludf.DUMMYFUNCTION("""COMPUTED_VALUE"""),44124.66666666667)</f>
        <v>44124.66667</v>
      </c>
      <c r="E1462" s="2">
        <f>IFERROR(__xludf.DUMMYFUNCTION("""COMPUTED_VALUE"""),136.46)</f>
        <v>136.46</v>
      </c>
      <c r="G1462" s="3">
        <f>IFERROR(__xludf.DUMMYFUNCTION("""COMPUTED_VALUE"""),43787.99861111111)</f>
        <v>43787.99861</v>
      </c>
      <c r="H1462" s="2">
        <f>IFERROR(__xludf.DUMMYFUNCTION("""COMPUTED_VALUE"""),8168.84)</f>
        <v>8168.84</v>
      </c>
    </row>
    <row r="1463">
      <c r="A1463" s="3">
        <f>IFERROR(__xludf.DUMMYFUNCTION("""COMPUTED_VALUE"""),44125.66666666667)</f>
        <v>44125.66667</v>
      </c>
      <c r="B1463" s="2">
        <f>IFERROR(__xludf.DUMMYFUNCTION("""COMPUTED_VALUE"""),105.7)</f>
        <v>105.7</v>
      </c>
      <c r="D1463" s="3">
        <f>IFERROR(__xludf.DUMMYFUNCTION("""COMPUTED_VALUE"""),44125.66666666667)</f>
        <v>44125.66667</v>
      </c>
      <c r="E1463" s="2">
        <f>IFERROR(__xludf.DUMMYFUNCTION("""COMPUTED_VALUE"""),135.25)</f>
        <v>135.25</v>
      </c>
      <c r="G1463" s="3">
        <f>IFERROR(__xludf.DUMMYFUNCTION("""COMPUTED_VALUE"""),43788.99861111111)</f>
        <v>43788.99861</v>
      </c>
      <c r="H1463" s="2">
        <f>IFERROR(__xludf.DUMMYFUNCTION("""COMPUTED_VALUE"""),8123.36)</f>
        <v>8123.36</v>
      </c>
    </row>
    <row r="1464">
      <c r="A1464" s="3">
        <f>IFERROR(__xludf.DUMMYFUNCTION("""COMPUTED_VALUE"""),44126.66666666667)</f>
        <v>44126.66667</v>
      </c>
      <c r="B1464" s="2">
        <f>IFERROR(__xludf.DUMMYFUNCTION("""COMPUTED_VALUE"""),106.26)</f>
        <v>106.26</v>
      </c>
      <c r="D1464" s="3">
        <f>IFERROR(__xludf.DUMMYFUNCTION("""COMPUTED_VALUE"""),44126.66666666667)</f>
        <v>44126.66667</v>
      </c>
      <c r="E1464" s="2">
        <f>IFERROR(__xludf.DUMMYFUNCTION("""COMPUTED_VALUE"""),133.61)</f>
        <v>133.61</v>
      </c>
      <c r="G1464" s="3">
        <f>IFERROR(__xludf.DUMMYFUNCTION("""COMPUTED_VALUE"""),43789.99861111111)</f>
        <v>43789.99861</v>
      </c>
      <c r="H1464" s="2">
        <f>IFERROR(__xludf.DUMMYFUNCTION("""COMPUTED_VALUE"""),8082.96)</f>
        <v>8082.96</v>
      </c>
    </row>
    <row r="1465">
      <c r="A1465" s="3">
        <f>IFERROR(__xludf.DUMMYFUNCTION("""COMPUTED_VALUE"""),44127.66666666667)</f>
        <v>44127.66667</v>
      </c>
      <c r="B1465" s="2">
        <f>IFERROR(__xludf.DUMMYFUNCTION("""COMPUTED_VALUE"""),107.88)</f>
        <v>107.88</v>
      </c>
      <c r="D1465" s="3">
        <f>IFERROR(__xludf.DUMMYFUNCTION("""COMPUTED_VALUE"""),44127.66666666667)</f>
        <v>44127.66667</v>
      </c>
      <c r="E1465" s="2">
        <f>IFERROR(__xludf.DUMMYFUNCTION("""COMPUTED_VALUE"""),135.9)</f>
        <v>135.9</v>
      </c>
      <c r="G1465" s="3">
        <f>IFERROR(__xludf.DUMMYFUNCTION("""COMPUTED_VALUE"""),43790.99861111111)</f>
        <v>43790.99861</v>
      </c>
      <c r="H1465" s="2">
        <f>IFERROR(__xludf.DUMMYFUNCTION("""COMPUTED_VALUE"""),7616.46)</f>
        <v>7616.46</v>
      </c>
    </row>
    <row r="1466">
      <c r="A1466" s="3">
        <f>IFERROR(__xludf.DUMMYFUNCTION("""COMPUTED_VALUE"""),44130.66666666667)</f>
        <v>44130.66667</v>
      </c>
      <c r="B1466" s="2">
        <f>IFERROR(__xludf.DUMMYFUNCTION("""COMPUTED_VALUE"""),105.85)</f>
        <v>105.85</v>
      </c>
      <c r="D1466" s="3">
        <f>IFERROR(__xludf.DUMMYFUNCTION("""COMPUTED_VALUE"""),44130.66666666667)</f>
        <v>44130.66667</v>
      </c>
      <c r="E1466" s="2">
        <f>IFERROR(__xludf.DUMMYFUNCTION("""COMPUTED_VALUE"""),131.41)</f>
        <v>131.41</v>
      </c>
      <c r="G1466" s="3">
        <f>IFERROR(__xludf.DUMMYFUNCTION("""COMPUTED_VALUE"""),43791.99861111111)</f>
        <v>43791.99861</v>
      </c>
      <c r="H1466" s="2">
        <f>IFERROR(__xludf.DUMMYFUNCTION("""COMPUTED_VALUE"""),7298.18)</f>
        <v>7298.18</v>
      </c>
    </row>
    <row r="1467">
      <c r="A1467" s="3">
        <f>IFERROR(__xludf.DUMMYFUNCTION("""COMPUTED_VALUE"""),44131.66666666667)</f>
        <v>44131.66667</v>
      </c>
      <c r="B1467" s="2">
        <f>IFERROR(__xludf.DUMMYFUNCTION("""COMPUTED_VALUE"""),106.9)</f>
        <v>106.9</v>
      </c>
      <c r="D1467" s="3">
        <f>IFERROR(__xludf.DUMMYFUNCTION("""COMPUTED_VALUE"""),44131.66666666667)</f>
        <v>44131.66667</v>
      </c>
      <c r="E1467" s="2">
        <f>IFERROR(__xludf.DUMMYFUNCTION("""COMPUTED_VALUE"""),133.97)</f>
        <v>133.97</v>
      </c>
      <c r="G1467" s="3">
        <f>IFERROR(__xludf.DUMMYFUNCTION("""COMPUTED_VALUE"""),43792.99861111111)</f>
        <v>43792.99861</v>
      </c>
      <c r="H1467" s="2">
        <f>IFERROR(__xludf.DUMMYFUNCTION("""COMPUTED_VALUE"""),7330.98)</f>
        <v>7330.98</v>
      </c>
    </row>
    <row r="1468">
      <c r="A1468" s="3">
        <f>IFERROR(__xludf.DUMMYFUNCTION("""COMPUTED_VALUE"""),44132.66666666667)</f>
        <v>44132.66667</v>
      </c>
      <c r="B1468" s="2">
        <f>IFERROR(__xludf.DUMMYFUNCTION("""COMPUTED_VALUE"""),104.3)</f>
        <v>104.3</v>
      </c>
      <c r="D1468" s="3">
        <f>IFERROR(__xludf.DUMMYFUNCTION("""COMPUTED_VALUE"""),44132.66666666667)</f>
        <v>44132.66667</v>
      </c>
      <c r="E1468" s="2">
        <f>IFERROR(__xludf.DUMMYFUNCTION("""COMPUTED_VALUE"""),126.27)</f>
        <v>126.27</v>
      </c>
      <c r="G1468" s="3">
        <f>IFERROR(__xludf.DUMMYFUNCTION("""COMPUTED_VALUE"""),43793.99861111111)</f>
        <v>43793.99861</v>
      </c>
      <c r="H1468" s="2">
        <f>IFERROR(__xludf.DUMMYFUNCTION("""COMPUTED_VALUE"""),6908.64)</f>
        <v>6908.64</v>
      </c>
    </row>
    <row r="1469">
      <c r="A1469" s="3">
        <f>IFERROR(__xludf.DUMMYFUNCTION("""COMPUTED_VALUE"""),44133.66666666667)</f>
        <v>44133.66667</v>
      </c>
      <c r="B1469" s="2">
        <f>IFERROR(__xludf.DUMMYFUNCTION("""COMPUTED_VALUE"""),104.54)</f>
        <v>104.54</v>
      </c>
      <c r="D1469" s="3">
        <f>IFERROR(__xludf.DUMMYFUNCTION("""COMPUTED_VALUE"""),44133.66666666667)</f>
        <v>44133.66667</v>
      </c>
      <c r="E1469" s="2">
        <f>IFERROR(__xludf.DUMMYFUNCTION("""COMPUTED_VALUE"""),130.24)</f>
        <v>130.24</v>
      </c>
      <c r="G1469" s="3">
        <f>IFERROR(__xludf.DUMMYFUNCTION("""COMPUTED_VALUE"""),43794.99861111111)</f>
        <v>43794.99861</v>
      </c>
      <c r="H1469" s="2">
        <f>IFERROR(__xludf.DUMMYFUNCTION("""COMPUTED_VALUE"""),7127.01)</f>
        <v>7127.01</v>
      </c>
    </row>
    <row r="1470">
      <c r="A1470" s="3">
        <f>IFERROR(__xludf.DUMMYFUNCTION("""COMPUTED_VALUE"""),44134.66666666667)</f>
        <v>44134.66667</v>
      </c>
      <c r="B1470" s="2">
        <f>IFERROR(__xludf.DUMMYFUNCTION("""COMPUTED_VALUE"""),104.87)</f>
        <v>104.87</v>
      </c>
      <c r="D1470" s="3">
        <f>IFERROR(__xludf.DUMMYFUNCTION("""COMPUTED_VALUE"""),44134.66666666667)</f>
        <v>44134.66667</v>
      </c>
      <c r="E1470" s="2">
        <f>IFERROR(__xludf.DUMMYFUNCTION("""COMPUTED_VALUE"""),125.34)</f>
        <v>125.34</v>
      </c>
      <c r="G1470" s="3">
        <f>IFERROR(__xludf.DUMMYFUNCTION("""COMPUTED_VALUE"""),43795.99861111111)</f>
        <v>43795.99861</v>
      </c>
      <c r="H1470" s="2">
        <f>IFERROR(__xludf.DUMMYFUNCTION("""COMPUTED_VALUE"""),7172.15)</f>
        <v>7172.15</v>
      </c>
    </row>
    <row r="1471">
      <c r="A1471" s="3">
        <f>IFERROR(__xludf.DUMMYFUNCTION("""COMPUTED_VALUE"""),44137.66666666667)</f>
        <v>44137.66667</v>
      </c>
      <c r="B1471" s="2">
        <f>IFERROR(__xludf.DUMMYFUNCTION("""COMPUTED_VALUE"""),104.74)</f>
        <v>104.74</v>
      </c>
      <c r="D1471" s="3">
        <f>IFERROR(__xludf.DUMMYFUNCTION("""COMPUTED_VALUE"""),44137.66666666667)</f>
        <v>44137.66667</v>
      </c>
      <c r="E1471" s="2">
        <f>IFERROR(__xludf.DUMMYFUNCTION("""COMPUTED_VALUE"""),125.81)</f>
        <v>125.81</v>
      </c>
      <c r="G1471" s="3">
        <f>IFERROR(__xludf.DUMMYFUNCTION("""COMPUTED_VALUE"""),43796.99861111111)</f>
        <v>43796.99861</v>
      </c>
      <c r="H1471" s="2">
        <f>IFERROR(__xludf.DUMMYFUNCTION("""COMPUTED_VALUE"""),7523.72)</f>
        <v>7523.72</v>
      </c>
    </row>
    <row r="1472">
      <c r="A1472" s="3">
        <f>IFERROR(__xludf.DUMMYFUNCTION("""COMPUTED_VALUE"""),44138.66666666667)</f>
        <v>44138.66667</v>
      </c>
      <c r="B1472" s="2">
        <f>IFERROR(__xludf.DUMMYFUNCTION("""COMPUTED_VALUE"""),107.72)</f>
        <v>107.72</v>
      </c>
      <c r="D1472" s="3">
        <f>IFERROR(__xludf.DUMMYFUNCTION("""COMPUTED_VALUE"""),44138.66666666667)</f>
        <v>44138.66667</v>
      </c>
      <c r="E1472" s="2">
        <f>IFERROR(__xludf.DUMMYFUNCTION("""COMPUTED_VALUE"""),130.2)</f>
        <v>130.2</v>
      </c>
      <c r="G1472" s="3">
        <f>IFERROR(__xludf.DUMMYFUNCTION("""COMPUTED_VALUE"""),43797.99861111111)</f>
        <v>43797.99861</v>
      </c>
      <c r="H1472" s="2">
        <f>IFERROR(__xludf.DUMMYFUNCTION("""COMPUTED_VALUE"""),7432.12)</f>
        <v>7432.12</v>
      </c>
    </row>
    <row r="1473">
      <c r="A1473" s="3">
        <f>IFERROR(__xludf.DUMMYFUNCTION("""COMPUTED_VALUE"""),44139.66666666667)</f>
        <v>44139.66667</v>
      </c>
      <c r="B1473" s="2">
        <f>IFERROR(__xludf.DUMMYFUNCTION("""COMPUTED_VALUE"""),107.8)</f>
        <v>107.8</v>
      </c>
      <c r="D1473" s="3">
        <f>IFERROR(__xludf.DUMMYFUNCTION("""COMPUTED_VALUE"""),44139.66666666667)</f>
        <v>44139.66667</v>
      </c>
      <c r="E1473" s="2">
        <f>IFERROR(__xludf.DUMMYFUNCTION("""COMPUTED_VALUE"""),137.94)</f>
        <v>137.94</v>
      </c>
      <c r="G1473" s="3">
        <f>IFERROR(__xludf.DUMMYFUNCTION("""COMPUTED_VALUE"""),43798.99861111111)</f>
        <v>43798.99861</v>
      </c>
      <c r="H1473" s="2">
        <f>IFERROR(__xludf.DUMMYFUNCTION("""COMPUTED_VALUE"""),7760.0)</f>
        <v>7760</v>
      </c>
    </row>
    <row r="1474">
      <c r="A1474" s="3">
        <f>IFERROR(__xludf.DUMMYFUNCTION("""COMPUTED_VALUE"""),44140.66666666667)</f>
        <v>44140.66667</v>
      </c>
      <c r="B1474" s="2">
        <f>IFERROR(__xludf.DUMMYFUNCTION("""COMPUTED_VALUE"""),111.13)</f>
        <v>111.13</v>
      </c>
      <c r="D1474" s="3">
        <f>IFERROR(__xludf.DUMMYFUNCTION("""COMPUTED_VALUE"""),44140.66666666667)</f>
        <v>44140.66667</v>
      </c>
      <c r="E1474" s="2">
        <f>IFERROR(__xludf.DUMMYFUNCTION("""COMPUTED_VALUE"""),141.6)</f>
        <v>141.6</v>
      </c>
      <c r="G1474" s="3">
        <f>IFERROR(__xludf.DUMMYFUNCTION("""COMPUTED_VALUE"""),43799.99861111111)</f>
        <v>43799.99861</v>
      </c>
      <c r="H1474" s="2">
        <f>IFERROR(__xludf.DUMMYFUNCTION("""COMPUTED_VALUE"""),7551.99)</f>
        <v>7551.99</v>
      </c>
    </row>
    <row r="1475">
      <c r="A1475" s="3">
        <f>IFERROR(__xludf.DUMMYFUNCTION("""COMPUTED_VALUE"""),44141.66666666667)</f>
        <v>44141.66667</v>
      </c>
      <c r="B1475" s="2">
        <f>IFERROR(__xludf.DUMMYFUNCTION("""COMPUTED_VALUE"""),112.97)</f>
        <v>112.97</v>
      </c>
      <c r="D1475" s="3">
        <f>IFERROR(__xludf.DUMMYFUNCTION("""COMPUTED_VALUE"""),44141.66666666667)</f>
        <v>44141.66667</v>
      </c>
      <c r="E1475" s="2">
        <f>IFERROR(__xludf.DUMMYFUNCTION("""COMPUTED_VALUE"""),145.62)</f>
        <v>145.62</v>
      </c>
      <c r="G1475" s="3">
        <f>IFERROR(__xludf.DUMMYFUNCTION("""COMPUTED_VALUE"""),43800.99861111111)</f>
        <v>43800.99861</v>
      </c>
      <c r="H1475" s="2">
        <f>IFERROR(__xludf.DUMMYFUNCTION("""COMPUTED_VALUE"""),7404.27)</f>
        <v>7404.27</v>
      </c>
    </row>
    <row r="1476">
      <c r="A1476" s="3">
        <f>IFERROR(__xludf.DUMMYFUNCTION("""COMPUTED_VALUE"""),44144.66666666667)</f>
        <v>44144.66667</v>
      </c>
      <c r="B1476" s="2">
        <f>IFERROR(__xludf.DUMMYFUNCTION("""COMPUTED_VALUE"""),115.56)</f>
        <v>115.56</v>
      </c>
      <c r="D1476" s="3">
        <f>IFERROR(__xludf.DUMMYFUNCTION("""COMPUTED_VALUE"""),44144.66666666667)</f>
        <v>44144.66667</v>
      </c>
      <c r="E1476" s="2">
        <f>IFERROR(__xludf.DUMMYFUNCTION("""COMPUTED_VALUE"""),136.31)</f>
        <v>136.31</v>
      </c>
      <c r="G1476" s="3">
        <f>IFERROR(__xludf.DUMMYFUNCTION("""COMPUTED_VALUE"""),43801.99861111111)</f>
        <v>43801.99861</v>
      </c>
      <c r="H1476" s="2">
        <f>IFERROR(__xludf.DUMMYFUNCTION("""COMPUTED_VALUE"""),7305.0)</f>
        <v>7305</v>
      </c>
    </row>
    <row r="1477">
      <c r="A1477" s="3">
        <f>IFERROR(__xludf.DUMMYFUNCTION("""COMPUTED_VALUE"""),44145.66666666667)</f>
        <v>44145.66667</v>
      </c>
      <c r="B1477" s="2">
        <f>IFERROR(__xludf.DUMMYFUNCTION("""COMPUTED_VALUE"""),112.0)</f>
        <v>112</v>
      </c>
      <c r="D1477" s="3">
        <f>IFERROR(__xludf.DUMMYFUNCTION("""COMPUTED_VALUE"""),44145.66666666667)</f>
        <v>44145.66667</v>
      </c>
      <c r="E1477" s="2">
        <f>IFERROR(__xludf.DUMMYFUNCTION("""COMPUTED_VALUE"""),127.7)</f>
        <v>127.7</v>
      </c>
      <c r="G1477" s="3">
        <f>IFERROR(__xludf.DUMMYFUNCTION("""COMPUTED_VALUE"""),43802.99861111111)</f>
        <v>43802.99861</v>
      </c>
      <c r="H1477" s="2">
        <f>IFERROR(__xludf.DUMMYFUNCTION("""COMPUTED_VALUE"""),7298.2)</f>
        <v>7298.2</v>
      </c>
    </row>
    <row r="1478">
      <c r="A1478" s="3">
        <f>IFERROR(__xludf.DUMMYFUNCTION("""COMPUTED_VALUE"""),44146.66666666667)</f>
        <v>44146.66667</v>
      </c>
      <c r="B1478" s="2">
        <f>IFERROR(__xludf.DUMMYFUNCTION("""COMPUTED_VALUE"""),115.44)</f>
        <v>115.44</v>
      </c>
      <c r="D1478" s="3">
        <f>IFERROR(__xludf.DUMMYFUNCTION("""COMPUTED_VALUE"""),44146.66666666667)</f>
        <v>44146.66667</v>
      </c>
      <c r="E1478" s="2">
        <f>IFERROR(__xludf.DUMMYFUNCTION("""COMPUTED_VALUE"""),134.18)</f>
        <v>134.18</v>
      </c>
      <c r="G1478" s="3">
        <f>IFERROR(__xludf.DUMMYFUNCTION("""COMPUTED_VALUE"""),43803.99861111111)</f>
        <v>43803.99861</v>
      </c>
      <c r="H1478" s="2">
        <f>IFERROR(__xludf.DUMMYFUNCTION("""COMPUTED_VALUE"""),7213.61)</f>
        <v>7213.61</v>
      </c>
    </row>
    <row r="1479">
      <c r="A1479" s="3">
        <f>IFERROR(__xludf.DUMMYFUNCTION("""COMPUTED_VALUE"""),44147.66666666667)</f>
        <v>44147.66667</v>
      </c>
      <c r="B1479" s="2">
        <f>IFERROR(__xludf.DUMMYFUNCTION("""COMPUTED_VALUE"""),114.02)</f>
        <v>114.02</v>
      </c>
      <c r="D1479" s="3">
        <f>IFERROR(__xludf.DUMMYFUNCTION("""COMPUTED_VALUE"""),44147.66666666667)</f>
        <v>44147.66667</v>
      </c>
      <c r="E1479" s="2">
        <f>IFERROR(__xludf.DUMMYFUNCTION("""COMPUTED_VALUE"""),134.57)</f>
        <v>134.57</v>
      </c>
      <c r="G1479" s="3">
        <f>IFERROR(__xludf.DUMMYFUNCTION("""COMPUTED_VALUE"""),43804.99861111111)</f>
        <v>43804.99861</v>
      </c>
      <c r="H1479" s="2">
        <f>IFERROR(__xludf.DUMMYFUNCTION("""COMPUTED_VALUE"""),7394.99)</f>
        <v>7394.99</v>
      </c>
    </row>
    <row r="1480">
      <c r="A1480" s="3">
        <f>IFERROR(__xludf.DUMMYFUNCTION("""COMPUTED_VALUE"""),44148.66666666667)</f>
        <v>44148.66667</v>
      </c>
      <c r="B1480" s="2">
        <f>IFERROR(__xludf.DUMMYFUNCTION("""COMPUTED_VALUE"""),116.1)</f>
        <v>116.1</v>
      </c>
      <c r="D1480" s="3">
        <f>IFERROR(__xludf.DUMMYFUNCTION("""COMPUTED_VALUE"""),44148.66666666667)</f>
        <v>44148.66667</v>
      </c>
      <c r="E1480" s="2">
        <f>IFERROR(__xludf.DUMMYFUNCTION("""COMPUTED_VALUE"""),132.97)</f>
        <v>132.97</v>
      </c>
      <c r="G1480" s="3">
        <f>IFERROR(__xludf.DUMMYFUNCTION("""COMPUTED_VALUE"""),43805.99861111111)</f>
        <v>43805.99861</v>
      </c>
      <c r="H1480" s="2">
        <f>IFERROR(__xludf.DUMMYFUNCTION("""COMPUTED_VALUE"""),7540.87)</f>
        <v>7540.87</v>
      </c>
    </row>
    <row r="1481">
      <c r="A1481" s="3">
        <f>IFERROR(__xludf.DUMMYFUNCTION("""COMPUTED_VALUE"""),44151.66666666667)</f>
        <v>44151.66667</v>
      </c>
      <c r="B1481" s="2">
        <f>IFERROR(__xludf.DUMMYFUNCTION("""COMPUTED_VALUE"""),117.67)</f>
        <v>117.67</v>
      </c>
      <c r="D1481" s="3">
        <f>IFERROR(__xludf.DUMMYFUNCTION("""COMPUTED_VALUE"""),44151.66666666667)</f>
        <v>44151.66667</v>
      </c>
      <c r="E1481" s="2">
        <f>IFERROR(__xludf.DUMMYFUNCTION("""COMPUTED_VALUE"""),135.15)</f>
        <v>135.15</v>
      </c>
      <c r="G1481" s="3">
        <f>IFERROR(__xludf.DUMMYFUNCTION("""COMPUTED_VALUE"""),43806.99861111111)</f>
        <v>43806.99861</v>
      </c>
      <c r="H1481" s="2">
        <f>IFERROR(__xludf.DUMMYFUNCTION("""COMPUTED_VALUE"""),7500.03)</f>
        <v>7500.03</v>
      </c>
    </row>
    <row r="1482">
      <c r="A1482" s="3">
        <f>IFERROR(__xludf.DUMMYFUNCTION("""COMPUTED_VALUE"""),44152.66666666667)</f>
        <v>44152.66667</v>
      </c>
      <c r="B1482" s="2">
        <f>IFERROR(__xludf.DUMMYFUNCTION("""COMPUTED_VALUE"""),117.56)</f>
        <v>117.56</v>
      </c>
      <c r="D1482" s="3">
        <f>IFERROR(__xludf.DUMMYFUNCTION("""COMPUTED_VALUE"""),44152.66666666667)</f>
        <v>44152.66667</v>
      </c>
      <c r="E1482" s="2">
        <f>IFERROR(__xludf.DUMMYFUNCTION("""COMPUTED_VALUE"""),134.22)</f>
        <v>134.22</v>
      </c>
      <c r="G1482" s="3">
        <f>IFERROR(__xludf.DUMMYFUNCTION("""COMPUTED_VALUE"""),43807.99861111111)</f>
        <v>43807.99861</v>
      </c>
      <c r="H1482" s="2">
        <f>IFERROR(__xludf.DUMMYFUNCTION("""COMPUTED_VALUE"""),7529.21)</f>
        <v>7529.21</v>
      </c>
    </row>
    <row r="1483">
      <c r="A1483" s="3">
        <f>IFERROR(__xludf.DUMMYFUNCTION("""COMPUTED_VALUE"""),44153.66666666667)</f>
        <v>44153.66667</v>
      </c>
      <c r="B1483" s="2">
        <f>IFERROR(__xludf.DUMMYFUNCTION("""COMPUTED_VALUE"""),115.14)</f>
        <v>115.14</v>
      </c>
      <c r="D1483" s="3">
        <f>IFERROR(__xludf.DUMMYFUNCTION("""COMPUTED_VALUE"""),44153.66666666667)</f>
        <v>44153.66667</v>
      </c>
      <c r="E1483" s="2">
        <f>IFERROR(__xludf.DUMMYFUNCTION("""COMPUTED_VALUE"""),134.29)</f>
        <v>134.29</v>
      </c>
      <c r="G1483" s="3">
        <f>IFERROR(__xludf.DUMMYFUNCTION("""COMPUTED_VALUE"""),43808.99861111111)</f>
        <v>43808.99861</v>
      </c>
      <c r="H1483" s="2">
        <f>IFERROR(__xludf.DUMMYFUNCTION("""COMPUTED_VALUE"""),7341.49)</f>
        <v>7341.49</v>
      </c>
    </row>
    <row r="1484">
      <c r="A1484" s="3">
        <f>IFERROR(__xludf.DUMMYFUNCTION("""COMPUTED_VALUE"""),44154.66666666667)</f>
        <v>44154.66667</v>
      </c>
      <c r="B1484" s="2">
        <f>IFERROR(__xludf.DUMMYFUNCTION("""COMPUTED_VALUE"""),117.96)</f>
        <v>117.96</v>
      </c>
      <c r="D1484" s="3">
        <f>IFERROR(__xludf.DUMMYFUNCTION("""COMPUTED_VALUE"""),44154.66666666667)</f>
        <v>44154.66667</v>
      </c>
      <c r="E1484" s="2">
        <f>IFERROR(__xludf.DUMMYFUNCTION("""COMPUTED_VALUE"""),134.4)</f>
        <v>134.4</v>
      </c>
      <c r="G1484" s="3">
        <f>IFERROR(__xludf.DUMMYFUNCTION("""COMPUTED_VALUE"""),43809.99861111111)</f>
        <v>43809.99861</v>
      </c>
      <c r="H1484" s="2">
        <f>IFERROR(__xludf.DUMMYFUNCTION("""COMPUTED_VALUE"""),7226.98)</f>
        <v>7226.98</v>
      </c>
    </row>
    <row r="1485">
      <c r="A1485" s="3">
        <f>IFERROR(__xludf.DUMMYFUNCTION("""COMPUTED_VALUE"""),44155.66666666667)</f>
        <v>44155.66667</v>
      </c>
      <c r="B1485" s="2">
        <f>IFERROR(__xludf.DUMMYFUNCTION("""COMPUTED_VALUE"""),116.17)</f>
        <v>116.17</v>
      </c>
      <c r="D1485" s="3">
        <f>IFERROR(__xludf.DUMMYFUNCTION("""COMPUTED_VALUE"""),44155.66666666667)</f>
        <v>44155.66667</v>
      </c>
      <c r="E1485" s="2">
        <f>IFERROR(__xludf.DUMMYFUNCTION("""COMPUTED_VALUE"""),130.88)</f>
        <v>130.88</v>
      </c>
      <c r="G1485" s="3">
        <f>IFERROR(__xludf.DUMMYFUNCTION("""COMPUTED_VALUE"""),43810.99861111111)</f>
        <v>43810.99861</v>
      </c>
      <c r="H1485" s="2">
        <f>IFERROR(__xludf.DUMMYFUNCTION("""COMPUTED_VALUE"""),7194.13)</f>
        <v>7194.13</v>
      </c>
    </row>
    <row r="1486">
      <c r="A1486" s="3">
        <f>IFERROR(__xludf.DUMMYFUNCTION("""COMPUTED_VALUE"""),44158.66666666667)</f>
        <v>44158.66667</v>
      </c>
      <c r="B1486" s="2">
        <f>IFERROR(__xludf.DUMMYFUNCTION("""COMPUTED_VALUE"""),117.15)</f>
        <v>117.15</v>
      </c>
      <c r="D1486" s="3">
        <f>IFERROR(__xludf.DUMMYFUNCTION("""COMPUTED_VALUE"""),44158.66666666667)</f>
        <v>44158.66667</v>
      </c>
      <c r="E1486" s="2">
        <f>IFERROR(__xludf.DUMMYFUNCTION("""COMPUTED_VALUE"""),131.4)</f>
        <v>131.4</v>
      </c>
      <c r="G1486" s="3">
        <f>IFERROR(__xludf.DUMMYFUNCTION("""COMPUTED_VALUE"""),43811.99861111111)</f>
        <v>43811.99861</v>
      </c>
      <c r="H1486" s="2">
        <f>IFERROR(__xludf.DUMMYFUNCTION("""COMPUTED_VALUE"""),7189.41)</f>
        <v>7189.41</v>
      </c>
    </row>
    <row r="1487">
      <c r="A1487" s="3">
        <f>IFERROR(__xludf.DUMMYFUNCTION("""COMPUTED_VALUE"""),44159.66666666667)</f>
        <v>44159.66667</v>
      </c>
      <c r="B1487" s="2">
        <f>IFERROR(__xludf.DUMMYFUNCTION("""COMPUTED_VALUE"""),118.12)</f>
        <v>118.12</v>
      </c>
      <c r="D1487" s="3">
        <f>IFERROR(__xludf.DUMMYFUNCTION("""COMPUTED_VALUE"""),44159.66666666667)</f>
        <v>44159.66667</v>
      </c>
      <c r="E1487" s="2">
        <f>IFERROR(__xludf.DUMMYFUNCTION("""COMPUTED_VALUE"""),129.58)</f>
        <v>129.58</v>
      </c>
      <c r="G1487" s="3">
        <f>IFERROR(__xludf.DUMMYFUNCTION("""COMPUTED_VALUE"""),43812.99861111111)</f>
        <v>43812.99861</v>
      </c>
      <c r="H1487" s="2">
        <f>IFERROR(__xludf.DUMMYFUNCTION("""COMPUTED_VALUE"""),7248.23)</f>
        <v>7248.23</v>
      </c>
    </row>
    <row r="1488">
      <c r="A1488" s="3">
        <f>IFERROR(__xludf.DUMMYFUNCTION("""COMPUTED_VALUE"""),44160.66666666667)</f>
        <v>44160.66667</v>
      </c>
      <c r="B1488" s="2">
        <f>IFERROR(__xludf.DUMMYFUNCTION("""COMPUTED_VALUE"""),118.52)</f>
        <v>118.52</v>
      </c>
      <c r="D1488" s="3">
        <f>IFERROR(__xludf.DUMMYFUNCTION("""COMPUTED_VALUE"""),44160.66666666667)</f>
        <v>44160.66667</v>
      </c>
      <c r="E1488" s="2">
        <f>IFERROR(__xludf.DUMMYFUNCTION("""COMPUTED_VALUE"""),132.35)</f>
        <v>132.35</v>
      </c>
      <c r="G1488" s="3">
        <f>IFERROR(__xludf.DUMMYFUNCTION("""COMPUTED_VALUE"""),43813.99861111111)</f>
        <v>43813.99861</v>
      </c>
      <c r="H1488" s="2">
        <f>IFERROR(__xludf.DUMMYFUNCTION("""COMPUTED_VALUE"""),7071.01)</f>
        <v>7071.01</v>
      </c>
    </row>
    <row r="1489">
      <c r="A1489" s="3">
        <f>IFERROR(__xludf.DUMMYFUNCTION("""COMPUTED_VALUE"""),44162.54166666667)</f>
        <v>44162.54167</v>
      </c>
      <c r="B1489" s="2">
        <f>IFERROR(__xludf.DUMMYFUNCTION("""COMPUTED_VALUE"""),119.07)</f>
        <v>119.07</v>
      </c>
      <c r="D1489" s="3">
        <f>IFERROR(__xludf.DUMMYFUNCTION("""COMPUTED_VALUE"""),44162.54166666667)</f>
        <v>44162.54167</v>
      </c>
      <c r="E1489" s="2">
        <f>IFERROR(__xludf.DUMMYFUNCTION("""COMPUTED_VALUE"""),132.61)</f>
        <v>132.61</v>
      </c>
      <c r="G1489" s="3">
        <f>IFERROR(__xludf.DUMMYFUNCTION("""COMPUTED_VALUE"""),43814.99861111111)</f>
        <v>43814.99861</v>
      </c>
      <c r="H1489" s="2">
        <f>IFERROR(__xludf.DUMMYFUNCTION("""COMPUTED_VALUE"""),7112.63)</f>
        <v>7112.63</v>
      </c>
    </row>
    <row r="1490">
      <c r="A1490" s="3">
        <f>IFERROR(__xludf.DUMMYFUNCTION("""COMPUTED_VALUE"""),44165.66666666667)</f>
        <v>44165.66667</v>
      </c>
      <c r="B1490" s="2">
        <f>IFERROR(__xludf.DUMMYFUNCTION("""COMPUTED_VALUE"""),120.04)</f>
        <v>120.04</v>
      </c>
      <c r="D1490" s="3">
        <f>IFERROR(__xludf.DUMMYFUNCTION("""COMPUTED_VALUE"""),44165.66666666667)</f>
        <v>44165.66667</v>
      </c>
      <c r="E1490" s="2">
        <f>IFERROR(__xludf.DUMMYFUNCTION("""COMPUTED_VALUE"""),134.01)</f>
        <v>134.01</v>
      </c>
      <c r="G1490" s="3">
        <f>IFERROR(__xludf.DUMMYFUNCTION("""COMPUTED_VALUE"""),43815.99861111111)</f>
        <v>43815.99861</v>
      </c>
      <c r="H1490" s="2">
        <f>IFERROR(__xludf.DUMMYFUNCTION("""COMPUTED_VALUE"""),6884.75)</f>
        <v>6884.75</v>
      </c>
    </row>
    <row r="1491">
      <c r="A1491" s="3">
        <f>IFERROR(__xludf.DUMMYFUNCTION("""COMPUTED_VALUE"""),44166.66666666667)</f>
        <v>44166.66667</v>
      </c>
      <c r="B1491" s="2">
        <f>IFERROR(__xludf.DUMMYFUNCTION("""COMPUTED_VALUE"""),121.84)</f>
        <v>121.84</v>
      </c>
      <c r="D1491" s="3">
        <f>IFERROR(__xludf.DUMMYFUNCTION("""COMPUTED_VALUE"""),44166.66666666667)</f>
        <v>44166.66667</v>
      </c>
      <c r="E1491" s="2">
        <f>IFERROR(__xludf.DUMMYFUNCTION("""COMPUTED_VALUE"""),133.9)</f>
        <v>133.9</v>
      </c>
      <c r="G1491" s="3">
        <f>IFERROR(__xludf.DUMMYFUNCTION("""COMPUTED_VALUE"""),43816.99861111111)</f>
        <v>43816.99861</v>
      </c>
      <c r="H1491" s="2">
        <f>IFERROR(__xludf.DUMMYFUNCTION("""COMPUTED_VALUE"""),6615.8)</f>
        <v>6615.8</v>
      </c>
    </row>
    <row r="1492">
      <c r="A1492" s="3">
        <f>IFERROR(__xludf.DUMMYFUNCTION("""COMPUTED_VALUE"""),44167.66666666667)</f>
        <v>44167.66667</v>
      </c>
      <c r="B1492" s="2">
        <f>IFERROR(__xludf.DUMMYFUNCTION("""COMPUTED_VALUE"""),121.88)</f>
        <v>121.88</v>
      </c>
      <c r="D1492" s="3">
        <f>IFERROR(__xludf.DUMMYFUNCTION("""COMPUTED_VALUE"""),44167.66666666667)</f>
        <v>44167.66667</v>
      </c>
      <c r="E1492" s="2">
        <f>IFERROR(__xludf.DUMMYFUNCTION("""COMPUTED_VALUE"""),135.45)</f>
        <v>135.45</v>
      </c>
      <c r="G1492" s="3">
        <f>IFERROR(__xludf.DUMMYFUNCTION("""COMPUTED_VALUE"""),43817.99861111111)</f>
        <v>43817.99861</v>
      </c>
      <c r="H1492" s="2">
        <f>IFERROR(__xludf.DUMMYFUNCTION("""COMPUTED_VALUE"""),7294.81)</f>
        <v>7294.81</v>
      </c>
    </row>
    <row r="1493">
      <c r="A1493" s="3">
        <f>IFERROR(__xludf.DUMMYFUNCTION("""COMPUTED_VALUE"""),44168.66666666667)</f>
        <v>44168.66667</v>
      </c>
      <c r="B1493" s="2">
        <f>IFERROR(__xludf.DUMMYFUNCTION("""COMPUTED_VALUE"""),122.64)</f>
        <v>122.64</v>
      </c>
      <c r="D1493" s="3">
        <f>IFERROR(__xludf.DUMMYFUNCTION("""COMPUTED_VALUE"""),44168.66666666667)</f>
        <v>44168.66667</v>
      </c>
      <c r="E1493" s="2">
        <f>IFERROR(__xludf.DUMMYFUNCTION("""COMPUTED_VALUE"""),133.96)</f>
        <v>133.96</v>
      </c>
      <c r="G1493" s="3">
        <f>IFERROR(__xludf.DUMMYFUNCTION("""COMPUTED_VALUE"""),43818.99861111111)</f>
        <v>43818.99861</v>
      </c>
      <c r="H1493" s="2">
        <f>IFERROR(__xludf.DUMMYFUNCTION("""COMPUTED_VALUE"""),7150.01)</f>
        <v>7150.01</v>
      </c>
    </row>
    <row r="1494">
      <c r="A1494" s="3">
        <f>IFERROR(__xludf.DUMMYFUNCTION("""COMPUTED_VALUE"""),44169.66666666667)</f>
        <v>44169.66667</v>
      </c>
      <c r="B1494" s="2">
        <f>IFERROR(__xludf.DUMMYFUNCTION("""COMPUTED_VALUE"""),123.21)</f>
        <v>123.21</v>
      </c>
      <c r="D1494" s="3">
        <f>IFERROR(__xludf.DUMMYFUNCTION("""COMPUTED_VALUE"""),44169.66666666667)</f>
        <v>44169.66667</v>
      </c>
      <c r="E1494" s="2">
        <f>IFERROR(__xludf.DUMMYFUNCTION("""COMPUTED_VALUE"""),135.58)</f>
        <v>135.58</v>
      </c>
      <c r="G1494" s="3">
        <f>IFERROR(__xludf.DUMMYFUNCTION("""COMPUTED_VALUE"""),43819.99861111111)</f>
        <v>43819.99861</v>
      </c>
      <c r="H1494" s="2">
        <f>IFERROR(__xludf.DUMMYFUNCTION("""COMPUTED_VALUE"""),7182.77)</f>
        <v>7182.77</v>
      </c>
    </row>
    <row r="1495">
      <c r="A1495" s="3">
        <f>IFERROR(__xludf.DUMMYFUNCTION("""COMPUTED_VALUE"""),44172.66666666667)</f>
        <v>44172.66667</v>
      </c>
      <c r="B1495" s="2">
        <f>IFERROR(__xludf.DUMMYFUNCTION("""COMPUTED_VALUE"""),124.91)</f>
        <v>124.91</v>
      </c>
      <c r="D1495" s="3">
        <f>IFERROR(__xludf.DUMMYFUNCTION("""COMPUTED_VALUE"""),44172.66666666667)</f>
        <v>44172.66667</v>
      </c>
      <c r="E1495" s="2">
        <f>IFERROR(__xludf.DUMMYFUNCTION("""COMPUTED_VALUE"""),136.07)</f>
        <v>136.07</v>
      </c>
      <c r="G1495" s="3">
        <f>IFERROR(__xludf.DUMMYFUNCTION("""COMPUTED_VALUE"""),43820.99861111111)</f>
        <v>43820.99861</v>
      </c>
      <c r="H1495" s="2">
        <f>IFERROR(__xludf.DUMMYFUNCTION("""COMPUTED_VALUE"""),7143.01)</f>
        <v>7143.01</v>
      </c>
    </row>
    <row r="1496">
      <c r="A1496" s="3">
        <f>IFERROR(__xludf.DUMMYFUNCTION("""COMPUTED_VALUE"""),44173.66666666667)</f>
        <v>44173.66667</v>
      </c>
      <c r="B1496" s="2">
        <f>IFERROR(__xludf.DUMMYFUNCTION("""COMPUTED_VALUE"""),127.13)</f>
        <v>127.13</v>
      </c>
      <c r="D1496" s="3">
        <f>IFERROR(__xludf.DUMMYFUNCTION("""COMPUTED_VALUE"""),44173.66666666667)</f>
        <v>44173.66667</v>
      </c>
      <c r="E1496" s="2">
        <f>IFERROR(__xludf.DUMMYFUNCTION("""COMPUTED_VALUE"""),133.5)</f>
        <v>133.5</v>
      </c>
      <c r="G1496" s="3">
        <f>IFERROR(__xludf.DUMMYFUNCTION("""COMPUTED_VALUE"""),43821.99861111111)</f>
        <v>43821.99861</v>
      </c>
      <c r="H1496" s="2">
        <f>IFERROR(__xludf.DUMMYFUNCTION("""COMPUTED_VALUE"""),7515.3)</f>
        <v>7515.3</v>
      </c>
    </row>
    <row r="1497">
      <c r="A1497" s="3">
        <f>IFERROR(__xludf.DUMMYFUNCTION("""COMPUTED_VALUE"""),44174.66666666667)</f>
        <v>44174.66667</v>
      </c>
      <c r="B1497" s="2">
        <f>IFERROR(__xludf.DUMMYFUNCTION("""COMPUTED_VALUE"""),124.67)</f>
        <v>124.67</v>
      </c>
      <c r="D1497" s="3">
        <f>IFERROR(__xludf.DUMMYFUNCTION("""COMPUTED_VALUE"""),44174.66666666667)</f>
        <v>44174.66667</v>
      </c>
      <c r="E1497" s="2">
        <f>IFERROR(__xludf.DUMMYFUNCTION("""COMPUTED_VALUE"""),129.31)</f>
        <v>129.31</v>
      </c>
      <c r="G1497" s="3">
        <f>IFERROR(__xludf.DUMMYFUNCTION("""COMPUTED_VALUE"""),43822.99861111111)</f>
        <v>43822.99861</v>
      </c>
      <c r="H1497" s="2">
        <f>IFERROR(__xludf.DUMMYFUNCTION("""COMPUTED_VALUE"""),7323.21)</f>
        <v>7323.21</v>
      </c>
    </row>
    <row r="1498">
      <c r="A1498" s="3">
        <f>IFERROR(__xludf.DUMMYFUNCTION("""COMPUTED_VALUE"""),44175.66666666667)</f>
        <v>44175.66667</v>
      </c>
      <c r="B1498" s="2">
        <f>IFERROR(__xludf.DUMMYFUNCTION("""COMPUTED_VALUE"""),124.76)</f>
        <v>124.76</v>
      </c>
      <c r="D1498" s="3">
        <f>IFERROR(__xludf.DUMMYFUNCTION("""COMPUTED_VALUE"""),44175.66666666667)</f>
        <v>44175.66667</v>
      </c>
      <c r="E1498" s="2">
        <f>IFERROR(__xludf.DUMMYFUNCTION("""COMPUTED_VALUE"""),129.72)</f>
        <v>129.72</v>
      </c>
      <c r="G1498" s="3">
        <f>IFERROR(__xludf.DUMMYFUNCTION("""COMPUTED_VALUE"""),43823.99861111111)</f>
        <v>43823.99861</v>
      </c>
      <c r="H1498" s="2">
        <f>IFERROR(__xludf.DUMMYFUNCTION("""COMPUTED_VALUE"""),7232.76)</f>
        <v>7232.76</v>
      </c>
    </row>
    <row r="1499">
      <c r="A1499" s="3">
        <f>IFERROR(__xludf.DUMMYFUNCTION("""COMPUTED_VALUE"""),44176.66666666667)</f>
        <v>44176.66667</v>
      </c>
      <c r="B1499" s="2">
        <f>IFERROR(__xludf.DUMMYFUNCTION("""COMPUTED_VALUE"""),126.3)</f>
        <v>126.3</v>
      </c>
      <c r="D1499" s="3">
        <f>IFERROR(__xludf.DUMMYFUNCTION("""COMPUTED_VALUE"""),44176.66666666667)</f>
        <v>44176.66667</v>
      </c>
      <c r="E1499" s="2">
        <f>IFERROR(__xludf.DUMMYFUNCTION("""COMPUTED_VALUE"""),130.13)</f>
        <v>130.13</v>
      </c>
      <c r="G1499" s="3">
        <f>IFERROR(__xludf.DUMMYFUNCTION("""COMPUTED_VALUE"""),43824.99861111111)</f>
        <v>43824.99861</v>
      </c>
      <c r="H1499" s="2">
        <f>IFERROR(__xludf.DUMMYFUNCTION("""COMPUTED_VALUE"""),7195.81)</f>
        <v>7195.81</v>
      </c>
    </row>
    <row r="1500">
      <c r="A1500" s="3">
        <f>IFERROR(__xludf.DUMMYFUNCTION("""COMPUTED_VALUE"""),44179.66666666667)</f>
        <v>44179.66667</v>
      </c>
      <c r="B1500" s="2">
        <f>IFERROR(__xludf.DUMMYFUNCTION("""COMPUTED_VALUE"""),123.72)</f>
        <v>123.72</v>
      </c>
      <c r="D1500" s="3">
        <f>IFERROR(__xludf.DUMMYFUNCTION("""COMPUTED_VALUE"""),44179.66666666667)</f>
        <v>44179.66667</v>
      </c>
      <c r="E1500" s="2">
        <f>IFERROR(__xludf.DUMMYFUNCTION("""COMPUTED_VALUE"""),133.09)</f>
        <v>133.09</v>
      </c>
      <c r="G1500" s="3">
        <f>IFERROR(__xludf.DUMMYFUNCTION("""COMPUTED_VALUE"""),43825.99861111111)</f>
        <v>43825.99861</v>
      </c>
      <c r="H1500" s="2">
        <f>IFERROR(__xludf.DUMMYFUNCTION("""COMPUTED_VALUE"""),7195.96)</f>
        <v>7195.96</v>
      </c>
    </row>
    <row r="1501">
      <c r="A1501" s="3">
        <f>IFERROR(__xludf.DUMMYFUNCTION("""COMPUTED_VALUE"""),44180.66666666667)</f>
        <v>44180.66667</v>
      </c>
      <c r="B1501" s="2">
        <f>IFERROR(__xludf.DUMMYFUNCTION("""COMPUTED_VALUE"""),123.37)</f>
        <v>123.37</v>
      </c>
      <c r="D1501" s="3">
        <f>IFERROR(__xludf.DUMMYFUNCTION("""COMPUTED_VALUE"""),44180.66666666667)</f>
        <v>44180.66667</v>
      </c>
      <c r="E1501" s="2">
        <f>IFERROR(__xludf.DUMMYFUNCTION("""COMPUTED_VALUE"""),133.6)</f>
        <v>133.6</v>
      </c>
      <c r="G1501" s="3">
        <f>IFERROR(__xludf.DUMMYFUNCTION("""COMPUTED_VALUE"""),43826.99861111111)</f>
        <v>43826.99861</v>
      </c>
      <c r="H1501" s="2">
        <f>IFERROR(__xludf.DUMMYFUNCTION("""COMPUTED_VALUE"""),7240.4)</f>
        <v>7240.4</v>
      </c>
    </row>
    <row r="1502">
      <c r="A1502" s="3">
        <f>IFERROR(__xludf.DUMMYFUNCTION("""COMPUTED_VALUE"""),44181.66666666667)</f>
        <v>44181.66667</v>
      </c>
      <c r="B1502" s="2">
        <f>IFERROR(__xludf.DUMMYFUNCTION("""COMPUTED_VALUE"""),123.91)</f>
        <v>123.91</v>
      </c>
      <c r="D1502" s="3">
        <f>IFERROR(__xludf.DUMMYFUNCTION("""COMPUTED_VALUE"""),44181.66666666667)</f>
        <v>44181.66667</v>
      </c>
      <c r="E1502" s="2">
        <f>IFERROR(__xludf.DUMMYFUNCTION("""COMPUTED_VALUE"""),132.43)</f>
        <v>132.43</v>
      </c>
      <c r="G1502" s="3">
        <f>IFERROR(__xludf.DUMMYFUNCTION("""COMPUTED_VALUE"""),43827.99861111111)</f>
        <v>43827.99861</v>
      </c>
      <c r="H1502" s="2">
        <f>IFERROR(__xludf.DUMMYFUNCTION("""COMPUTED_VALUE"""),7300.42)</f>
        <v>7300.42</v>
      </c>
    </row>
    <row r="1503">
      <c r="A1503" s="3">
        <f>IFERROR(__xludf.DUMMYFUNCTION("""COMPUTED_VALUE"""),44182.66666666667)</f>
        <v>44182.66667</v>
      </c>
      <c r="B1503" s="2">
        <f>IFERROR(__xludf.DUMMYFUNCTION("""COMPUTED_VALUE"""),126.86)</f>
        <v>126.86</v>
      </c>
      <c r="D1503" s="3">
        <f>IFERROR(__xludf.DUMMYFUNCTION("""COMPUTED_VALUE"""),44182.66666666667)</f>
        <v>44182.66667</v>
      </c>
      <c r="E1503" s="2">
        <f>IFERROR(__xludf.DUMMYFUNCTION("""COMPUTED_VALUE"""),133.41)</f>
        <v>133.41</v>
      </c>
      <c r="G1503" s="3">
        <f>IFERROR(__xludf.DUMMYFUNCTION("""COMPUTED_VALUE"""),43828.99861111111)</f>
        <v>43828.99861</v>
      </c>
      <c r="H1503" s="2">
        <f>IFERROR(__xludf.DUMMYFUNCTION("""COMPUTED_VALUE"""),7389.0)</f>
        <v>7389</v>
      </c>
    </row>
    <row r="1504">
      <c r="A1504" s="3">
        <f>IFERROR(__xludf.DUMMYFUNCTION("""COMPUTED_VALUE"""),44183.66666666667)</f>
        <v>44183.66667</v>
      </c>
      <c r="B1504" s="2">
        <f>IFERROR(__xludf.DUMMYFUNCTION("""COMPUTED_VALUE"""),128.26)</f>
        <v>128.26</v>
      </c>
      <c r="D1504" s="3">
        <f>IFERROR(__xludf.DUMMYFUNCTION("""COMPUTED_VALUE"""),44183.66666666667)</f>
        <v>44183.66667</v>
      </c>
      <c r="E1504" s="2">
        <f>IFERROR(__xludf.DUMMYFUNCTION("""COMPUTED_VALUE"""),132.72)</f>
        <v>132.72</v>
      </c>
      <c r="G1504" s="3">
        <f>IFERROR(__xludf.DUMMYFUNCTION("""COMPUTED_VALUE"""),43829.99861111111)</f>
        <v>43829.99861</v>
      </c>
      <c r="H1504" s="2">
        <f>IFERROR(__xludf.DUMMYFUNCTION("""COMPUTED_VALUE"""),7220.0)</f>
        <v>7220</v>
      </c>
    </row>
    <row r="1505">
      <c r="A1505" s="3">
        <f>IFERROR(__xludf.DUMMYFUNCTION("""COMPUTED_VALUE"""),44186.66666666667)</f>
        <v>44186.66667</v>
      </c>
      <c r="B1505" s="2">
        <f>IFERROR(__xludf.DUMMYFUNCTION("""COMPUTED_VALUE"""),126.97)</f>
        <v>126.97</v>
      </c>
      <c r="D1505" s="3">
        <f>IFERROR(__xludf.DUMMYFUNCTION("""COMPUTED_VALUE"""),44186.66666666667)</f>
        <v>44186.66667</v>
      </c>
      <c r="E1505" s="2">
        <f>IFERROR(__xludf.DUMMYFUNCTION("""COMPUTED_VALUE"""),133.32)</f>
        <v>133.32</v>
      </c>
      <c r="G1505" s="3">
        <f>IFERROR(__xludf.DUMMYFUNCTION("""COMPUTED_VALUE"""),43830.99861111111)</f>
        <v>43830.99861</v>
      </c>
      <c r="H1505" s="2">
        <f>IFERROR(__xludf.DUMMYFUNCTION("""COMPUTED_VALUE"""),7177.36)</f>
        <v>7177.36</v>
      </c>
    </row>
    <row r="1506">
      <c r="A1506" s="3">
        <f>IFERROR(__xludf.DUMMYFUNCTION("""COMPUTED_VALUE"""),44187.66666666667)</f>
        <v>44187.66667</v>
      </c>
      <c r="B1506" s="2">
        <f>IFERROR(__xludf.DUMMYFUNCTION("""COMPUTED_VALUE"""),128.69)</f>
        <v>128.69</v>
      </c>
      <c r="D1506" s="3">
        <f>IFERROR(__xludf.DUMMYFUNCTION("""COMPUTED_VALUE"""),44187.66666666667)</f>
        <v>44187.66667</v>
      </c>
      <c r="E1506" s="2">
        <f>IFERROR(__xludf.DUMMYFUNCTION("""COMPUTED_VALUE"""),132.78)</f>
        <v>132.78</v>
      </c>
      <c r="G1506" s="3">
        <f>IFERROR(__xludf.DUMMYFUNCTION("""COMPUTED_VALUE"""),43831.99861111111)</f>
        <v>43831.99861</v>
      </c>
      <c r="H1506" s="2">
        <f>IFERROR(__xludf.DUMMYFUNCTION("""COMPUTED_VALUE"""),7177.57)</f>
        <v>7177.57</v>
      </c>
    </row>
    <row r="1507">
      <c r="A1507" s="3">
        <f>IFERROR(__xludf.DUMMYFUNCTION("""COMPUTED_VALUE"""),44188.66666666667)</f>
        <v>44188.66667</v>
      </c>
      <c r="B1507" s="2">
        <f>IFERROR(__xludf.DUMMYFUNCTION("""COMPUTED_VALUE"""),130.42)</f>
        <v>130.42</v>
      </c>
      <c r="D1507" s="3">
        <f>IFERROR(__xludf.DUMMYFUNCTION("""COMPUTED_VALUE"""),44188.66666666667)</f>
        <v>44188.66667</v>
      </c>
      <c r="E1507" s="2">
        <f>IFERROR(__xludf.DUMMYFUNCTION("""COMPUTED_VALUE"""),130.09)</f>
        <v>130.09</v>
      </c>
      <c r="G1507" s="3">
        <f>IFERROR(__xludf.DUMMYFUNCTION("""COMPUTED_VALUE"""),43832.99861111111)</f>
        <v>43832.99861</v>
      </c>
      <c r="H1507" s="2">
        <f>IFERROR(__xludf.DUMMYFUNCTION("""COMPUTED_VALUE"""),6946.33)</f>
        <v>6946.33</v>
      </c>
    </row>
    <row r="1508">
      <c r="A1508" s="3">
        <f>IFERROR(__xludf.DUMMYFUNCTION("""COMPUTED_VALUE"""),44189.54166666667)</f>
        <v>44189.54167</v>
      </c>
      <c r="B1508" s="2">
        <f>IFERROR(__xludf.DUMMYFUNCTION("""COMPUTED_VALUE"""),130.95)</f>
        <v>130.95</v>
      </c>
      <c r="D1508" s="3">
        <f>IFERROR(__xludf.DUMMYFUNCTION("""COMPUTED_VALUE"""),44189.54166666667)</f>
        <v>44189.54167</v>
      </c>
      <c r="E1508" s="2">
        <f>IFERROR(__xludf.DUMMYFUNCTION("""COMPUTED_VALUE"""),129.94)</f>
        <v>129.94</v>
      </c>
      <c r="G1508" s="3">
        <f>IFERROR(__xludf.DUMMYFUNCTION("""COMPUTED_VALUE"""),43833.99861111111)</f>
        <v>43833.99861</v>
      </c>
      <c r="H1508" s="2">
        <f>IFERROR(__xludf.DUMMYFUNCTION("""COMPUTED_VALUE"""),7308.09)</f>
        <v>7308.09</v>
      </c>
    </row>
    <row r="1509">
      <c r="A1509" s="3">
        <f>IFERROR(__xludf.DUMMYFUNCTION("""COMPUTED_VALUE"""),44193.66666666667)</f>
        <v>44193.66667</v>
      </c>
      <c r="B1509" s="2">
        <f>IFERROR(__xludf.DUMMYFUNCTION("""COMPUTED_VALUE"""),131.82)</f>
        <v>131.82</v>
      </c>
      <c r="D1509" s="3">
        <f>IFERROR(__xludf.DUMMYFUNCTION("""COMPUTED_VALUE"""),44193.66666666667)</f>
        <v>44193.66667</v>
      </c>
      <c r="E1509" s="2">
        <f>IFERROR(__xludf.DUMMYFUNCTION("""COMPUTED_VALUE"""),129.0)</f>
        <v>129</v>
      </c>
      <c r="G1509" s="3">
        <f>IFERROR(__xludf.DUMMYFUNCTION("""COMPUTED_VALUE"""),43834.99861111111)</f>
        <v>43834.99861</v>
      </c>
      <c r="H1509" s="2">
        <f>IFERROR(__xludf.DUMMYFUNCTION("""COMPUTED_VALUE"""),7347.49)</f>
        <v>7347.49</v>
      </c>
    </row>
    <row r="1510">
      <c r="A1510" s="3">
        <f>IFERROR(__xludf.DUMMYFUNCTION("""COMPUTED_VALUE"""),44194.66666666667)</f>
        <v>44194.66667</v>
      </c>
      <c r="B1510" s="2">
        <f>IFERROR(__xludf.DUMMYFUNCTION("""COMPUTED_VALUE"""),130.01)</f>
        <v>130.01</v>
      </c>
      <c r="D1510" s="3">
        <f>IFERROR(__xludf.DUMMYFUNCTION("""COMPUTED_VALUE"""),44194.66666666667)</f>
        <v>44194.66667</v>
      </c>
      <c r="E1510" s="2">
        <f>IFERROR(__xludf.DUMMYFUNCTION("""COMPUTED_VALUE"""),129.43)</f>
        <v>129.43</v>
      </c>
      <c r="G1510" s="3">
        <f>IFERROR(__xludf.DUMMYFUNCTION("""COMPUTED_VALUE"""),43835.99861111111)</f>
        <v>43835.99861</v>
      </c>
      <c r="H1510" s="2">
        <f>IFERROR(__xludf.DUMMYFUNCTION("""COMPUTED_VALUE"""),7342.49)</f>
        <v>7342.49</v>
      </c>
    </row>
    <row r="1511">
      <c r="A1511" s="3">
        <f>IFERROR(__xludf.DUMMYFUNCTION("""COMPUTED_VALUE"""),44195.66666666667)</f>
        <v>44195.66667</v>
      </c>
      <c r="B1511" s="2">
        <f>IFERROR(__xludf.DUMMYFUNCTION("""COMPUTED_VALUE"""),131.24)</f>
        <v>131.24</v>
      </c>
      <c r="D1511" s="3">
        <f>IFERROR(__xludf.DUMMYFUNCTION("""COMPUTED_VALUE"""),44195.66666666667)</f>
        <v>44195.66667</v>
      </c>
      <c r="E1511" s="2">
        <f>IFERROR(__xludf.DUMMYFUNCTION("""COMPUTED_VALUE"""),131.46)</f>
        <v>131.46</v>
      </c>
      <c r="G1511" s="3">
        <f>IFERROR(__xludf.DUMMYFUNCTION("""COMPUTED_VALUE"""),43836.99861111111)</f>
        <v>43836.99861</v>
      </c>
      <c r="H1511" s="2">
        <f>IFERROR(__xludf.DUMMYFUNCTION("""COMPUTED_VALUE"""),7770.88)</f>
        <v>7770.88</v>
      </c>
    </row>
    <row r="1512">
      <c r="A1512" s="3">
        <f>IFERROR(__xludf.DUMMYFUNCTION("""COMPUTED_VALUE"""),44196.66666666667)</f>
        <v>44196.66667</v>
      </c>
      <c r="B1512" s="2">
        <f>IFERROR(__xludf.DUMMYFUNCTION("""COMPUTED_VALUE"""),132.09)</f>
        <v>132.09</v>
      </c>
      <c r="D1512" s="3">
        <f>IFERROR(__xludf.DUMMYFUNCTION("""COMPUTED_VALUE"""),44196.66666666667)</f>
        <v>44196.66667</v>
      </c>
      <c r="E1512" s="2">
        <f>IFERROR(__xludf.DUMMYFUNCTION("""COMPUTED_VALUE"""),130.55)</f>
        <v>130.55</v>
      </c>
      <c r="G1512" s="3">
        <f>IFERROR(__xludf.DUMMYFUNCTION("""COMPUTED_VALUE"""),43837.99861111111)</f>
        <v>43837.99861</v>
      </c>
      <c r="H1512" s="2">
        <f>IFERROR(__xludf.DUMMYFUNCTION("""COMPUTED_VALUE"""),8168.44)</f>
        <v>8168.44</v>
      </c>
    </row>
    <row r="1513">
      <c r="G1513" s="3">
        <f>IFERROR(__xludf.DUMMYFUNCTION("""COMPUTED_VALUE"""),43838.99861111111)</f>
        <v>43838.99861</v>
      </c>
      <c r="H1513" s="2">
        <f>IFERROR(__xludf.DUMMYFUNCTION("""COMPUTED_VALUE"""),8045.51)</f>
        <v>8045.51</v>
      </c>
    </row>
    <row r="1514">
      <c r="G1514" s="3">
        <f>IFERROR(__xludf.DUMMYFUNCTION("""COMPUTED_VALUE"""),43839.99861111111)</f>
        <v>43839.99861</v>
      </c>
      <c r="H1514" s="2">
        <f>IFERROR(__xludf.DUMMYFUNCTION("""COMPUTED_VALUE"""),7813.78)</f>
        <v>7813.78</v>
      </c>
    </row>
    <row r="1515">
      <c r="G1515" s="3">
        <f>IFERROR(__xludf.DUMMYFUNCTION("""COMPUTED_VALUE"""),43840.99861111111)</f>
        <v>43840.99861</v>
      </c>
      <c r="H1515" s="2">
        <f>IFERROR(__xludf.DUMMYFUNCTION("""COMPUTED_VALUE"""),8170.27)</f>
        <v>8170.27</v>
      </c>
    </row>
    <row r="1516">
      <c r="G1516" s="3">
        <f>IFERROR(__xludf.DUMMYFUNCTION("""COMPUTED_VALUE"""),43841.99861111111)</f>
        <v>43841.99861</v>
      </c>
      <c r="H1516" s="2">
        <f>IFERROR(__xludf.DUMMYFUNCTION("""COMPUTED_VALUE"""),8021.84)</f>
        <v>8021.84</v>
      </c>
    </row>
    <row r="1517">
      <c r="G1517" s="3">
        <f>IFERROR(__xludf.DUMMYFUNCTION("""COMPUTED_VALUE"""),43842.99861111111)</f>
        <v>43842.99861</v>
      </c>
      <c r="H1517" s="2">
        <f>IFERROR(__xludf.DUMMYFUNCTION("""COMPUTED_VALUE"""),8165.21)</f>
        <v>8165.21</v>
      </c>
    </row>
    <row r="1518">
      <c r="G1518" s="3">
        <f>IFERROR(__xludf.DUMMYFUNCTION("""COMPUTED_VALUE"""),43843.99861111111)</f>
        <v>43843.99861</v>
      </c>
      <c r="H1518" s="2">
        <f>IFERROR(__xludf.DUMMYFUNCTION("""COMPUTED_VALUE"""),8104.5)</f>
        <v>8104.5</v>
      </c>
    </row>
    <row r="1519">
      <c r="G1519" s="3">
        <f>IFERROR(__xludf.DUMMYFUNCTION("""COMPUTED_VALUE"""),43844.99861111111)</f>
        <v>43844.99861</v>
      </c>
      <c r="H1519" s="2">
        <f>IFERROR(__xludf.DUMMYFUNCTION("""COMPUTED_VALUE"""),8822.71)</f>
        <v>8822.71</v>
      </c>
    </row>
    <row r="1520">
      <c r="G1520" s="3">
        <f>IFERROR(__xludf.DUMMYFUNCTION("""COMPUTED_VALUE"""),43845.99861111111)</f>
        <v>43845.99861</v>
      </c>
      <c r="H1520" s="2">
        <f>IFERROR(__xludf.DUMMYFUNCTION("""COMPUTED_VALUE"""),8808.81)</f>
        <v>8808.81</v>
      </c>
    </row>
    <row r="1521">
      <c r="G1521" s="3">
        <f>IFERROR(__xludf.DUMMYFUNCTION("""COMPUTED_VALUE"""),43846.99861111111)</f>
        <v>43846.99861</v>
      </c>
      <c r="H1521" s="2">
        <f>IFERROR(__xludf.DUMMYFUNCTION("""COMPUTED_VALUE"""),8714.76)</f>
        <v>8714.76</v>
      </c>
    </row>
    <row r="1522">
      <c r="G1522" s="3">
        <f>IFERROR(__xludf.DUMMYFUNCTION("""COMPUTED_VALUE"""),43847.99861111111)</f>
        <v>43847.99861</v>
      </c>
      <c r="H1522" s="2">
        <f>IFERROR(__xludf.DUMMYFUNCTION("""COMPUTED_VALUE"""),8899.42)</f>
        <v>8899.42</v>
      </c>
    </row>
    <row r="1523">
      <c r="G1523" s="3">
        <f>IFERROR(__xludf.DUMMYFUNCTION("""COMPUTED_VALUE"""),43848.99861111111)</f>
        <v>43848.99861</v>
      </c>
      <c r="H1523" s="2">
        <f>IFERROR(__xludf.DUMMYFUNCTION("""COMPUTED_VALUE"""),8909.32)</f>
        <v>8909.32</v>
      </c>
    </row>
    <row r="1524">
      <c r="G1524" s="3">
        <f>IFERROR(__xludf.DUMMYFUNCTION("""COMPUTED_VALUE"""),43849.99861111111)</f>
        <v>43849.99861</v>
      </c>
      <c r="H1524" s="2">
        <f>IFERROR(__xludf.DUMMYFUNCTION("""COMPUTED_VALUE"""),8697.53)</f>
        <v>8697.53</v>
      </c>
    </row>
    <row r="1525">
      <c r="G1525" s="3">
        <f>IFERROR(__xludf.DUMMYFUNCTION("""COMPUTED_VALUE"""),43850.99861111111)</f>
        <v>43850.99861</v>
      </c>
      <c r="H1525" s="2">
        <f>IFERROR(__xludf.DUMMYFUNCTION("""COMPUTED_VALUE"""),8619.52)</f>
        <v>8619.52</v>
      </c>
    </row>
    <row r="1526">
      <c r="G1526" s="3">
        <f>IFERROR(__xludf.DUMMYFUNCTION("""COMPUTED_VALUE"""),43851.99861111111)</f>
        <v>43851.99861</v>
      </c>
      <c r="H1526" s="2">
        <f>IFERROR(__xludf.DUMMYFUNCTION("""COMPUTED_VALUE"""),8722.03)</f>
        <v>8722.03</v>
      </c>
    </row>
    <row r="1527">
      <c r="G1527" s="3">
        <f>IFERROR(__xludf.DUMMYFUNCTION("""COMPUTED_VALUE"""),43852.99861111111)</f>
        <v>43852.99861</v>
      </c>
      <c r="H1527" s="2">
        <f>IFERROR(__xludf.DUMMYFUNCTION("""COMPUTED_VALUE"""),8653.84)</f>
        <v>8653.84</v>
      </c>
    </row>
    <row r="1528">
      <c r="G1528" s="3">
        <f>IFERROR(__xludf.DUMMYFUNCTION("""COMPUTED_VALUE"""),43853.99861111111)</f>
        <v>43853.99861</v>
      </c>
      <c r="H1528" s="2">
        <f>IFERROR(__xludf.DUMMYFUNCTION("""COMPUTED_VALUE"""),8385.21)</f>
        <v>8385.21</v>
      </c>
    </row>
    <row r="1529">
      <c r="G1529" s="3">
        <f>IFERROR(__xludf.DUMMYFUNCTION("""COMPUTED_VALUE"""),43854.99861111111)</f>
        <v>43854.99861</v>
      </c>
      <c r="H1529" s="2">
        <f>IFERROR(__xludf.DUMMYFUNCTION("""COMPUTED_VALUE"""),8427.26)</f>
        <v>8427.26</v>
      </c>
    </row>
    <row r="1530">
      <c r="G1530" s="3">
        <f>IFERROR(__xludf.DUMMYFUNCTION("""COMPUTED_VALUE"""),43855.99861111111)</f>
        <v>43855.99861</v>
      </c>
      <c r="H1530" s="2">
        <f>IFERROR(__xludf.DUMMYFUNCTION("""COMPUTED_VALUE"""),8326.81)</f>
        <v>8326.81</v>
      </c>
    </row>
    <row r="1531">
      <c r="G1531" s="3">
        <f>IFERROR(__xludf.DUMMYFUNCTION("""COMPUTED_VALUE"""),43856.99861111111)</f>
        <v>43856.99861</v>
      </c>
      <c r="H1531" s="2">
        <f>IFERROR(__xludf.DUMMYFUNCTION("""COMPUTED_VALUE"""),8595.0)</f>
        <v>8595</v>
      </c>
    </row>
    <row r="1532">
      <c r="G1532" s="3">
        <f>IFERROR(__xludf.DUMMYFUNCTION("""COMPUTED_VALUE"""),43857.99861111111)</f>
        <v>43857.99861</v>
      </c>
      <c r="H1532" s="2">
        <f>IFERROR(__xludf.DUMMYFUNCTION("""COMPUTED_VALUE"""),8895.95)</f>
        <v>8895.95</v>
      </c>
    </row>
    <row r="1533">
      <c r="G1533" s="3">
        <f>IFERROR(__xludf.DUMMYFUNCTION("""COMPUTED_VALUE"""),43858.99861111111)</f>
        <v>43858.99861</v>
      </c>
      <c r="H1533" s="2">
        <f>IFERROR(__xludf.DUMMYFUNCTION("""COMPUTED_VALUE"""),9394.5)</f>
        <v>9394.5</v>
      </c>
    </row>
    <row r="1534">
      <c r="G1534" s="3">
        <f>IFERROR(__xludf.DUMMYFUNCTION("""COMPUTED_VALUE"""),43859.99861111111)</f>
        <v>43859.99861</v>
      </c>
      <c r="H1534" s="2">
        <f>IFERROR(__xludf.DUMMYFUNCTION("""COMPUTED_VALUE"""),9290.62)</f>
        <v>9290.62</v>
      </c>
    </row>
    <row r="1535">
      <c r="G1535" s="3">
        <f>IFERROR(__xludf.DUMMYFUNCTION("""COMPUTED_VALUE"""),43860.99861111111)</f>
        <v>43860.99861</v>
      </c>
      <c r="H1535" s="2">
        <f>IFERROR(__xludf.DUMMYFUNCTION("""COMPUTED_VALUE"""),9503.08)</f>
        <v>9503.08</v>
      </c>
    </row>
    <row r="1536">
      <c r="G1536" s="3">
        <f>IFERROR(__xludf.DUMMYFUNCTION("""COMPUTED_VALUE"""),43861.99861111111)</f>
        <v>43861.99861</v>
      </c>
      <c r="H1536" s="2">
        <f>IFERROR(__xludf.DUMMYFUNCTION("""COMPUTED_VALUE"""),9334.98)</f>
        <v>9334.98</v>
      </c>
    </row>
    <row r="1537">
      <c r="G1537" s="3">
        <f>IFERROR(__xludf.DUMMYFUNCTION("""COMPUTED_VALUE"""),43862.99861111111)</f>
        <v>43862.99861</v>
      </c>
      <c r="H1537" s="2">
        <f>IFERROR(__xludf.DUMMYFUNCTION("""COMPUTED_VALUE"""),9382.65)</f>
        <v>9382.65</v>
      </c>
    </row>
    <row r="1538">
      <c r="G1538" s="3">
        <f>IFERROR(__xludf.DUMMYFUNCTION("""COMPUTED_VALUE"""),43863.99861111111)</f>
        <v>43863.99861</v>
      </c>
      <c r="H1538" s="2">
        <f>IFERROR(__xludf.DUMMYFUNCTION("""COMPUTED_VALUE"""),9323.5)</f>
        <v>9323.5</v>
      </c>
    </row>
    <row r="1539">
      <c r="G1539" s="3">
        <f>IFERROR(__xludf.DUMMYFUNCTION("""COMPUTED_VALUE"""),43864.99861111111)</f>
        <v>43864.99861</v>
      </c>
      <c r="H1539" s="2">
        <f>IFERROR(__xludf.DUMMYFUNCTION("""COMPUTED_VALUE"""),9290.23)</f>
        <v>9290.23</v>
      </c>
    </row>
    <row r="1540">
      <c r="G1540" s="3">
        <f>IFERROR(__xludf.DUMMYFUNCTION("""COMPUTED_VALUE"""),43865.99861111111)</f>
        <v>43865.99861</v>
      </c>
      <c r="H1540" s="2">
        <f>IFERROR(__xludf.DUMMYFUNCTION("""COMPUTED_VALUE"""),9164.33)</f>
        <v>9164.33</v>
      </c>
    </row>
    <row r="1541">
      <c r="G1541" s="3">
        <f>IFERROR(__xludf.DUMMYFUNCTION("""COMPUTED_VALUE"""),43866.99861111111)</f>
        <v>43866.99861</v>
      </c>
      <c r="H1541" s="2">
        <f>IFERROR(__xludf.DUMMYFUNCTION("""COMPUTED_VALUE"""),9613.82)</f>
        <v>9613.82</v>
      </c>
    </row>
    <row r="1542">
      <c r="G1542" s="3">
        <f>IFERROR(__xludf.DUMMYFUNCTION("""COMPUTED_VALUE"""),43867.99861111111)</f>
        <v>43867.99861</v>
      </c>
      <c r="H1542" s="2">
        <f>IFERROR(__xludf.DUMMYFUNCTION("""COMPUTED_VALUE"""),9763.01)</f>
        <v>9763.01</v>
      </c>
    </row>
    <row r="1543">
      <c r="G1543" s="3">
        <f>IFERROR(__xludf.DUMMYFUNCTION("""COMPUTED_VALUE"""),43868.99861111111)</f>
        <v>43868.99861</v>
      </c>
      <c r="H1543" s="2">
        <f>IFERROR(__xludf.DUMMYFUNCTION("""COMPUTED_VALUE"""),9808.04)</f>
        <v>9808.04</v>
      </c>
    </row>
    <row r="1544">
      <c r="G1544" s="3">
        <f>IFERROR(__xludf.DUMMYFUNCTION("""COMPUTED_VALUE"""),43869.99861111111)</f>
        <v>43869.99861</v>
      </c>
      <c r="H1544" s="2">
        <f>IFERROR(__xludf.DUMMYFUNCTION("""COMPUTED_VALUE"""),9905.64)</f>
        <v>9905.64</v>
      </c>
    </row>
    <row r="1545">
      <c r="G1545" s="3">
        <f>IFERROR(__xludf.DUMMYFUNCTION("""COMPUTED_VALUE"""),43870.99861111111)</f>
        <v>43870.99861</v>
      </c>
      <c r="H1545" s="2">
        <f>IFERROR(__xludf.DUMMYFUNCTION("""COMPUTED_VALUE"""),10168.8)</f>
        <v>10168.8</v>
      </c>
    </row>
    <row r="1546">
      <c r="G1546" s="3">
        <f>IFERROR(__xludf.DUMMYFUNCTION("""COMPUTED_VALUE"""),43871.99861111111)</f>
        <v>43871.99861</v>
      </c>
      <c r="H1546" s="2">
        <f>IFERROR(__xludf.DUMMYFUNCTION("""COMPUTED_VALUE"""),9851.78)</f>
        <v>9851.78</v>
      </c>
    </row>
    <row r="1547">
      <c r="G1547" s="3">
        <f>IFERROR(__xludf.DUMMYFUNCTION("""COMPUTED_VALUE"""),43872.99861111111)</f>
        <v>43872.99861</v>
      </c>
      <c r="H1547" s="2">
        <f>IFERROR(__xludf.DUMMYFUNCTION("""COMPUTED_VALUE"""),10270.0)</f>
        <v>10270</v>
      </c>
    </row>
    <row r="1548">
      <c r="G1548" s="3">
        <f>IFERROR(__xludf.DUMMYFUNCTION("""COMPUTED_VALUE"""),43873.99861111111)</f>
        <v>43873.99861</v>
      </c>
      <c r="H1548" s="2">
        <f>IFERROR(__xludf.DUMMYFUNCTION("""COMPUTED_VALUE"""),10351.1)</f>
        <v>10351.1</v>
      </c>
    </row>
    <row r="1549">
      <c r="G1549" s="3">
        <f>IFERROR(__xludf.DUMMYFUNCTION("""COMPUTED_VALUE"""),43874.99861111111)</f>
        <v>43874.99861</v>
      </c>
      <c r="H1549" s="2">
        <f>IFERROR(__xludf.DUMMYFUNCTION("""COMPUTED_VALUE"""),10236.4)</f>
        <v>10236.4</v>
      </c>
    </row>
    <row r="1550">
      <c r="G1550" s="3">
        <f>IFERROR(__xludf.DUMMYFUNCTION("""COMPUTED_VALUE"""),43875.99861111111)</f>
        <v>43875.99861</v>
      </c>
      <c r="H1550" s="2">
        <f>IFERROR(__xludf.DUMMYFUNCTION("""COMPUTED_VALUE"""),10371.3)</f>
        <v>10371.3</v>
      </c>
    </row>
    <row r="1551">
      <c r="G1551" s="3">
        <f>IFERROR(__xludf.DUMMYFUNCTION("""COMPUTED_VALUE"""),43876.99861111111)</f>
        <v>43876.99861</v>
      </c>
      <c r="H1551" s="2">
        <f>IFERROR(__xludf.DUMMYFUNCTION("""COMPUTED_VALUE"""),9911.21)</f>
        <v>9911.21</v>
      </c>
    </row>
    <row r="1552">
      <c r="G1552" s="3">
        <f>IFERROR(__xludf.DUMMYFUNCTION("""COMPUTED_VALUE"""),43877.99861111111)</f>
        <v>43877.99861</v>
      </c>
      <c r="H1552" s="2">
        <f>IFERROR(__xludf.DUMMYFUNCTION("""COMPUTED_VALUE"""),9921.0)</f>
        <v>9921</v>
      </c>
    </row>
    <row r="1553">
      <c r="G1553" s="3">
        <f>IFERROR(__xludf.DUMMYFUNCTION("""COMPUTED_VALUE"""),43878.99861111111)</f>
        <v>43878.99861</v>
      </c>
      <c r="H1553" s="2">
        <f>IFERROR(__xludf.DUMMYFUNCTION("""COMPUTED_VALUE"""),9700.0)</f>
        <v>9700</v>
      </c>
    </row>
    <row r="1554">
      <c r="G1554" s="3">
        <f>IFERROR(__xludf.DUMMYFUNCTION("""COMPUTED_VALUE"""),43879.99861111111)</f>
        <v>43879.99861</v>
      </c>
      <c r="H1554" s="2">
        <f>IFERROR(__xludf.DUMMYFUNCTION("""COMPUTED_VALUE"""),10188.0)</f>
        <v>10188</v>
      </c>
    </row>
    <row r="1555">
      <c r="G1555" s="3">
        <f>IFERROR(__xludf.DUMMYFUNCTION("""COMPUTED_VALUE"""),43880.99861111111)</f>
        <v>43880.99861</v>
      </c>
      <c r="H1555" s="2">
        <f>IFERROR(__xludf.DUMMYFUNCTION("""COMPUTED_VALUE"""),9600.08)</f>
        <v>9600.08</v>
      </c>
    </row>
    <row r="1556">
      <c r="G1556" s="3">
        <f>IFERROR(__xludf.DUMMYFUNCTION("""COMPUTED_VALUE"""),43881.99861111111)</f>
        <v>43881.99861</v>
      </c>
      <c r="H1556" s="2">
        <f>IFERROR(__xludf.DUMMYFUNCTION("""COMPUTED_VALUE"""),9622.89)</f>
        <v>9622.89</v>
      </c>
    </row>
    <row r="1557">
      <c r="G1557" s="3">
        <f>IFERROR(__xludf.DUMMYFUNCTION("""COMPUTED_VALUE"""),43882.99861111111)</f>
        <v>43882.99861</v>
      </c>
      <c r="H1557" s="2">
        <f>IFERROR(__xludf.DUMMYFUNCTION("""COMPUTED_VALUE"""),9700.35)</f>
        <v>9700.35</v>
      </c>
    </row>
    <row r="1558">
      <c r="G1558" s="3">
        <f>IFERROR(__xludf.DUMMYFUNCTION("""COMPUTED_VALUE"""),43883.99861111111)</f>
        <v>43883.99861</v>
      </c>
      <c r="H1558" s="2">
        <f>IFERROR(__xludf.DUMMYFUNCTION("""COMPUTED_VALUE"""),9668.23)</f>
        <v>9668.23</v>
      </c>
    </row>
    <row r="1559">
      <c r="G1559" s="3">
        <f>IFERROR(__xludf.DUMMYFUNCTION("""COMPUTED_VALUE"""),43884.99861111111)</f>
        <v>43884.99861</v>
      </c>
      <c r="H1559" s="2">
        <f>IFERROR(__xludf.DUMMYFUNCTION("""COMPUTED_VALUE"""),9966.0)</f>
        <v>9966</v>
      </c>
    </row>
    <row r="1560">
      <c r="G1560" s="3">
        <f>IFERROR(__xludf.DUMMYFUNCTION("""COMPUTED_VALUE"""),43885.99861111111)</f>
        <v>43885.99861</v>
      </c>
      <c r="H1560" s="2">
        <f>IFERROR(__xludf.DUMMYFUNCTION("""COMPUTED_VALUE"""),9660.0)</f>
        <v>9660</v>
      </c>
    </row>
    <row r="1561">
      <c r="G1561" s="3">
        <f>IFERROR(__xludf.DUMMYFUNCTION("""COMPUTED_VALUE"""),43886.99861111111)</f>
        <v>43886.99861</v>
      </c>
      <c r="H1561" s="2">
        <f>IFERROR(__xludf.DUMMYFUNCTION("""COMPUTED_VALUE"""),9304.99)</f>
        <v>9304.99</v>
      </c>
    </row>
    <row r="1562">
      <c r="G1562" s="3">
        <f>IFERROR(__xludf.DUMMYFUNCTION("""COMPUTED_VALUE"""),43887.99861111111)</f>
        <v>43887.99861</v>
      </c>
      <c r="H1562" s="2">
        <f>IFERROR(__xludf.DUMMYFUNCTION("""COMPUTED_VALUE"""),8778.29)</f>
        <v>8778.29</v>
      </c>
    </row>
    <row r="1563">
      <c r="G1563" s="3">
        <f>IFERROR(__xludf.DUMMYFUNCTION("""COMPUTED_VALUE"""),43888.99861111111)</f>
        <v>43888.99861</v>
      </c>
      <c r="H1563" s="2">
        <f>IFERROR(__xludf.DUMMYFUNCTION("""COMPUTED_VALUE"""),8812.49)</f>
        <v>8812.49</v>
      </c>
    </row>
    <row r="1564">
      <c r="G1564" s="3">
        <f>IFERROR(__xludf.DUMMYFUNCTION("""COMPUTED_VALUE"""),43889.99861111111)</f>
        <v>43889.99861</v>
      </c>
      <c r="H1564" s="2">
        <f>IFERROR(__xludf.DUMMYFUNCTION("""COMPUTED_VALUE"""),8708.89)</f>
        <v>8708.89</v>
      </c>
    </row>
    <row r="1565">
      <c r="G1565" s="3">
        <f>IFERROR(__xludf.DUMMYFUNCTION("""COMPUTED_VALUE"""),43890.99861111111)</f>
        <v>43890.99861</v>
      </c>
      <c r="H1565" s="2">
        <f>IFERROR(__xludf.DUMMYFUNCTION("""COMPUTED_VALUE"""),8556.58)</f>
        <v>8556.58</v>
      </c>
    </row>
    <row r="1566">
      <c r="G1566" s="3">
        <f>IFERROR(__xludf.DUMMYFUNCTION("""COMPUTED_VALUE"""),43891.99861111111)</f>
        <v>43891.99861</v>
      </c>
      <c r="H1566" s="2">
        <f>IFERROR(__xludf.DUMMYFUNCTION("""COMPUTED_VALUE"""),8522.33)</f>
        <v>8522.33</v>
      </c>
    </row>
    <row r="1567">
      <c r="G1567" s="3">
        <f>IFERROR(__xludf.DUMMYFUNCTION("""COMPUTED_VALUE"""),43892.99861111111)</f>
        <v>43892.99861</v>
      </c>
      <c r="H1567" s="2">
        <f>IFERROR(__xludf.DUMMYFUNCTION("""COMPUTED_VALUE"""),8915.0)</f>
        <v>8915</v>
      </c>
    </row>
    <row r="1568">
      <c r="G1568" s="3">
        <f>IFERROR(__xludf.DUMMYFUNCTION("""COMPUTED_VALUE"""),43893.99861111111)</f>
        <v>43893.99861</v>
      </c>
      <c r="H1568" s="2">
        <f>IFERROR(__xludf.DUMMYFUNCTION("""COMPUTED_VALUE"""),8757.84)</f>
        <v>8757.84</v>
      </c>
    </row>
    <row r="1569">
      <c r="G1569" s="3">
        <f>IFERROR(__xludf.DUMMYFUNCTION("""COMPUTED_VALUE"""),43894.99861111111)</f>
        <v>43894.99861</v>
      </c>
      <c r="H1569" s="2">
        <f>IFERROR(__xludf.DUMMYFUNCTION("""COMPUTED_VALUE"""),8760.66)</f>
        <v>8760.66</v>
      </c>
    </row>
    <row r="1570">
      <c r="G1570" s="3">
        <f>IFERROR(__xludf.DUMMYFUNCTION("""COMPUTED_VALUE"""),43895.99861111111)</f>
        <v>43895.99861</v>
      </c>
      <c r="H1570" s="2">
        <f>IFERROR(__xludf.DUMMYFUNCTION("""COMPUTED_VALUE"""),9060.93)</f>
        <v>9060.93</v>
      </c>
    </row>
    <row r="1571">
      <c r="G1571" s="3">
        <f>IFERROR(__xludf.DUMMYFUNCTION("""COMPUTED_VALUE"""),43896.99861111111)</f>
        <v>43896.99861</v>
      </c>
      <c r="H1571" s="2">
        <f>IFERROR(__xludf.DUMMYFUNCTION("""COMPUTED_VALUE"""),9145.77)</f>
        <v>9145.77</v>
      </c>
    </row>
    <row r="1572">
      <c r="G1572" s="3">
        <f>IFERROR(__xludf.DUMMYFUNCTION("""COMPUTED_VALUE"""),43897.99861111111)</f>
        <v>43897.99861</v>
      </c>
      <c r="H1572" s="2">
        <f>IFERROR(__xludf.DUMMYFUNCTION("""COMPUTED_VALUE"""),8901.37)</f>
        <v>8901.37</v>
      </c>
    </row>
    <row r="1573">
      <c r="G1573" s="3">
        <f>IFERROR(__xludf.DUMMYFUNCTION("""COMPUTED_VALUE"""),43898.99861111111)</f>
        <v>43898.99861</v>
      </c>
      <c r="H1573" s="2">
        <f>IFERROR(__xludf.DUMMYFUNCTION("""COMPUTED_VALUE"""),8033.54)</f>
        <v>8033.54</v>
      </c>
    </row>
    <row r="1574">
      <c r="G1574" s="3">
        <f>IFERROR(__xludf.DUMMYFUNCTION("""COMPUTED_VALUE"""),43899.99861111111)</f>
        <v>43899.99861</v>
      </c>
      <c r="H1574" s="2">
        <f>IFERROR(__xludf.DUMMYFUNCTION("""COMPUTED_VALUE"""),7934.52)</f>
        <v>7934.52</v>
      </c>
    </row>
    <row r="1575">
      <c r="G1575" s="3">
        <f>IFERROR(__xludf.DUMMYFUNCTION("""COMPUTED_VALUE"""),43900.99861111111)</f>
        <v>43900.99861</v>
      </c>
      <c r="H1575" s="2">
        <f>IFERROR(__xludf.DUMMYFUNCTION("""COMPUTED_VALUE"""),7884.87)</f>
        <v>7884.87</v>
      </c>
    </row>
    <row r="1576">
      <c r="G1576" s="3">
        <f>IFERROR(__xludf.DUMMYFUNCTION("""COMPUTED_VALUE"""),43901.99861111111)</f>
        <v>43901.99861</v>
      </c>
      <c r="H1576" s="2">
        <f>IFERROR(__xludf.DUMMYFUNCTION("""COMPUTED_VALUE"""),7938.05)</f>
        <v>7938.05</v>
      </c>
    </row>
    <row r="1577">
      <c r="G1577" s="3">
        <f>IFERROR(__xludf.DUMMYFUNCTION("""COMPUTED_VALUE"""),43902.99861111111)</f>
        <v>43902.99861</v>
      </c>
      <c r="H1577" s="2">
        <f>IFERROR(__xludf.DUMMYFUNCTION("""COMPUTED_VALUE"""),4857.1)</f>
        <v>4857.1</v>
      </c>
    </row>
    <row r="1578">
      <c r="G1578" s="3">
        <f>IFERROR(__xludf.DUMMYFUNCTION("""COMPUTED_VALUE"""),43903.99861111111)</f>
        <v>43903.99861</v>
      </c>
      <c r="H1578" s="2">
        <f>IFERROR(__xludf.DUMMYFUNCTION("""COMPUTED_VALUE"""),5637.6)</f>
        <v>5637.6</v>
      </c>
    </row>
    <row r="1579">
      <c r="G1579" s="3">
        <f>IFERROR(__xludf.DUMMYFUNCTION("""COMPUTED_VALUE"""),43904.99861111111)</f>
        <v>43904.99861</v>
      </c>
      <c r="H1579" s="2">
        <f>IFERROR(__xludf.DUMMYFUNCTION("""COMPUTED_VALUE"""),5165.25)</f>
        <v>5165.25</v>
      </c>
    </row>
    <row r="1580">
      <c r="G1580" s="3">
        <f>IFERROR(__xludf.DUMMYFUNCTION("""COMPUTED_VALUE"""),43905.99861111111)</f>
        <v>43905.99861</v>
      </c>
      <c r="H1580" s="2">
        <f>IFERROR(__xludf.DUMMYFUNCTION("""COMPUTED_VALUE"""),5342.64)</f>
        <v>5342.64</v>
      </c>
    </row>
    <row r="1581">
      <c r="G1581" s="3">
        <f>IFERROR(__xludf.DUMMYFUNCTION("""COMPUTED_VALUE"""),43906.99861111111)</f>
        <v>43906.99861</v>
      </c>
      <c r="H1581" s="2">
        <f>IFERROR(__xludf.DUMMYFUNCTION("""COMPUTED_VALUE"""),5024.0)</f>
        <v>5024</v>
      </c>
    </row>
    <row r="1582">
      <c r="G1582" s="3">
        <f>IFERROR(__xludf.DUMMYFUNCTION("""COMPUTED_VALUE"""),43907.99861111111)</f>
        <v>43907.99861</v>
      </c>
      <c r="H1582" s="2">
        <f>IFERROR(__xludf.DUMMYFUNCTION("""COMPUTED_VALUE"""),5331.72)</f>
        <v>5331.72</v>
      </c>
    </row>
    <row r="1583">
      <c r="G1583" s="3">
        <f>IFERROR(__xludf.DUMMYFUNCTION("""COMPUTED_VALUE"""),43908.99861111111)</f>
        <v>43908.99861</v>
      </c>
      <c r="H1583" s="2">
        <f>IFERROR(__xludf.DUMMYFUNCTION("""COMPUTED_VALUE"""),5413.64)</f>
        <v>5413.64</v>
      </c>
    </row>
    <row r="1584">
      <c r="G1584" s="3">
        <f>IFERROR(__xludf.DUMMYFUNCTION("""COMPUTED_VALUE"""),43909.99861111111)</f>
        <v>43909.99861</v>
      </c>
      <c r="H1584" s="2">
        <f>IFERROR(__xludf.DUMMYFUNCTION("""COMPUTED_VALUE"""),6186.95)</f>
        <v>6186.95</v>
      </c>
    </row>
    <row r="1585">
      <c r="G1585" s="3">
        <f>IFERROR(__xludf.DUMMYFUNCTION("""COMPUTED_VALUE"""),43910.99861111111)</f>
        <v>43910.99861</v>
      </c>
      <c r="H1585" s="2">
        <f>IFERROR(__xludf.DUMMYFUNCTION("""COMPUTED_VALUE"""),6201.61)</f>
        <v>6201.61</v>
      </c>
    </row>
    <row r="1586">
      <c r="G1586" s="3">
        <f>IFERROR(__xludf.DUMMYFUNCTION("""COMPUTED_VALUE"""),43911.99861111111)</f>
        <v>43911.99861</v>
      </c>
      <c r="H1586" s="2">
        <f>IFERROR(__xludf.DUMMYFUNCTION("""COMPUTED_VALUE"""),6198.78)</f>
        <v>6198.78</v>
      </c>
    </row>
    <row r="1587">
      <c r="G1587" s="3">
        <f>IFERROR(__xludf.DUMMYFUNCTION("""COMPUTED_VALUE"""),43912.99861111111)</f>
        <v>43912.99861</v>
      </c>
      <c r="H1587" s="2">
        <f>IFERROR(__xludf.DUMMYFUNCTION("""COMPUTED_VALUE"""),5834.78)</f>
        <v>5834.78</v>
      </c>
    </row>
    <row r="1588">
      <c r="G1588" s="3">
        <f>IFERROR(__xludf.DUMMYFUNCTION("""COMPUTED_VALUE"""),43913.99861111111)</f>
        <v>43913.99861</v>
      </c>
      <c r="H1588" s="2">
        <f>IFERROR(__xludf.DUMMYFUNCTION("""COMPUTED_VALUE"""),6499.12)</f>
        <v>6499.12</v>
      </c>
    </row>
    <row r="1589">
      <c r="G1589" s="3">
        <f>IFERROR(__xludf.DUMMYFUNCTION("""COMPUTED_VALUE"""),43914.99861111111)</f>
        <v>43914.99861</v>
      </c>
      <c r="H1589" s="2">
        <f>IFERROR(__xludf.DUMMYFUNCTION("""COMPUTED_VALUE"""),6766.65)</f>
        <v>6766.65</v>
      </c>
    </row>
    <row r="1590">
      <c r="G1590" s="3">
        <f>IFERROR(__xludf.DUMMYFUNCTION("""COMPUTED_VALUE"""),43915.99861111111)</f>
        <v>43915.99861</v>
      </c>
      <c r="H1590" s="2">
        <f>IFERROR(__xludf.DUMMYFUNCTION("""COMPUTED_VALUE"""),6690.0)</f>
        <v>6690</v>
      </c>
    </row>
    <row r="1591">
      <c r="G1591" s="3">
        <f>IFERROR(__xludf.DUMMYFUNCTION("""COMPUTED_VALUE"""),43916.99861111111)</f>
        <v>43916.99861</v>
      </c>
      <c r="H1591" s="2">
        <f>IFERROR(__xludf.DUMMYFUNCTION("""COMPUTED_VALUE"""),6759.85)</f>
        <v>6759.85</v>
      </c>
    </row>
    <row r="1592">
      <c r="G1592" s="3">
        <f>IFERROR(__xludf.DUMMYFUNCTION("""COMPUTED_VALUE"""),43917.99861111111)</f>
        <v>43917.99861</v>
      </c>
      <c r="H1592" s="2">
        <f>IFERROR(__xludf.DUMMYFUNCTION("""COMPUTED_VALUE"""),6372.36)</f>
        <v>6372.36</v>
      </c>
    </row>
    <row r="1593">
      <c r="G1593" s="3">
        <f>IFERROR(__xludf.DUMMYFUNCTION("""COMPUTED_VALUE"""),43918.99861111111)</f>
        <v>43918.99861</v>
      </c>
      <c r="H1593" s="2">
        <f>IFERROR(__xludf.DUMMYFUNCTION("""COMPUTED_VALUE"""),6251.82)</f>
        <v>6251.82</v>
      </c>
    </row>
    <row r="1594">
      <c r="G1594" s="3">
        <f>IFERROR(__xludf.DUMMYFUNCTION("""COMPUTED_VALUE"""),43919.99861111111)</f>
        <v>43919.99861</v>
      </c>
      <c r="H1594" s="2">
        <f>IFERROR(__xludf.DUMMYFUNCTION("""COMPUTED_VALUE"""),5902.05)</f>
        <v>5902.05</v>
      </c>
    </row>
    <row r="1595">
      <c r="G1595" s="3">
        <f>IFERROR(__xludf.DUMMYFUNCTION("""COMPUTED_VALUE"""),43920.99861111111)</f>
        <v>43920.99861</v>
      </c>
      <c r="H1595" s="2">
        <f>IFERROR(__xludf.DUMMYFUNCTION("""COMPUTED_VALUE"""),6406.4)</f>
        <v>6406.4</v>
      </c>
    </row>
    <row r="1596">
      <c r="G1596" s="3">
        <f>IFERROR(__xludf.DUMMYFUNCTION("""COMPUTED_VALUE"""),43921.99861111111)</f>
        <v>43921.99861</v>
      </c>
      <c r="H1596" s="2">
        <f>IFERROR(__xludf.DUMMYFUNCTION("""COMPUTED_VALUE"""),6445.67)</f>
        <v>6445.67</v>
      </c>
    </row>
    <row r="1597">
      <c r="G1597" s="3">
        <f>IFERROR(__xludf.DUMMYFUNCTION("""COMPUTED_VALUE"""),43922.99861111111)</f>
        <v>43922.99861</v>
      </c>
      <c r="H1597" s="2">
        <f>IFERROR(__xludf.DUMMYFUNCTION("""COMPUTED_VALUE"""),6664.85)</f>
        <v>6664.85</v>
      </c>
    </row>
    <row r="1598">
      <c r="G1598" s="3">
        <f>IFERROR(__xludf.DUMMYFUNCTION("""COMPUTED_VALUE"""),43923.99861111111)</f>
        <v>43923.99861</v>
      </c>
      <c r="H1598" s="2">
        <f>IFERROR(__xludf.DUMMYFUNCTION("""COMPUTED_VALUE"""),6805.12)</f>
        <v>6805.12</v>
      </c>
    </row>
    <row r="1599">
      <c r="G1599" s="3">
        <f>IFERROR(__xludf.DUMMYFUNCTION("""COMPUTED_VALUE"""),43924.99861111111)</f>
        <v>43924.99861</v>
      </c>
      <c r="H1599" s="2">
        <f>IFERROR(__xludf.DUMMYFUNCTION("""COMPUTED_VALUE"""),6741.99)</f>
        <v>6741.99</v>
      </c>
    </row>
    <row r="1600">
      <c r="G1600" s="3">
        <f>IFERROR(__xludf.DUMMYFUNCTION("""COMPUTED_VALUE"""),43925.99861111111)</f>
        <v>43925.99861</v>
      </c>
      <c r="H1600" s="2">
        <f>IFERROR(__xludf.DUMMYFUNCTION("""COMPUTED_VALUE"""),6874.77)</f>
        <v>6874.77</v>
      </c>
    </row>
    <row r="1601">
      <c r="G1601" s="3">
        <f>IFERROR(__xludf.DUMMYFUNCTION("""COMPUTED_VALUE"""),43926.99861111111)</f>
        <v>43926.99861</v>
      </c>
      <c r="H1601" s="2">
        <f>IFERROR(__xludf.DUMMYFUNCTION("""COMPUTED_VALUE"""),6794.49)</f>
        <v>6794.49</v>
      </c>
    </row>
    <row r="1602">
      <c r="G1602" s="3">
        <f>IFERROR(__xludf.DUMMYFUNCTION("""COMPUTED_VALUE"""),43927.99861111111)</f>
        <v>43927.99861</v>
      </c>
      <c r="H1602" s="2">
        <f>IFERROR(__xludf.DUMMYFUNCTION("""COMPUTED_VALUE"""),7341.56)</f>
        <v>7341.56</v>
      </c>
    </row>
    <row r="1603">
      <c r="G1603" s="3">
        <f>IFERROR(__xludf.DUMMYFUNCTION("""COMPUTED_VALUE"""),43928.99861111111)</f>
        <v>43928.99861</v>
      </c>
      <c r="H1603" s="2">
        <f>IFERROR(__xludf.DUMMYFUNCTION("""COMPUTED_VALUE"""),7209.62)</f>
        <v>7209.62</v>
      </c>
    </row>
    <row r="1604">
      <c r="G1604" s="3">
        <f>IFERROR(__xludf.DUMMYFUNCTION("""COMPUTED_VALUE"""),43929.99861111111)</f>
        <v>43929.99861</v>
      </c>
      <c r="H1604" s="2">
        <f>IFERROR(__xludf.DUMMYFUNCTION("""COMPUTED_VALUE"""),7370.11)</f>
        <v>7370.11</v>
      </c>
    </row>
    <row r="1605">
      <c r="G1605" s="3">
        <f>IFERROR(__xludf.DUMMYFUNCTION("""COMPUTED_VALUE"""),43930.99861111111)</f>
        <v>43930.99861</v>
      </c>
      <c r="H1605" s="2">
        <f>IFERROR(__xludf.DUMMYFUNCTION("""COMPUTED_VALUE"""),7293.24)</f>
        <v>7293.24</v>
      </c>
    </row>
    <row r="1606">
      <c r="G1606" s="3">
        <f>IFERROR(__xludf.DUMMYFUNCTION("""COMPUTED_VALUE"""),43931.99861111111)</f>
        <v>43931.99861</v>
      </c>
      <c r="H1606" s="2">
        <f>IFERROR(__xludf.DUMMYFUNCTION("""COMPUTED_VALUE"""),6871.91)</f>
        <v>6871.91</v>
      </c>
    </row>
    <row r="1607">
      <c r="G1607" s="3">
        <f>IFERROR(__xludf.DUMMYFUNCTION("""COMPUTED_VALUE"""),43932.99861111111)</f>
        <v>43932.99861</v>
      </c>
      <c r="H1607" s="2">
        <f>IFERROR(__xludf.DUMMYFUNCTION("""COMPUTED_VALUE"""),6889.65)</f>
        <v>6889.65</v>
      </c>
    </row>
    <row r="1608">
      <c r="G1608" s="3">
        <f>IFERROR(__xludf.DUMMYFUNCTION("""COMPUTED_VALUE"""),43933.99861111111)</f>
        <v>43933.99861</v>
      </c>
      <c r="H1608" s="2">
        <f>IFERROR(__xludf.DUMMYFUNCTION("""COMPUTED_VALUE"""),6908.13)</f>
        <v>6908.13</v>
      </c>
    </row>
    <row r="1609">
      <c r="G1609" s="3">
        <f>IFERROR(__xludf.DUMMYFUNCTION("""COMPUTED_VALUE"""),43934.99861111111)</f>
        <v>43934.99861</v>
      </c>
      <c r="H1609" s="2">
        <f>IFERROR(__xludf.DUMMYFUNCTION("""COMPUTED_VALUE"""),6861.21)</f>
        <v>6861.21</v>
      </c>
    </row>
    <row r="1610">
      <c r="G1610" s="3">
        <f>IFERROR(__xludf.DUMMYFUNCTION("""COMPUTED_VALUE"""),43935.99861111111)</f>
        <v>43935.99861</v>
      </c>
      <c r="H1610" s="2">
        <f>IFERROR(__xludf.DUMMYFUNCTION("""COMPUTED_VALUE"""),6877.37)</f>
        <v>6877.37</v>
      </c>
    </row>
    <row r="1611">
      <c r="G1611" s="3">
        <f>IFERROR(__xludf.DUMMYFUNCTION("""COMPUTED_VALUE"""),43936.99861111111)</f>
        <v>43936.99861</v>
      </c>
      <c r="H1611" s="2">
        <f>IFERROR(__xludf.DUMMYFUNCTION("""COMPUTED_VALUE"""),6624.12)</f>
        <v>6624.12</v>
      </c>
    </row>
    <row r="1612">
      <c r="G1612" s="3">
        <f>IFERROR(__xludf.DUMMYFUNCTION("""COMPUTED_VALUE"""),43937.99861111111)</f>
        <v>43937.99861</v>
      </c>
      <c r="H1612" s="2">
        <f>IFERROR(__xludf.DUMMYFUNCTION("""COMPUTED_VALUE"""),7112.78)</f>
        <v>7112.78</v>
      </c>
    </row>
    <row r="1613">
      <c r="G1613" s="3">
        <f>IFERROR(__xludf.DUMMYFUNCTION("""COMPUTED_VALUE"""),43938.99861111111)</f>
        <v>43938.99861</v>
      </c>
      <c r="H1613" s="2">
        <f>IFERROR(__xludf.DUMMYFUNCTION("""COMPUTED_VALUE"""),7036.25)</f>
        <v>7036.25</v>
      </c>
    </row>
    <row r="1614">
      <c r="G1614" s="3">
        <f>IFERROR(__xludf.DUMMYFUNCTION("""COMPUTED_VALUE"""),43939.99861111111)</f>
        <v>43939.99861</v>
      </c>
      <c r="H1614" s="2">
        <f>IFERROR(__xludf.DUMMYFUNCTION("""COMPUTED_VALUE"""),7254.33)</f>
        <v>7254.33</v>
      </c>
    </row>
    <row r="1615">
      <c r="G1615" s="3">
        <f>IFERROR(__xludf.DUMMYFUNCTION("""COMPUTED_VALUE"""),43940.99861111111)</f>
        <v>43940.99861</v>
      </c>
      <c r="H1615" s="2">
        <f>IFERROR(__xludf.DUMMYFUNCTION("""COMPUTED_VALUE"""),7130.71)</f>
        <v>7130.71</v>
      </c>
    </row>
    <row r="1616">
      <c r="G1616" s="3">
        <f>IFERROR(__xludf.DUMMYFUNCTION("""COMPUTED_VALUE"""),43941.99861111111)</f>
        <v>43941.99861</v>
      </c>
      <c r="H1616" s="2">
        <f>IFERROR(__xludf.DUMMYFUNCTION("""COMPUTED_VALUE"""),6838.19)</f>
        <v>6838.19</v>
      </c>
    </row>
    <row r="1617">
      <c r="G1617" s="3">
        <f>IFERROR(__xludf.DUMMYFUNCTION("""COMPUTED_VALUE"""),43942.99861111111)</f>
        <v>43942.99861</v>
      </c>
      <c r="H1617" s="2">
        <f>IFERROR(__xludf.DUMMYFUNCTION("""COMPUTED_VALUE"""),6853.68)</f>
        <v>6853.68</v>
      </c>
    </row>
    <row r="1618">
      <c r="G1618" s="3">
        <f>IFERROR(__xludf.DUMMYFUNCTION("""COMPUTED_VALUE"""),43943.99861111111)</f>
        <v>43943.99861</v>
      </c>
      <c r="H1618" s="2">
        <f>IFERROR(__xludf.DUMMYFUNCTION("""COMPUTED_VALUE"""),7136.84)</f>
        <v>7136.84</v>
      </c>
    </row>
    <row r="1619">
      <c r="G1619" s="3">
        <f>IFERROR(__xludf.DUMMYFUNCTION("""COMPUTED_VALUE"""),43944.99861111111)</f>
        <v>43944.99861</v>
      </c>
      <c r="H1619" s="2">
        <f>IFERROR(__xludf.DUMMYFUNCTION("""COMPUTED_VALUE"""),7472.45)</f>
        <v>7472.45</v>
      </c>
    </row>
    <row r="1620">
      <c r="G1620" s="3">
        <f>IFERROR(__xludf.DUMMYFUNCTION("""COMPUTED_VALUE"""),43945.99861111111)</f>
        <v>43945.99861</v>
      </c>
      <c r="H1620" s="2">
        <f>IFERROR(__xludf.DUMMYFUNCTION("""COMPUTED_VALUE"""),7508.67)</f>
        <v>7508.67</v>
      </c>
    </row>
    <row r="1621">
      <c r="G1621" s="3">
        <f>IFERROR(__xludf.DUMMYFUNCTION("""COMPUTED_VALUE"""),43946.99861111111)</f>
        <v>43946.99861</v>
      </c>
      <c r="H1621" s="2">
        <f>IFERROR(__xludf.DUMMYFUNCTION("""COMPUTED_VALUE"""),7543.29)</f>
        <v>7543.29</v>
      </c>
    </row>
    <row r="1622">
      <c r="G1622" s="3">
        <f>IFERROR(__xludf.DUMMYFUNCTION("""COMPUTED_VALUE"""),43947.99861111111)</f>
        <v>43947.99861</v>
      </c>
      <c r="H1622" s="2">
        <f>IFERROR(__xludf.DUMMYFUNCTION("""COMPUTED_VALUE"""),7692.05)</f>
        <v>7692.05</v>
      </c>
    </row>
    <row r="1623">
      <c r="G1623" s="3">
        <f>IFERROR(__xludf.DUMMYFUNCTION("""COMPUTED_VALUE"""),43948.99861111111)</f>
        <v>43948.99861</v>
      </c>
      <c r="H1623" s="2">
        <f>IFERROR(__xludf.DUMMYFUNCTION("""COMPUTED_VALUE"""),7785.73)</f>
        <v>7785.73</v>
      </c>
    </row>
    <row r="1624">
      <c r="G1624" s="3">
        <f>IFERROR(__xludf.DUMMYFUNCTION("""COMPUTED_VALUE"""),43949.99861111111)</f>
        <v>43949.99861</v>
      </c>
      <c r="H1624" s="2">
        <f>IFERROR(__xludf.DUMMYFUNCTION("""COMPUTED_VALUE"""),7758.4)</f>
        <v>7758.4</v>
      </c>
    </row>
    <row r="1625">
      <c r="G1625" s="3">
        <f>IFERROR(__xludf.DUMMYFUNCTION("""COMPUTED_VALUE"""),43950.99861111111)</f>
        <v>43950.99861</v>
      </c>
      <c r="H1625" s="2">
        <f>IFERROR(__xludf.DUMMYFUNCTION("""COMPUTED_VALUE"""),8780.01)</f>
        <v>8780.01</v>
      </c>
    </row>
    <row r="1626">
      <c r="G1626" s="3">
        <f>IFERROR(__xludf.DUMMYFUNCTION("""COMPUTED_VALUE"""),43951.99861111111)</f>
        <v>43951.99861</v>
      </c>
      <c r="H1626" s="2">
        <f>IFERROR(__xludf.DUMMYFUNCTION("""COMPUTED_VALUE"""),8624.28)</f>
        <v>8624.28</v>
      </c>
    </row>
    <row r="1627">
      <c r="G1627" s="3">
        <f>IFERROR(__xludf.DUMMYFUNCTION("""COMPUTED_VALUE"""),43952.99861111111)</f>
        <v>43952.99861</v>
      </c>
      <c r="H1627" s="2">
        <f>IFERROR(__xludf.DUMMYFUNCTION("""COMPUTED_VALUE"""),8829.42)</f>
        <v>8829.42</v>
      </c>
    </row>
    <row r="1628">
      <c r="G1628" s="3">
        <f>IFERROR(__xludf.DUMMYFUNCTION("""COMPUTED_VALUE"""),43953.99861111111)</f>
        <v>43953.99861</v>
      </c>
      <c r="H1628" s="2">
        <f>IFERROR(__xludf.DUMMYFUNCTION("""COMPUTED_VALUE"""),8985.0)</f>
        <v>8985</v>
      </c>
    </row>
    <row r="1629">
      <c r="G1629" s="3">
        <f>IFERROR(__xludf.DUMMYFUNCTION("""COMPUTED_VALUE"""),43954.99861111111)</f>
        <v>43954.99861</v>
      </c>
      <c r="H1629" s="2">
        <f>IFERROR(__xludf.DUMMYFUNCTION("""COMPUTED_VALUE"""),8905.49)</f>
        <v>8905.49</v>
      </c>
    </row>
    <row r="1630">
      <c r="G1630" s="3">
        <f>IFERROR(__xludf.DUMMYFUNCTION("""COMPUTED_VALUE"""),43955.99861111111)</f>
        <v>43955.99861</v>
      </c>
      <c r="H1630" s="2">
        <f>IFERROR(__xludf.DUMMYFUNCTION("""COMPUTED_VALUE"""),8883.53)</f>
        <v>8883.53</v>
      </c>
    </row>
    <row r="1631">
      <c r="G1631" s="3">
        <f>IFERROR(__xludf.DUMMYFUNCTION("""COMPUTED_VALUE"""),43956.99861111111)</f>
        <v>43956.99861</v>
      </c>
      <c r="H1631" s="2">
        <f>IFERROR(__xludf.DUMMYFUNCTION("""COMPUTED_VALUE"""),8989.4)</f>
        <v>8989.4</v>
      </c>
    </row>
    <row r="1632">
      <c r="G1632" s="3">
        <f>IFERROR(__xludf.DUMMYFUNCTION("""COMPUTED_VALUE"""),43957.99861111111)</f>
        <v>43957.99861</v>
      </c>
      <c r="H1632" s="2">
        <f>IFERROR(__xludf.DUMMYFUNCTION("""COMPUTED_VALUE"""),9157.11)</f>
        <v>9157.11</v>
      </c>
    </row>
    <row r="1633">
      <c r="G1633" s="3">
        <f>IFERROR(__xludf.DUMMYFUNCTION("""COMPUTED_VALUE"""),43958.99861111111)</f>
        <v>43958.99861</v>
      </c>
      <c r="H1633" s="2">
        <f>IFERROR(__xludf.DUMMYFUNCTION("""COMPUTED_VALUE"""),10000.0)</f>
        <v>10000</v>
      </c>
    </row>
    <row r="1634">
      <c r="G1634" s="3">
        <f>IFERROR(__xludf.DUMMYFUNCTION("""COMPUTED_VALUE"""),43959.99861111111)</f>
        <v>43959.99861</v>
      </c>
      <c r="H1634" s="2">
        <f>IFERROR(__xludf.DUMMYFUNCTION("""COMPUTED_VALUE"""),9810.0)</f>
        <v>9810</v>
      </c>
    </row>
    <row r="1635">
      <c r="G1635" s="3">
        <f>IFERROR(__xludf.DUMMYFUNCTION("""COMPUTED_VALUE"""),43960.99861111111)</f>
        <v>43960.99861</v>
      </c>
      <c r="H1635" s="2">
        <f>IFERROR(__xludf.DUMMYFUNCTION("""COMPUTED_VALUE"""),9558.85)</f>
        <v>9558.85</v>
      </c>
    </row>
    <row r="1636">
      <c r="G1636" s="3">
        <f>IFERROR(__xludf.DUMMYFUNCTION("""COMPUTED_VALUE"""),43961.99861111111)</f>
        <v>43961.99861</v>
      </c>
      <c r="H1636" s="2">
        <f>IFERROR(__xludf.DUMMYFUNCTION("""COMPUTED_VALUE"""),8741.86)</f>
        <v>8741.86</v>
      </c>
    </row>
    <row r="1637">
      <c r="G1637" s="3">
        <f>IFERROR(__xludf.DUMMYFUNCTION("""COMPUTED_VALUE"""),43962.99861111111)</f>
        <v>43962.99861</v>
      </c>
      <c r="H1637" s="2">
        <f>IFERROR(__xludf.DUMMYFUNCTION("""COMPUTED_VALUE"""),8601.4)</f>
        <v>8601.4</v>
      </c>
    </row>
    <row r="1638">
      <c r="G1638" s="3">
        <f>IFERROR(__xludf.DUMMYFUNCTION("""COMPUTED_VALUE"""),43963.99861111111)</f>
        <v>43963.99861</v>
      </c>
      <c r="H1638" s="2">
        <f>IFERROR(__xludf.DUMMYFUNCTION("""COMPUTED_VALUE"""),8796.25)</f>
        <v>8796.25</v>
      </c>
    </row>
    <row r="1639">
      <c r="G1639" s="3">
        <f>IFERROR(__xludf.DUMMYFUNCTION("""COMPUTED_VALUE"""),43964.99861111111)</f>
        <v>43964.99861</v>
      </c>
      <c r="H1639" s="2">
        <f>IFERROR(__xludf.DUMMYFUNCTION("""COMPUTED_VALUE"""),9318.04)</f>
        <v>9318.04</v>
      </c>
    </row>
    <row r="1640">
      <c r="G1640" s="3">
        <f>IFERROR(__xludf.DUMMYFUNCTION("""COMPUTED_VALUE"""),43965.99861111111)</f>
        <v>43965.99861</v>
      </c>
      <c r="H1640" s="2">
        <f>IFERROR(__xludf.DUMMYFUNCTION("""COMPUTED_VALUE"""),9799.12)</f>
        <v>9799.12</v>
      </c>
    </row>
    <row r="1641">
      <c r="G1641" s="3">
        <f>IFERROR(__xludf.DUMMYFUNCTION("""COMPUTED_VALUE"""),43966.99861111111)</f>
        <v>43966.99861</v>
      </c>
      <c r="H1641" s="2">
        <f>IFERROR(__xludf.DUMMYFUNCTION("""COMPUTED_VALUE"""),9312.1)</f>
        <v>9312.1</v>
      </c>
    </row>
    <row r="1642">
      <c r="G1642" s="3">
        <f>IFERROR(__xludf.DUMMYFUNCTION("""COMPUTED_VALUE"""),43967.99861111111)</f>
        <v>43967.99861</v>
      </c>
      <c r="H1642" s="2">
        <f>IFERROR(__xludf.DUMMYFUNCTION("""COMPUTED_VALUE"""),9383.16)</f>
        <v>9383.16</v>
      </c>
    </row>
    <row r="1643">
      <c r="G1643" s="3">
        <f>IFERROR(__xludf.DUMMYFUNCTION("""COMPUTED_VALUE"""),43968.99861111111)</f>
        <v>43968.99861</v>
      </c>
      <c r="H1643" s="2">
        <f>IFERROR(__xludf.DUMMYFUNCTION("""COMPUTED_VALUE"""),9666.27)</f>
        <v>9666.27</v>
      </c>
    </row>
    <row r="1644">
      <c r="G1644" s="3">
        <f>IFERROR(__xludf.DUMMYFUNCTION("""COMPUTED_VALUE"""),43969.99861111111)</f>
        <v>43969.99861</v>
      </c>
      <c r="H1644" s="2">
        <f>IFERROR(__xludf.DUMMYFUNCTION("""COMPUTED_VALUE"""),9728.52)</f>
        <v>9728.52</v>
      </c>
    </row>
    <row r="1645">
      <c r="G1645" s="3">
        <f>IFERROR(__xludf.DUMMYFUNCTION("""COMPUTED_VALUE"""),43970.99861111111)</f>
        <v>43970.99861</v>
      </c>
      <c r="H1645" s="2">
        <f>IFERROR(__xludf.DUMMYFUNCTION("""COMPUTED_VALUE"""),9776.57)</f>
        <v>9776.57</v>
      </c>
    </row>
    <row r="1646">
      <c r="G1646" s="3">
        <f>IFERROR(__xludf.DUMMYFUNCTION("""COMPUTED_VALUE"""),43971.99861111111)</f>
        <v>43971.99861</v>
      </c>
      <c r="H1646" s="2">
        <f>IFERROR(__xludf.DUMMYFUNCTION("""COMPUTED_VALUE"""),9516.0)</f>
        <v>9516</v>
      </c>
    </row>
    <row r="1647">
      <c r="G1647" s="3">
        <f>IFERROR(__xludf.DUMMYFUNCTION("""COMPUTED_VALUE"""),43972.99861111111)</f>
        <v>43972.99861</v>
      </c>
      <c r="H1647" s="2">
        <f>IFERROR(__xludf.DUMMYFUNCTION("""COMPUTED_VALUE"""),9058.71)</f>
        <v>9058.71</v>
      </c>
    </row>
    <row r="1648">
      <c r="G1648" s="3">
        <f>IFERROR(__xludf.DUMMYFUNCTION("""COMPUTED_VALUE"""),43973.99861111111)</f>
        <v>43973.99861</v>
      </c>
      <c r="H1648" s="2">
        <f>IFERROR(__xludf.DUMMYFUNCTION("""COMPUTED_VALUE"""),9168.84)</f>
        <v>9168.84</v>
      </c>
    </row>
    <row r="1649">
      <c r="G1649" s="3">
        <f>IFERROR(__xludf.DUMMYFUNCTION("""COMPUTED_VALUE"""),43974.99861111111)</f>
        <v>43974.99861</v>
      </c>
      <c r="H1649" s="2">
        <f>IFERROR(__xludf.DUMMYFUNCTION("""COMPUTED_VALUE"""),9177.95)</f>
        <v>9177.95</v>
      </c>
    </row>
    <row r="1650">
      <c r="G1650" s="3">
        <f>IFERROR(__xludf.DUMMYFUNCTION("""COMPUTED_VALUE"""),43975.99861111111)</f>
        <v>43975.99861</v>
      </c>
      <c r="H1650" s="2">
        <f>IFERROR(__xludf.DUMMYFUNCTION("""COMPUTED_VALUE"""),8714.4)</f>
        <v>8714.4</v>
      </c>
    </row>
    <row r="1651">
      <c r="G1651" s="3">
        <f>IFERROR(__xludf.DUMMYFUNCTION("""COMPUTED_VALUE"""),43976.99861111111)</f>
        <v>43976.99861</v>
      </c>
      <c r="H1651" s="2">
        <f>IFERROR(__xludf.DUMMYFUNCTION("""COMPUTED_VALUE"""),8899.31)</f>
        <v>8899.31</v>
      </c>
    </row>
    <row r="1652">
      <c r="G1652" s="3">
        <f>IFERROR(__xludf.DUMMYFUNCTION("""COMPUTED_VALUE"""),43977.99861111111)</f>
        <v>43977.99861</v>
      </c>
      <c r="H1652" s="2">
        <f>IFERROR(__xludf.DUMMYFUNCTION("""COMPUTED_VALUE"""),8844.42)</f>
        <v>8844.42</v>
      </c>
    </row>
    <row r="1653">
      <c r="G1653" s="3">
        <f>IFERROR(__xludf.DUMMYFUNCTION("""COMPUTED_VALUE"""),43978.99861111111)</f>
        <v>43978.99861</v>
      </c>
      <c r="H1653" s="2">
        <f>IFERROR(__xludf.DUMMYFUNCTION("""COMPUTED_VALUE"""),9208.53)</f>
        <v>9208.53</v>
      </c>
    </row>
    <row r="1654">
      <c r="G1654" s="3">
        <f>IFERROR(__xludf.DUMMYFUNCTION("""COMPUTED_VALUE"""),43979.99861111111)</f>
        <v>43979.99861</v>
      </c>
      <c r="H1654" s="2">
        <f>IFERROR(__xludf.DUMMYFUNCTION("""COMPUTED_VALUE"""),9561.26)</f>
        <v>9561.26</v>
      </c>
    </row>
    <row r="1655">
      <c r="G1655" s="3">
        <f>IFERROR(__xludf.DUMMYFUNCTION("""COMPUTED_VALUE"""),43980.99861111111)</f>
        <v>43980.99861</v>
      </c>
      <c r="H1655" s="2">
        <f>IFERROR(__xludf.DUMMYFUNCTION("""COMPUTED_VALUE"""),9427.01)</f>
        <v>9427.01</v>
      </c>
    </row>
    <row r="1656">
      <c r="G1656" s="3">
        <f>IFERROR(__xludf.DUMMYFUNCTION("""COMPUTED_VALUE"""),43981.99861111111)</f>
        <v>43981.99861</v>
      </c>
      <c r="H1656" s="2">
        <f>IFERROR(__xludf.DUMMYFUNCTION("""COMPUTED_VALUE"""),9689.12)</f>
        <v>9689.12</v>
      </c>
    </row>
    <row r="1657">
      <c r="G1657" s="3">
        <f>IFERROR(__xludf.DUMMYFUNCTION("""COMPUTED_VALUE"""),43982.99861111111)</f>
        <v>43982.99861</v>
      </c>
      <c r="H1657" s="2">
        <f>IFERROR(__xludf.DUMMYFUNCTION("""COMPUTED_VALUE"""),9446.57)</f>
        <v>9446.57</v>
      </c>
    </row>
    <row r="1658">
      <c r="G1658" s="3">
        <f>IFERROR(__xludf.DUMMYFUNCTION("""COMPUTED_VALUE"""),43983.99861111111)</f>
        <v>43983.99861</v>
      </c>
      <c r="H1658" s="2">
        <f>IFERROR(__xludf.DUMMYFUNCTION("""COMPUTED_VALUE"""),10210.1)</f>
        <v>10210.1</v>
      </c>
    </row>
    <row r="1659">
      <c r="G1659" s="3">
        <f>IFERROR(__xludf.DUMMYFUNCTION("""COMPUTED_VALUE"""),43984.99861111111)</f>
        <v>43984.99861</v>
      </c>
      <c r="H1659" s="2">
        <f>IFERROR(__xludf.DUMMYFUNCTION("""COMPUTED_VALUE"""),9522.45)</f>
        <v>9522.45</v>
      </c>
    </row>
    <row r="1660">
      <c r="G1660" s="3">
        <f>IFERROR(__xludf.DUMMYFUNCTION("""COMPUTED_VALUE"""),43985.99861111111)</f>
        <v>43985.99861</v>
      </c>
      <c r="H1660" s="2">
        <f>IFERROR(__xludf.DUMMYFUNCTION("""COMPUTED_VALUE"""),9655.62)</f>
        <v>9655.62</v>
      </c>
    </row>
    <row r="1661">
      <c r="G1661" s="3">
        <f>IFERROR(__xludf.DUMMYFUNCTION("""COMPUTED_VALUE"""),43986.99861111111)</f>
        <v>43986.99861</v>
      </c>
      <c r="H1661" s="2">
        <f>IFERROR(__xludf.DUMMYFUNCTION("""COMPUTED_VALUE"""),9788.03)</f>
        <v>9788.03</v>
      </c>
    </row>
    <row r="1662">
      <c r="G1662" s="3">
        <f>IFERROR(__xludf.DUMMYFUNCTION("""COMPUTED_VALUE"""),43987.99861111111)</f>
        <v>43987.99861</v>
      </c>
      <c r="H1662" s="2">
        <f>IFERROR(__xludf.DUMMYFUNCTION("""COMPUTED_VALUE"""),9624.99)</f>
        <v>9624.99</v>
      </c>
    </row>
    <row r="1663">
      <c r="G1663" s="3">
        <f>IFERROR(__xludf.DUMMYFUNCTION("""COMPUTED_VALUE"""),43988.99861111111)</f>
        <v>43988.99861</v>
      </c>
      <c r="H1663" s="2">
        <f>IFERROR(__xludf.DUMMYFUNCTION("""COMPUTED_VALUE"""),9660.75)</f>
        <v>9660.75</v>
      </c>
    </row>
    <row r="1664">
      <c r="G1664" s="3">
        <f>IFERROR(__xludf.DUMMYFUNCTION("""COMPUTED_VALUE"""),43989.99861111111)</f>
        <v>43989.99861</v>
      </c>
      <c r="H1664" s="2">
        <f>IFERROR(__xludf.DUMMYFUNCTION("""COMPUTED_VALUE"""),9744.14)</f>
        <v>9744.14</v>
      </c>
    </row>
    <row r="1665">
      <c r="G1665" s="3">
        <f>IFERROR(__xludf.DUMMYFUNCTION("""COMPUTED_VALUE"""),43990.99861111111)</f>
        <v>43990.99861</v>
      </c>
      <c r="H1665" s="2">
        <f>IFERROR(__xludf.DUMMYFUNCTION("""COMPUTED_VALUE"""),9783.37)</f>
        <v>9783.37</v>
      </c>
    </row>
    <row r="1666">
      <c r="G1666" s="3">
        <f>IFERROR(__xludf.DUMMYFUNCTION("""COMPUTED_VALUE"""),43991.99861111111)</f>
        <v>43991.99861</v>
      </c>
      <c r="H1666" s="2">
        <f>IFERROR(__xludf.DUMMYFUNCTION("""COMPUTED_VALUE"""),9763.79)</f>
        <v>9763.79</v>
      </c>
    </row>
    <row r="1667">
      <c r="G1667" s="3">
        <f>IFERROR(__xludf.DUMMYFUNCTION("""COMPUTED_VALUE"""),43992.99861111111)</f>
        <v>43992.99861</v>
      </c>
      <c r="H1667" s="2">
        <f>IFERROR(__xludf.DUMMYFUNCTION("""COMPUTED_VALUE"""),9896.56)</f>
        <v>9896.56</v>
      </c>
    </row>
    <row r="1668">
      <c r="G1668" s="3">
        <f>IFERROR(__xludf.DUMMYFUNCTION("""COMPUTED_VALUE"""),43993.99861111111)</f>
        <v>43993.99861</v>
      </c>
      <c r="H1668" s="2">
        <f>IFERROR(__xludf.DUMMYFUNCTION("""COMPUTED_VALUE"""),9268.16)</f>
        <v>9268.16</v>
      </c>
    </row>
    <row r="1669">
      <c r="G1669" s="3">
        <f>IFERROR(__xludf.DUMMYFUNCTION("""COMPUTED_VALUE"""),43994.99861111111)</f>
        <v>43994.99861</v>
      </c>
      <c r="H1669" s="2">
        <f>IFERROR(__xludf.DUMMYFUNCTION("""COMPUTED_VALUE"""),9454.0)</f>
        <v>9454</v>
      </c>
    </row>
    <row r="1670">
      <c r="G1670" s="3">
        <f>IFERROR(__xludf.DUMMYFUNCTION("""COMPUTED_VALUE"""),43995.99861111111)</f>
        <v>43995.99861</v>
      </c>
      <c r="H1670" s="2">
        <f>IFERROR(__xludf.DUMMYFUNCTION("""COMPUTED_VALUE"""),9475.0)</f>
        <v>9475</v>
      </c>
    </row>
    <row r="1671">
      <c r="G1671" s="3">
        <f>IFERROR(__xludf.DUMMYFUNCTION("""COMPUTED_VALUE"""),43996.99861111111)</f>
        <v>43996.99861</v>
      </c>
      <c r="H1671" s="2">
        <f>IFERROR(__xludf.DUMMYFUNCTION("""COMPUTED_VALUE"""),9333.45)</f>
        <v>9333.45</v>
      </c>
    </row>
    <row r="1672">
      <c r="G1672" s="3">
        <f>IFERROR(__xludf.DUMMYFUNCTION("""COMPUTED_VALUE"""),43997.99861111111)</f>
        <v>43997.99861</v>
      </c>
      <c r="H1672" s="2">
        <f>IFERROR(__xludf.DUMMYFUNCTION("""COMPUTED_VALUE"""),9427.86)</f>
        <v>9427.86</v>
      </c>
    </row>
    <row r="1673">
      <c r="G1673" s="3">
        <f>IFERROR(__xludf.DUMMYFUNCTION("""COMPUTED_VALUE"""),43998.99861111111)</f>
        <v>43998.99861</v>
      </c>
      <c r="H1673" s="2">
        <f>IFERROR(__xludf.DUMMYFUNCTION("""COMPUTED_VALUE"""),9526.25)</f>
        <v>9526.25</v>
      </c>
    </row>
    <row r="1674">
      <c r="G1674" s="3">
        <f>IFERROR(__xludf.DUMMYFUNCTION("""COMPUTED_VALUE"""),43999.99861111111)</f>
        <v>43999.99861</v>
      </c>
      <c r="H1674" s="2">
        <f>IFERROR(__xludf.DUMMYFUNCTION("""COMPUTED_VALUE"""),9457.51)</f>
        <v>9457.51</v>
      </c>
    </row>
    <row r="1675">
      <c r="G1675" s="3">
        <f>IFERROR(__xludf.DUMMYFUNCTION("""COMPUTED_VALUE"""),44000.99861111111)</f>
        <v>44000.99861</v>
      </c>
      <c r="H1675" s="2">
        <f>IFERROR(__xludf.DUMMYFUNCTION("""COMPUTED_VALUE"""),9382.01)</f>
        <v>9382.01</v>
      </c>
    </row>
    <row r="1676">
      <c r="G1676" s="3">
        <f>IFERROR(__xludf.DUMMYFUNCTION("""COMPUTED_VALUE"""),44001.99861111111)</f>
        <v>44001.99861</v>
      </c>
      <c r="H1676" s="2">
        <f>IFERROR(__xludf.DUMMYFUNCTION("""COMPUTED_VALUE"""),9279.4)</f>
        <v>9279.4</v>
      </c>
    </row>
    <row r="1677">
      <c r="G1677" s="3">
        <f>IFERROR(__xludf.DUMMYFUNCTION("""COMPUTED_VALUE"""),44002.99861111111)</f>
        <v>44002.99861</v>
      </c>
      <c r="H1677" s="2">
        <f>IFERROR(__xludf.DUMMYFUNCTION("""COMPUTED_VALUE"""),9355.74)</f>
        <v>9355.74</v>
      </c>
    </row>
    <row r="1678">
      <c r="G1678" s="3">
        <f>IFERROR(__xludf.DUMMYFUNCTION("""COMPUTED_VALUE"""),44003.99861111111)</f>
        <v>44003.99861</v>
      </c>
      <c r="H1678" s="2">
        <f>IFERROR(__xludf.DUMMYFUNCTION("""COMPUTED_VALUE"""),9286.14)</f>
        <v>9286.14</v>
      </c>
    </row>
    <row r="1679">
      <c r="G1679" s="3">
        <f>IFERROR(__xludf.DUMMYFUNCTION("""COMPUTED_VALUE"""),44004.99861111111)</f>
        <v>44004.99861</v>
      </c>
      <c r="H1679" s="2">
        <f>IFERROR(__xludf.DUMMYFUNCTION("""COMPUTED_VALUE"""),9697.17)</f>
        <v>9697.17</v>
      </c>
    </row>
    <row r="1680">
      <c r="G1680" s="3">
        <f>IFERROR(__xludf.DUMMYFUNCTION("""COMPUTED_VALUE"""),44005.99861111111)</f>
        <v>44005.99861</v>
      </c>
      <c r="H1680" s="2">
        <f>IFERROR(__xludf.DUMMYFUNCTION("""COMPUTED_VALUE"""),9623.56)</f>
        <v>9623.56</v>
      </c>
    </row>
    <row r="1681">
      <c r="G1681" s="3">
        <f>IFERROR(__xludf.DUMMYFUNCTION("""COMPUTED_VALUE"""),44006.99861111111)</f>
        <v>44006.99861</v>
      </c>
      <c r="H1681" s="2">
        <f>IFERROR(__xludf.DUMMYFUNCTION("""COMPUTED_VALUE"""),9274.04)</f>
        <v>9274.04</v>
      </c>
    </row>
    <row r="1682">
      <c r="G1682" s="3">
        <f>IFERROR(__xludf.DUMMYFUNCTION("""COMPUTED_VALUE"""),44007.99861111111)</f>
        <v>44007.99861</v>
      </c>
      <c r="H1682" s="2">
        <f>IFERROR(__xludf.DUMMYFUNCTION("""COMPUTED_VALUE"""),9244.77)</f>
        <v>9244.77</v>
      </c>
    </row>
    <row r="1683">
      <c r="G1683" s="3">
        <f>IFERROR(__xludf.DUMMYFUNCTION("""COMPUTED_VALUE"""),44008.99861111111)</f>
        <v>44008.99861</v>
      </c>
      <c r="H1683" s="2">
        <f>IFERROR(__xludf.DUMMYFUNCTION("""COMPUTED_VALUE"""),9155.0)</f>
        <v>9155</v>
      </c>
    </row>
    <row r="1684">
      <c r="G1684" s="3">
        <f>IFERROR(__xludf.DUMMYFUNCTION("""COMPUTED_VALUE"""),44009.99861111111)</f>
        <v>44009.99861</v>
      </c>
      <c r="H1684" s="2">
        <f>IFERROR(__xludf.DUMMYFUNCTION("""COMPUTED_VALUE"""),9002.51)</f>
        <v>9002.51</v>
      </c>
    </row>
    <row r="1685">
      <c r="G1685" s="3">
        <f>IFERROR(__xludf.DUMMYFUNCTION("""COMPUTED_VALUE"""),44010.99861111111)</f>
        <v>44010.99861</v>
      </c>
      <c r="H1685" s="2">
        <f>IFERROR(__xludf.DUMMYFUNCTION("""COMPUTED_VALUE"""),9124.04)</f>
        <v>9124.04</v>
      </c>
    </row>
    <row r="1686">
      <c r="G1686" s="3">
        <f>IFERROR(__xludf.DUMMYFUNCTION("""COMPUTED_VALUE"""),44011.99861111111)</f>
        <v>44011.99861</v>
      </c>
      <c r="H1686" s="2">
        <f>IFERROR(__xludf.DUMMYFUNCTION("""COMPUTED_VALUE"""),9184.45)</f>
        <v>9184.45</v>
      </c>
    </row>
    <row r="1687">
      <c r="G1687" s="3">
        <f>IFERROR(__xludf.DUMMYFUNCTION("""COMPUTED_VALUE"""),44012.99861111111)</f>
        <v>44012.99861</v>
      </c>
      <c r="H1687" s="2">
        <f>IFERROR(__xludf.DUMMYFUNCTION("""COMPUTED_VALUE"""),9136.2)</f>
        <v>9136.2</v>
      </c>
    </row>
    <row r="1688">
      <c r="G1688" s="3">
        <f>IFERROR(__xludf.DUMMYFUNCTION("""COMPUTED_VALUE"""),44013.99861111111)</f>
        <v>44013.99861</v>
      </c>
      <c r="H1688" s="2">
        <f>IFERROR(__xludf.DUMMYFUNCTION("""COMPUTED_VALUE"""),9239.96)</f>
        <v>9239.96</v>
      </c>
    </row>
    <row r="1689">
      <c r="G1689" s="3">
        <f>IFERROR(__xludf.DUMMYFUNCTION("""COMPUTED_VALUE"""),44014.99861111111)</f>
        <v>44014.99861</v>
      </c>
      <c r="H1689" s="2">
        <f>IFERROR(__xludf.DUMMYFUNCTION("""COMPUTED_VALUE"""),9091.53)</f>
        <v>9091.53</v>
      </c>
    </row>
    <row r="1690">
      <c r="G1690" s="3">
        <f>IFERROR(__xludf.DUMMYFUNCTION("""COMPUTED_VALUE"""),44015.99861111111)</f>
        <v>44015.99861</v>
      </c>
      <c r="H1690" s="2">
        <f>IFERROR(__xludf.DUMMYFUNCTION("""COMPUTED_VALUE"""),9063.87)</f>
        <v>9063.87</v>
      </c>
    </row>
    <row r="1691">
      <c r="G1691" s="3">
        <f>IFERROR(__xludf.DUMMYFUNCTION("""COMPUTED_VALUE"""),44016.99861111111)</f>
        <v>44016.99861</v>
      </c>
      <c r="H1691" s="2">
        <f>IFERROR(__xludf.DUMMYFUNCTION("""COMPUTED_VALUE"""),9134.23)</f>
        <v>9134.23</v>
      </c>
    </row>
    <row r="1692">
      <c r="G1692" s="3">
        <f>IFERROR(__xludf.DUMMYFUNCTION("""COMPUTED_VALUE"""),44017.99861111111)</f>
        <v>44017.99861</v>
      </c>
      <c r="H1692" s="2">
        <f>IFERROR(__xludf.DUMMYFUNCTION("""COMPUTED_VALUE"""),9073.49)</f>
        <v>9073.49</v>
      </c>
    </row>
    <row r="1693">
      <c r="G1693" s="3">
        <f>IFERROR(__xludf.DUMMYFUNCTION("""COMPUTED_VALUE"""),44018.99861111111)</f>
        <v>44018.99861</v>
      </c>
      <c r="H1693" s="2">
        <f>IFERROR(__xludf.DUMMYFUNCTION("""COMPUTED_VALUE"""),9343.18)</f>
        <v>9343.18</v>
      </c>
    </row>
    <row r="1694">
      <c r="G1694" s="3">
        <f>IFERROR(__xludf.DUMMYFUNCTION("""COMPUTED_VALUE"""),44019.99861111111)</f>
        <v>44019.99861</v>
      </c>
      <c r="H1694" s="2">
        <f>IFERROR(__xludf.DUMMYFUNCTION("""COMPUTED_VALUE"""),9253.94)</f>
        <v>9253.94</v>
      </c>
    </row>
    <row r="1695">
      <c r="G1695" s="3">
        <f>IFERROR(__xludf.DUMMYFUNCTION("""COMPUTED_VALUE"""),44020.99861111111)</f>
        <v>44020.99861</v>
      </c>
      <c r="H1695" s="2">
        <f>IFERROR(__xludf.DUMMYFUNCTION("""COMPUTED_VALUE"""),9435.28)</f>
        <v>9435.28</v>
      </c>
    </row>
    <row r="1696">
      <c r="G1696" s="3">
        <f>IFERROR(__xludf.DUMMYFUNCTION("""COMPUTED_VALUE"""),44021.99861111111)</f>
        <v>44021.99861</v>
      </c>
      <c r="H1696" s="2">
        <f>IFERROR(__xludf.DUMMYFUNCTION("""COMPUTED_VALUE"""),9237.32)</f>
        <v>9237.32</v>
      </c>
    </row>
    <row r="1697">
      <c r="G1697" s="3">
        <f>IFERROR(__xludf.DUMMYFUNCTION("""COMPUTED_VALUE"""),44022.99861111111)</f>
        <v>44022.99861</v>
      </c>
      <c r="H1697" s="2">
        <f>IFERROR(__xludf.DUMMYFUNCTION("""COMPUTED_VALUE"""),9289.81)</f>
        <v>9289.81</v>
      </c>
    </row>
    <row r="1698">
      <c r="G1698" s="3">
        <f>IFERROR(__xludf.DUMMYFUNCTION("""COMPUTED_VALUE"""),44023.99861111111)</f>
        <v>44023.99861</v>
      </c>
      <c r="H1698" s="2">
        <f>IFERROR(__xludf.DUMMYFUNCTION("""COMPUTED_VALUE"""),9235.21)</f>
        <v>9235.21</v>
      </c>
    </row>
    <row r="1699">
      <c r="G1699" s="3">
        <f>IFERROR(__xludf.DUMMYFUNCTION("""COMPUTED_VALUE"""),44024.99861111111)</f>
        <v>44024.99861</v>
      </c>
      <c r="H1699" s="2">
        <f>IFERROR(__xludf.DUMMYFUNCTION("""COMPUTED_VALUE"""),9292.6)</f>
        <v>9292.6</v>
      </c>
    </row>
    <row r="1700">
      <c r="G1700" s="3">
        <f>IFERROR(__xludf.DUMMYFUNCTION("""COMPUTED_VALUE"""),44025.99861111111)</f>
        <v>44025.99861</v>
      </c>
      <c r="H1700" s="2">
        <f>IFERROR(__xludf.DUMMYFUNCTION("""COMPUTED_VALUE"""),9242.31)</f>
        <v>9242.31</v>
      </c>
    </row>
    <row r="1701">
      <c r="G1701" s="3">
        <f>IFERROR(__xludf.DUMMYFUNCTION("""COMPUTED_VALUE"""),44026.99861111111)</f>
        <v>44026.99861</v>
      </c>
      <c r="H1701" s="2">
        <f>IFERROR(__xludf.DUMMYFUNCTION("""COMPUTED_VALUE"""),9256.94)</f>
        <v>9256.94</v>
      </c>
    </row>
    <row r="1702">
      <c r="G1702" s="3">
        <f>IFERROR(__xludf.DUMMYFUNCTION("""COMPUTED_VALUE"""),44027.99861111111)</f>
        <v>44027.99861</v>
      </c>
      <c r="H1702" s="2">
        <f>IFERROR(__xludf.DUMMYFUNCTION("""COMPUTED_VALUE"""),9190.16)</f>
        <v>9190.16</v>
      </c>
    </row>
    <row r="1703">
      <c r="G1703" s="3">
        <f>IFERROR(__xludf.DUMMYFUNCTION("""COMPUTED_VALUE"""),44028.99861111111)</f>
        <v>44028.99861</v>
      </c>
      <c r="H1703" s="2">
        <f>IFERROR(__xludf.DUMMYFUNCTION("""COMPUTED_VALUE"""),9130.11)</f>
        <v>9130.11</v>
      </c>
    </row>
    <row r="1704">
      <c r="G1704" s="3">
        <f>IFERROR(__xludf.DUMMYFUNCTION("""COMPUTED_VALUE"""),44029.99861111111)</f>
        <v>44029.99861</v>
      </c>
      <c r="H1704" s="2">
        <f>IFERROR(__xludf.DUMMYFUNCTION("""COMPUTED_VALUE"""),9152.64)</f>
        <v>9152.64</v>
      </c>
    </row>
    <row r="1705">
      <c r="G1705" s="3">
        <f>IFERROR(__xludf.DUMMYFUNCTION("""COMPUTED_VALUE"""),44030.99861111111)</f>
        <v>44030.99861</v>
      </c>
      <c r="H1705" s="2">
        <f>IFERROR(__xludf.DUMMYFUNCTION("""COMPUTED_VALUE"""),9175.85)</f>
        <v>9175.85</v>
      </c>
    </row>
    <row r="1706">
      <c r="G1706" s="3">
        <f>IFERROR(__xludf.DUMMYFUNCTION("""COMPUTED_VALUE"""),44031.99861111111)</f>
        <v>44031.99861</v>
      </c>
      <c r="H1706" s="2">
        <f>IFERROR(__xludf.DUMMYFUNCTION("""COMPUTED_VALUE"""),9214.74)</f>
        <v>9214.74</v>
      </c>
    </row>
    <row r="1707">
      <c r="G1707" s="3">
        <f>IFERROR(__xludf.DUMMYFUNCTION("""COMPUTED_VALUE"""),44032.99861111111)</f>
        <v>44032.99861</v>
      </c>
      <c r="H1707" s="2">
        <f>IFERROR(__xludf.DUMMYFUNCTION("""COMPUTED_VALUE"""),9163.75)</f>
        <v>9163.75</v>
      </c>
    </row>
    <row r="1708">
      <c r="G1708" s="3">
        <f>IFERROR(__xludf.DUMMYFUNCTION("""COMPUTED_VALUE"""),44033.99861111111)</f>
        <v>44033.99861</v>
      </c>
      <c r="H1708" s="2">
        <f>IFERROR(__xludf.DUMMYFUNCTION("""COMPUTED_VALUE"""),9392.79)</f>
        <v>9392.79</v>
      </c>
    </row>
    <row r="1709">
      <c r="G1709" s="3">
        <f>IFERROR(__xludf.DUMMYFUNCTION("""COMPUTED_VALUE"""),44034.99861111111)</f>
        <v>44034.99861</v>
      </c>
      <c r="H1709" s="2">
        <f>IFERROR(__xludf.DUMMYFUNCTION("""COMPUTED_VALUE"""),9535.99)</f>
        <v>9535.99</v>
      </c>
    </row>
    <row r="1710">
      <c r="G1710" s="3">
        <f>IFERROR(__xludf.DUMMYFUNCTION("""COMPUTED_VALUE"""),44035.99861111111)</f>
        <v>44035.99861</v>
      </c>
      <c r="H1710" s="2">
        <f>IFERROR(__xludf.DUMMYFUNCTION("""COMPUTED_VALUE"""),9613.24)</f>
        <v>9613.24</v>
      </c>
    </row>
    <row r="1711">
      <c r="G1711" s="3">
        <f>IFERROR(__xludf.DUMMYFUNCTION("""COMPUTED_VALUE"""),44036.99861111111)</f>
        <v>44036.99861</v>
      </c>
      <c r="H1711" s="2">
        <f>IFERROR(__xludf.DUMMYFUNCTION("""COMPUTED_VALUE"""),9543.79)</f>
        <v>9543.79</v>
      </c>
    </row>
    <row r="1712">
      <c r="G1712" s="3">
        <f>IFERROR(__xludf.DUMMYFUNCTION("""COMPUTED_VALUE"""),44037.99861111111)</f>
        <v>44037.99861</v>
      </c>
      <c r="H1712" s="2">
        <f>IFERROR(__xludf.DUMMYFUNCTION("""COMPUTED_VALUE"""),9696.19)</f>
        <v>9696.19</v>
      </c>
    </row>
    <row r="1713">
      <c r="G1713" s="3">
        <f>IFERROR(__xludf.DUMMYFUNCTION("""COMPUTED_VALUE"""),44038.99861111111)</f>
        <v>44038.99861</v>
      </c>
      <c r="H1713" s="2">
        <f>IFERROR(__xludf.DUMMYFUNCTION("""COMPUTED_VALUE"""),9941.0)</f>
        <v>9941</v>
      </c>
    </row>
    <row r="1714">
      <c r="G1714" s="3">
        <f>IFERROR(__xludf.DUMMYFUNCTION("""COMPUTED_VALUE"""),44039.99861111111)</f>
        <v>44039.99861</v>
      </c>
      <c r="H1714" s="2">
        <f>IFERROR(__xludf.DUMMYFUNCTION("""COMPUTED_VALUE"""),11020.0)</f>
        <v>11020</v>
      </c>
    </row>
    <row r="1715">
      <c r="G1715" s="3">
        <f>IFERROR(__xludf.DUMMYFUNCTION("""COMPUTED_VALUE"""),44040.99861111111)</f>
        <v>44040.99861</v>
      </c>
      <c r="H1715" s="2">
        <f>IFERROR(__xludf.DUMMYFUNCTION("""COMPUTED_VALUE"""),10923.9)</f>
        <v>10923.9</v>
      </c>
    </row>
    <row r="1716">
      <c r="G1716" s="3">
        <f>IFERROR(__xludf.DUMMYFUNCTION("""COMPUTED_VALUE"""),44041.99861111111)</f>
        <v>44041.99861</v>
      </c>
      <c r="H1716" s="2">
        <f>IFERROR(__xludf.DUMMYFUNCTION("""COMPUTED_VALUE"""),11098.8)</f>
        <v>11098.8</v>
      </c>
    </row>
    <row r="1717">
      <c r="G1717" s="3">
        <f>IFERROR(__xludf.DUMMYFUNCTION("""COMPUTED_VALUE"""),44042.99861111111)</f>
        <v>44042.99861</v>
      </c>
      <c r="H1717" s="2">
        <f>IFERROR(__xludf.DUMMYFUNCTION("""COMPUTED_VALUE"""),11119.6)</f>
        <v>11119.6</v>
      </c>
    </row>
    <row r="1718">
      <c r="G1718" s="3">
        <f>IFERROR(__xludf.DUMMYFUNCTION("""COMPUTED_VALUE"""),44043.99861111111)</f>
        <v>44043.99861</v>
      </c>
      <c r="H1718" s="2">
        <f>IFERROR(__xludf.DUMMYFUNCTION("""COMPUTED_VALUE"""),11342.5)</f>
        <v>11342.5</v>
      </c>
    </row>
    <row r="1719">
      <c r="G1719" s="3">
        <f>IFERROR(__xludf.DUMMYFUNCTION("""COMPUTED_VALUE"""),44044.99861111111)</f>
        <v>44044.99861</v>
      </c>
      <c r="H1719" s="2">
        <f>IFERROR(__xludf.DUMMYFUNCTION("""COMPUTED_VALUE"""),11810.0)</f>
        <v>11810</v>
      </c>
    </row>
    <row r="1720">
      <c r="G1720" s="3">
        <f>IFERROR(__xludf.DUMMYFUNCTION("""COMPUTED_VALUE"""),44045.99861111111)</f>
        <v>44045.99861</v>
      </c>
      <c r="H1720" s="2">
        <f>IFERROR(__xludf.DUMMYFUNCTION("""COMPUTED_VALUE"""),11068.5)</f>
        <v>11068.5</v>
      </c>
    </row>
    <row r="1721">
      <c r="G1721" s="3">
        <f>IFERROR(__xludf.DUMMYFUNCTION("""COMPUTED_VALUE"""),44046.99861111111)</f>
        <v>44046.99861</v>
      </c>
      <c r="H1721" s="2">
        <f>IFERROR(__xludf.DUMMYFUNCTION("""COMPUTED_VALUE"""),11252.4)</f>
        <v>11252.4</v>
      </c>
    </row>
    <row r="1722">
      <c r="G1722" s="3">
        <f>IFERROR(__xludf.DUMMYFUNCTION("""COMPUTED_VALUE"""),44047.99861111111)</f>
        <v>44047.99861</v>
      </c>
      <c r="H1722" s="2">
        <f>IFERROR(__xludf.DUMMYFUNCTION("""COMPUTED_VALUE"""),11197.0)</f>
        <v>11197</v>
      </c>
    </row>
    <row r="1723">
      <c r="G1723" s="3">
        <f>IFERROR(__xludf.DUMMYFUNCTION("""COMPUTED_VALUE"""),44048.99861111111)</f>
        <v>44048.99861</v>
      </c>
      <c r="H1723" s="2">
        <f>IFERROR(__xludf.DUMMYFUNCTION("""COMPUTED_VALUE"""),11756.7)</f>
        <v>11756.7</v>
      </c>
    </row>
    <row r="1724">
      <c r="G1724" s="3">
        <f>IFERROR(__xludf.DUMMYFUNCTION("""COMPUTED_VALUE"""),44049.99861111111)</f>
        <v>44049.99861</v>
      </c>
      <c r="H1724" s="2">
        <f>IFERROR(__xludf.DUMMYFUNCTION("""COMPUTED_VALUE"""),11773.8)</f>
        <v>11773.8</v>
      </c>
    </row>
    <row r="1725">
      <c r="G1725" s="3">
        <f>IFERROR(__xludf.DUMMYFUNCTION("""COMPUTED_VALUE"""),44050.99861111111)</f>
        <v>44050.99861</v>
      </c>
      <c r="H1725" s="2">
        <f>IFERROR(__xludf.DUMMYFUNCTION("""COMPUTED_VALUE"""),11606.5)</f>
        <v>11606.5</v>
      </c>
    </row>
    <row r="1726">
      <c r="G1726" s="3">
        <f>IFERROR(__xludf.DUMMYFUNCTION("""COMPUTED_VALUE"""),44051.99861111111)</f>
        <v>44051.99861</v>
      </c>
      <c r="H1726" s="2">
        <f>IFERROR(__xludf.DUMMYFUNCTION("""COMPUTED_VALUE"""),11774.9)</f>
        <v>11774.9</v>
      </c>
    </row>
    <row r="1727">
      <c r="G1727" s="3">
        <f>IFERROR(__xludf.DUMMYFUNCTION("""COMPUTED_VALUE"""),44052.99861111111)</f>
        <v>44052.99861</v>
      </c>
      <c r="H1727" s="2">
        <f>IFERROR(__xludf.DUMMYFUNCTION("""COMPUTED_VALUE"""),11688.4)</f>
        <v>11688.4</v>
      </c>
    </row>
    <row r="1728">
      <c r="G1728" s="3">
        <f>IFERROR(__xludf.DUMMYFUNCTION("""COMPUTED_VALUE"""),44053.99861111111)</f>
        <v>44053.99861</v>
      </c>
      <c r="H1728" s="2">
        <f>IFERROR(__xludf.DUMMYFUNCTION("""COMPUTED_VALUE"""),11876.2)</f>
        <v>11876.2</v>
      </c>
    </row>
    <row r="1729">
      <c r="G1729" s="3">
        <f>IFERROR(__xludf.DUMMYFUNCTION("""COMPUTED_VALUE"""),44054.99861111111)</f>
        <v>44054.99861</v>
      </c>
      <c r="H1729" s="2">
        <f>IFERROR(__xludf.DUMMYFUNCTION("""COMPUTED_VALUE"""),11388.9)</f>
        <v>11388.9</v>
      </c>
    </row>
    <row r="1730">
      <c r="G1730" s="3">
        <f>IFERROR(__xludf.DUMMYFUNCTION("""COMPUTED_VALUE"""),44055.99861111111)</f>
        <v>44055.99861</v>
      </c>
      <c r="H1730" s="2">
        <f>IFERROR(__xludf.DUMMYFUNCTION("""COMPUTED_VALUE"""),11571.6)</f>
        <v>11571.6</v>
      </c>
    </row>
    <row r="1731">
      <c r="G1731" s="3">
        <f>IFERROR(__xludf.DUMMYFUNCTION("""COMPUTED_VALUE"""),44056.99861111111)</f>
        <v>44056.99861</v>
      </c>
      <c r="H1731" s="2">
        <f>IFERROR(__xludf.DUMMYFUNCTION("""COMPUTED_VALUE"""),11788.4)</f>
        <v>11788.4</v>
      </c>
    </row>
    <row r="1732">
      <c r="G1732" s="3">
        <f>IFERROR(__xludf.DUMMYFUNCTION("""COMPUTED_VALUE"""),44057.99861111111)</f>
        <v>44057.99861</v>
      </c>
      <c r="H1732" s="2">
        <f>IFERROR(__xludf.DUMMYFUNCTION("""COMPUTED_VALUE"""),11767.5)</f>
        <v>11767.5</v>
      </c>
    </row>
    <row r="1733">
      <c r="G1733" s="3">
        <f>IFERROR(__xludf.DUMMYFUNCTION("""COMPUTED_VALUE"""),44058.99861111111)</f>
        <v>44058.99861</v>
      </c>
      <c r="H1733" s="2">
        <f>IFERROR(__xludf.DUMMYFUNCTION("""COMPUTED_VALUE"""),11859.2)</f>
        <v>11859.2</v>
      </c>
    </row>
    <row r="1734">
      <c r="G1734" s="3">
        <f>IFERROR(__xludf.DUMMYFUNCTION("""COMPUTED_VALUE"""),44059.99861111111)</f>
        <v>44059.99861</v>
      </c>
      <c r="H1734" s="2">
        <f>IFERROR(__xludf.DUMMYFUNCTION("""COMPUTED_VALUE"""),11907.7)</f>
        <v>11907.7</v>
      </c>
    </row>
    <row r="1735">
      <c r="G1735" s="3">
        <f>IFERROR(__xludf.DUMMYFUNCTION("""COMPUTED_VALUE"""),44060.99861111111)</f>
        <v>44060.99861</v>
      </c>
      <c r="H1735" s="2">
        <f>IFERROR(__xludf.DUMMYFUNCTION("""COMPUTED_VALUE"""),12305.5)</f>
        <v>12305.5</v>
      </c>
    </row>
    <row r="1736">
      <c r="G1736" s="3">
        <f>IFERROR(__xludf.DUMMYFUNCTION("""COMPUTED_VALUE"""),44061.99861111111)</f>
        <v>44061.99861</v>
      </c>
      <c r="H1736" s="2">
        <f>IFERROR(__xludf.DUMMYFUNCTION("""COMPUTED_VALUE"""),11950.0)</f>
        <v>11950</v>
      </c>
    </row>
    <row r="1737">
      <c r="G1737" s="3">
        <f>IFERROR(__xludf.DUMMYFUNCTION("""COMPUTED_VALUE"""),44062.99861111111)</f>
        <v>44062.99861</v>
      </c>
      <c r="H1737" s="2">
        <f>IFERROR(__xludf.DUMMYFUNCTION("""COMPUTED_VALUE"""),11747.7)</f>
        <v>11747.7</v>
      </c>
    </row>
    <row r="1738">
      <c r="G1738" s="3">
        <f>IFERROR(__xludf.DUMMYFUNCTION("""COMPUTED_VALUE"""),44063.99861111111)</f>
        <v>44063.99861</v>
      </c>
      <c r="H1738" s="2">
        <f>IFERROR(__xludf.DUMMYFUNCTION("""COMPUTED_VALUE"""),11864.2)</f>
        <v>11864.2</v>
      </c>
    </row>
    <row r="1739">
      <c r="G1739" s="3">
        <f>IFERROR(__xludf.DUMMYFUNCTION("""COMPUTED_VALUE"""),44064.99861111111)</f>
        <v>44064.99861</v>
      </c>
      <c r="H1739" s="2">
        <f>IFERROR(__xludf.DUMMYFUNCTION("""COMPUTED_VALUE"""),11507.2)</f>
        <v>11507.2</v>
      </c>
    </row>
    <row r="1740">
      <c r="G1740" s="3">
        <f>IFERROR(__xludf.DUMMYFUNCTION("""COMPUTED_VALUE"""),44065.99861111111)</f>
        <v>44065.99861</v>
      </c>
      <c r="H1740" s="2">
        <f>IFERROR(__xludf.DUMMYFUNCTION("""COMPUTED_VALUE"""),11684.5)</f>
        <v>11684.5</v>
      </c>
    </row>
    <row r="1741">
      <c r="G1741" s="3">
        <f>IFERROR(__xludf.DUMMYFUNCTION("""COMPUTED_VALUE"""),44066.99861111111)</f>
        <v>44066.99861</v>
      </c>
      <c r="H1741" s="2">
        <f>IFERROR(__xludf.DUMMYFUNCTION("""COMPUTED_VALUE"""),11650.0)</f>
        <v>11650</v>
      </c>
    </row>
    <row r="1742">
      <c r="G1742" s="3">
        <f>IFERROR(__xludf.DUMMYFUNCTION("""COMPUTED_VALUE"""),44067.99861111111)</f>
        <v>44067.99861</v>
      </c>
      <c r="H1742" s="2">
        <f>IFERROR(__xludf.DUMMYFUNCTION("""COMPUTED_VALUE"""),11753.8)</f>
        <v>11753.8</v>
      </c>
    </row>
    <row r="1743">
      <c r="G1743" s="3">
        <f>IFERROR(__xludf.DUMMYFUNCTION("""COMPUTED_VALUE"""),44068.99861111111)</f>
        <v>44068.99861</v>
      </c>
      <c r="H1743" s="2">
        <f>IFERROR(__xludf.DUMMYFUNCTION("""COMPUTED_VALUE"""),11324.9)</f>
        <v>11324.9</v>
      </c>
    </row>
    <row r="1744">
      <c r="G1744" s="3">
        <f>IFERROR(__xludf.DUMMYFUNCTION("""COMPUTED_VALUE"""),44069.99861111111)</f>
        <v>44069.99861</v>
      </c>
      <c r="H1744" s="2">
        <f>IFERROR(__xludf.DUMMYFUNCTION("""COMPUTED_VALUE"""),11463.2)</f>
        <v>11463.2</v>
      </c>
    </row>
    <row r="1745">
      <c r="G1745" s="3">
        <f>IFERROR(__xludf.DUMMYFUNCTION("""COMPUTED_VALUE"""),44070.99861111111)</f>
        <v>44070.99861</v>
      </c>
      <c r="H1745" s="2">
        <f>IFERROR(__xludf.DUMMYFUNCTION("""COMPUTED_VALUE"""),11329.1)</f>
        <v>11329.1</v>
      </c>
    </row>
    <row r="1746">
      <c r="G1746" s="3">
        <f>IFERROR(__xludf.DUMMYFUNCTION("""COMPUTED_VALUE"""),44071.99861111111)</f>
        <v>44071.99861</v>
      </c>
      <c r="H1746" s="2">
        <f>IFERROR(__xludf.DUMMYFUNCTION("""COMPUTED_VALUE"""),11535.0)</f>
        <v>11535</v>
      </c>
    </row>
    <row r="1747">
      <c r="G1747" s="3">
        <f>IFERROR(__xludf.DUMMYFUNCTION("""COMPUTED_VALUE"""),44072.99861111111)</f>
        <v>44072.99861</v>
      </c>
      <c r="H1747" s="2">
        <f>IFERROR(__xludf.DUMMYFUNCTION("""COMPUTED_VALUE"""),11474.3)</f>
        <v>11474.3</v>
      </c>
    </row>
    <row r="1748">
      <c r="G1748" s="3">
        <f>IFERROR(__xludf.DUMMYFUNCTION("""COMPUTED_VALUE"""),44073.99861111111)</f>
        <v>44073.99861</v>
      </c>
      <c r="H1748" s="2">
        <f>IFERROR(__xludf.DUMMYFUNCTION("""COMPUTED_VALUE"""),11716.0)</f>
        <v>11716</v>
      </c>
    </row>
    <row r="1749">
      <c r="G1749" s="3">
        <f>IFERROR(__xludf.DUMMYFUNCTION("""COMPUTED_VALUE"""),44074.99861111111)</f>
        <v>44074.99861</v>
      </c>
      <c r="H1749" s="2">
        <f>IFERROR(__xludf.DUMMYFUNCTION("""COMPUTED_VALUE"""),11655.0)</f>
        <v>11655</v>
      </c>
    </row>
    <row r="1750">
      <c r="G1750" s="3">
        <f>IFERROR(__xludf.DUMMYFUNCTION("""COMPUTED_VALUE"""),44075.99861111111)</f>
        <v>44075.99861</v>
      </c>
      <c r="H1750" s="2">
        <f>IFERROR(__xludf.DUMMYFUNCTION("""COMPUTED_VALUE"""),11929.8)</f>
        <v>11929.8</v>
      </c>
    </row>
    <row r="1751">
      <c r="G1751" s="3">
        <f>IFERROR(__xludf.DUMMYFUNCTION("""COMPUTED_VALUE"""),44076.99861111111)</f>
        <v>44076.99861</v>
      </c>
      <c r="H1751" s="2">
        <f>IFERROR(__xludf.DUMMYFUNCTION("""COMPUTED_VALUE"""),11405.6)</f>
        <v>11405.6</v>
      </c>
    </row>
    <row r="1752">
      <c r="G1752" s="3">
        <f>IFERROR(__xludf.DUMMYFUNCTION("""COMPUTED_VALUE"""),44077.99861111111)</f>
        <v>44077.99861</v>
      </c>
      <c r="H1752" s="2">
        <f>IFERROR(__xludf.DUMMYFUNCTION("""COMPUTED_VALUE"""),10264.1)</f>
        <v>10264.1</v>
      </c>
    </row>
    <row r="1753">
      <c r="G1753" s="3">
        <f>IFERROR(__xludf.DUMMYFUNCTION("""COMPUTED_VALUE"""),44078.99861111111)</f>
        <v>44078.99861</v>
      </c>
      <c r="H1753" s="2">
        <f>IFERROR(__xludf.DUMMYFUNCTION("""COMPUTED_VALUE"""),10483.5)</f>
        <v>10483.5</v>
      </c>
    </row>
    <row r="1754">
      <c r="G1754" s="3">
        <f>IFERROR(__xludf.DUMMYFUNCTION("""COMPUTED_VALUE"""),44079.99861111111)</f>
        <v>44079.99861</v>
      </c>
      <c r="H1754" s="2">
        <f>IFERROR(__xludf.DUMMYFUNCTION("""COMPUTED_VALUE"""),10168.3)</f>
        <v>10168.3</v>
      </c>
    </row>
    <row r="1755">
      <c r="G1755" s="3">
        <f>IFERROR(__xludf.DUMMYFUNCTION("""COMPUTED_VALUE"""),44080.99861111111)</f>
        <v>44080.99861</v>
      </c>
      <c r="H1755" s="2">
        <f>IFERROR(__xludf.DUMMYFUNCTION("""COMPUTED_VALUE"""),10257.8)</f>
        <v>10257.8</v>
      </c>
    </row>
    <row r="1756">
      <c r="G1756" s="3">
        <f>IFERROR(__xludf.DUMMYFUNCTION("""COMPUTED_VALUE"""),44081.99861111111)</f>
        <v>44081.99861</v>
      </c>
      <c r="H1756" s="2">
        <f>IFERROR(__xludf.DUMMYFUNCTION("""COMPUTED_VALUE"""),10375.0)</f>
        <v>10375</v>
      </c>
    </row>
    <row r="1757">
      <c r="G1757" s="3">
        <f>IFERROR(__xludf.DUMMYFUNCTION("""COMPUTED_VALUE"""),44082.99861111111)</f>
        <v>44082.99861</v>
      </c>
      <c r="H1757" s="2">
        <f>IFERROR(__xludf.DUMMYFUNCTION("""COMPUTED_VALUE"""),10125.6)</f>
        <v>10125.6</v>
      </c>
    </row>
    <row r="1758">
      <c r="G1758" s="3">
        <f>IFERROR(__xludf.DUMMYFUNCTION("""COMPUTED_VALUE"""),44083.99861111111)</f>
        <v>44083.99861</v>
      </c>
      <c r="H1758" s="2">
        <f>IFERROR(__xludf.DUMMYFUNCTION("""COMPUTED_VALUE"""),10216.4)</f>
        <v>10216.4</v>
      </c>
    </row>
    <row r="1759">
      <c r="G1759" s="3">
        <f>IFERROR(__xludf.DUMMYFUNCTION("""COMPUTED_VALUE"""),44084.99861111111)</f>
        <v>44084.99861</v>
      </c>
      <c r="H1759" s="2">
        <f>IFERROR(__xludf.DUMMYFUNCTION("""COMPUTED_VALUE"""),10344.2)</f>
        <v>10344.2</v>
      </c>
    </row>
    <row r="1760">
      <c r="G1760" s="3">
        <f>IFERROR(__xludf.DUMMYFUNCTION("""COMPUTED_VALUE"""),44085.99861111111)</f>
        <v>44085.99861</v>
      </c>
      <c r="H1760" s="2">
        <f>IFERROR(__xludf.DUMMYFUNCTION("""COMPUTED_VALUE"""),10383.9)</f>
        <v>10383.9</v>
      </c>
    </row>
    <row r="1761">
      <c r="G1761" s="3">
        <f>IFERROR(__xludf.DUMMYFUNCTION("""COMPUTED_VALUE"""),44086.99861111111)</f>
        <v>44086.99861</v>
      </c>
      <c r="H1761" s="2">
        <f>IFERROR(__xludf.DUMMYFUNCTION("""COMPUTED_VALUE"""),10445.2)</f>
        <v>10445.2</v>
      </c>
    </row>
    <row r="1762">
      <c r="G1762" s="3">
        <f>IFERROR(__xludf.DUMMYFUNCTION("""COMPUTED_VALUE"""),44087.99861111111)</f>
        <v>44087.99861</v>
      </c>
      <c r="H1762" s="2">
        <f>IFERROR(__xludf.DUMMYFUNCTION("""COMPUTED_VALUE"""),10323.3)</f>
        <v>10323.3</v>
      </c>
    </row>
    <row r="1763">
      <c r="G1763" s="3">
        <f>IFERROR(__xludf.DUMMYFUNCTION("""COMPUTED_VALUE"""),44088.99861111111)</f>
        <v>44088.99861</v>
      </c>
      <c r="H1763" s="2">
        <f>IFERROR(__xludf.DUMMYFUNCTION("""COMPUTED_VALUE"""),10671.4)</f>
        <v>10671.4</v>
      </c>
    </row>
    <row r="1764">
      <c r="G1764" s="3">
        <f>IFERROR(__xludf.DUMMYFUNCTION("""COMPUTED_VALUE"""),44089.99861111111)</f>
        <v>44089.99861</v>
      </c>
      <c r="H1764" s="2">
        <f>IFERROR(__xludf.DUMMYFUNCTION("""COMPUTED_VALUE"""),10783.7)</f>
        <v>10783.7</v>
      </c>
    </row>
    <row r="1765">
      <c r="G1765" s="3">
        <f>IFERROR(__xludf.DUMMYFUNCTION("""COMPUTED_VALUE"""),44090.99861111111)</f>
        <v>44090.99861</v>
      </c>
      <c r="H1765" s="2">
        <f>IFERROR(__xludf.DUMMYFUNCTION("""COMPUTED_VALUE"""),10959.6)</f>
        <v>10959.6</v>
      </c>
    </row>
    <row r="1766">
      <c r="G1766" s="3">
        <f>IFERROR(__xludf.DUMMYFUNCTION("""COMPUTED_VALUE"""),44091.99861111111)</f>
        <v>44091.99861</v>
      </c>
      <c r="H1766" s="2">
        <f>IFERROR(__xludf.DUMMYFUNCTION("""COMPUTED_VALUE"""),10943.6)</f>
        <v>10943.6</v>
      </c>
    </row>
    <row r="1767">
      <c r="G1767" s="3">
        <f>IFERROR(__xludf.DUMMYFUNCTION("""COMPUTED_VALUE"""),44092.99861111111)</f>
        <v>44092.99861</v>
      </c>
      <c r="H1767" s="2">
        <f>IFERROR(__xludf.DUMMYFUNCTION("""COMPUTED_VALUE"""),10937.5)</f>
        <v>10937.5</v>
      </c>
    </row>
    <row r="1768">
      <c r="G1768" s="3">
        <f>IFERROR(__xludf.DUMMYFUNCTION("""COMPUTED_VALUE"""),44093.99861111111)</f>
        <v>44093.99861</v>
      </c>
      <c r="H1768" s="2">
        <f>IFERROR(__xludf.DUMMYFUNCTION("""COMPUTED_VALUE"""),11080.0)</f>
        <v>11080</v>
      </c>
    </row>
    <row r="1769">
      <c r="G1769" s="3">
        <f>IFERROR(__xludf.DUMMYFUNCTION("""COMPUTED_VALUE"""),44094.99861111111)</f>
        <v>44094.99861</v>
      </c>
      <c r="H1769" s="2">
        <f>IFERROR(__xludf.DUMMYFUNCTION("""COMPUTED_VALUE"""),10920.8)</f>
        <v>10920.8</v>
      </c>
    </row>
    <row r="1770">
      <c r="G1770" s="3">
        <f>IFERROR(__xludf.DUMMYFUNCTION("""COMPUTED_VALUE"""),44095.99861111111)</f>
        <v>44095.99861</v>
      </c>
      <c r="H1770" s="2">
        <f>IFERROR(__xludf.DUMMYFUNCTION("""COMPUTED_VALUE"""),10414.4)</f>
        <v>10414.4</v>
      </c>
    </row>
    <row r="1771">
      <c r="G1771" s="3">
        <f>IFERROR(__xludf.DUMMYFUNCTION("""COMPUTED_VALUE"""),44096.99861111111)</f>
        <v>44096.99861</v>
      </c>
      <c r="H1771" s="2">
        <f>IFERROR(__xludf.DUMMYFUNCTION("""COMPUTED_VALUE"""),10532.8)</f>
        <v>10532.8</v>
      </c>
    </row>
    <row r="1772">
      <c r="G1772" s="3">
        <f>IFERROR(__xludf.DUMMYFUNCTION("""COMPUTED_VALUE"""),44097.99861111111)</f>
        <v>44097.99861</v>
      </c>
      <c r="H1772" s="2">
        <f>IFERROR(__xludf.DUMMYFUNCTION("""COMPUTED_VALUE"""),10235.1)</f>
        <v>10235.1</v>
      </c>
    </row>
    <row r="1773">
      <c r="G1773" s="3">
        <f>IFERROR(__xludf.DUMMYFUNCTION("""COMPUTED_VALUE"""),44098.99861111111)</f>
        <v>44098.99861</v>
      </c>
      <c r="H1773" s="2">
        <f>IFERROR(__xludf.DUMMYFUNCTION("""COMPUTED_VALUE"""),10740.0)</f>
        <v>10740</v>
      </c>
    </row>
    <row r="1774">
      <c r="G1774" s="3">
        <f>IFERROR(__xludf.DUMMYFUNCTION("""COMPUTED_VALUE"""),44099.99861111111)</f>
        <v>44099.99861</v>
      </c>
      <c r="H1774" s="2">
        <f>IFERROR(__xludf.DUMMYFUNCTION("""COMPUTED_VALUE"""),10690.5)</f>
        <v>10690.5</v>
      </c>
    </row>
    <row r="1775">
      <c r="G1775" s="3">
        <f>IFERROR(__xludf.DUMMYFUNCTION("""COMPUTED_VALUE"""),44100.99861111111)</f>
        <v>44100.99861</v>
      </c>
      <c r="H1775" s="2">
        <f>IFERROR(__xludf.DUMMYFUNCTION("""COMPUTED_VALUE"""),10735.6)</f>
        <v>10735.6</v>
      </c>
    </row>
    <row r="1776">
      <c r="G1776" s="3">
        <f>IFERROR(__xludf.DUMMYFUNCTION("""COMPUTED_VALUE"""),44101.99861111111)</f>
        <v>44101.99861</v>
      </c>
      <c r="H1776" s="2">
        <f>IFERROR(__xludf.DUMMYFUNCTION("""COMPUTED_VALUE"""),10770.0)</f>
        <v>10770</v>
      </c>
    </row>
    <row r="1777">
      <c r="G1777" s="3">
        <f>IFERROR(__xludf.DUMMYFUNCTION("""COMPUTED_VALUE"""),44102.99861111111)</f>
        <v>44102.99861</v>
      </c>
      <c r="H1777" s="2">
        <f>IFERROR(__xludf.DUMMYFUNCTION("""COMPUTED_VALUE"""),10695.5)</f>
        <v>10695.5</v>
      </c>
    </row>
    <row r="1778">
      <c r="G1778" s="3">
        <f>IFERROR(__xludf.DUMMYFUNCTION("""COMPUTED_VALUE"""),44103.99861111111)</f>
        <v>44103.99861</v>
      </c>
      <c r="H1778" s="2">
        <f>IFERROR(__xludf.DUMMYFUNCTION("""COMPUTED_VALUE"""),10840.4)</f>
        <v>10840.4</v>
      </c>
    </row>
    <row r="1779">
      <c r="G1779" s="3">
        <f>IFERROR(__xludf.DUMMYFUNCTION("""COMPUTED_VALUE"""),44104.99861111111)</f>
        <v>44104.99861</v>
      </c>
      <c r="H1779" s="2">
        <f>IFERROR(__xludf.DUMMYFUNCTION("""COMPUTED_VALUE"""),10779.6)</f>
        <v>10779.6</v>
      </c>
    </row>
    <row r="1780">
      <c r="G1780" s="3">
        <f>IFERROR(__xludf.DUMMYFUNCTION("""COMPUTED_VALUE"""),44105.99861111111)</f>
        <v>44105.99861</v>
      </c>
      <c r="H1780" s="2">
        <f>IFERROR(__xludf.DUMMYFUNCTION("""COMPUTED_VALUE"""),10612.4)</f>
        <v>10612.4</v>
      </c>
    </row>
    <row r="1781">
      <c r="G1781" s="3">
        <f>IFERROR(__xludf.DUMMYFUNCTION("""COMPUTED_VALUE"""),44106.99861111111)</f>
        <v>44106.99861</v>
      </c>
      <c r="H1781" s="2">
        <f>IFERROR(__xludf.DUMMYFUNCTION("""COMPUTED_VALUE"""),10573.1)</f>
        <v>10573.1</v>
      </c>
    </row>
    <row r="1782">
      <c r="G1782" s="3">
        <f>IFERROR(__xludf.DUMMYFUNCTION("""COMPUTED_VALUE"""),44107.99861111111)</f>
        <v>44107.99861</v>
      </c>
      <c r="H1782" s="2">
        <f>IFERROR(__xludf.DUMMYFUNCTION("""COMPUTED_VALUE"""),10551.6)</f>
        <v>10551.6</v>
      </c>
    </row>
    <row r="1783">
      <c r="G1783" s="3">
        <f>IFERROR(__xludf.DUMMYFUNCTION("""COMPUTED_VALUE"""),44108.99861111111)</f>
        <v>44108.99861</v>
      </c>
      <c r="H1783" s="2">
        <f>IFERROR(__xludf.DUMMYFUNCTION("""COMPUTED_VALUE"""),10671.1)</f>
        <v>10671.1</v>
      </c>
    </row>
    <row r="1784">
      <c r="G1784" s="3">
        <f>IFERROR(__xludf.DUMMYFUNCTION("""COMPUTED_VALUE"""),44109.99861111111)</f>
        <v>44109.99861</v>
      </c>
      <c r="H1784" s="2">
        <f>IFERROR(__xludf.DUMMYFUNCTION("""COMPUTED_VALUE"""),10795.0)</f>
        <v>10795</v>
      </c>
    </row>
    <row r="1785">
      <c r="G1785" s="3">
        <f>IFERROR(__xludf.DUMMYFUNCTION("""COMPUTED_VALUE"""),44110.99861111111)</f>
        <v>44110.99861</v>
      </c>
      <c r="H1785" s="2">
        <f>IFERROR(__xludf.DUMMYFUNCTION("""COMPUTED_VALUE"""),10606.1)</f>
        <v>10606.1</v>
      </c>
    </row>
    <row r="1786">
      <c r="G1786" s="3">
        <f>IFERROR(__xludf.DUMMYFUNCTION("""COMPUTED_VALUE"""),44111.99861111111)</f>
        <v>44111.99861</v>
      </c>
      <c r="H1786" s="2">
        <f>IFERROR(__xludf.DUMMYFUNCTION("""COMPUTED_VALUE"""),10670.4)</f>
        <v>10670.4</v>
      </c>
    </row>
    <row r="1787">
      <c r="G1787" s="3">
        <f>IFERROR(__xludf.DUMMYFUNCTION("""COMPUTED_VALUE"""),44112.99861111111)</f>
        <v>44112.99861</v>
      </c>
      <c r="H1787" s="2">
        <f>IFERROR(__xludf.DUMMYFUNCTION("""COMPUTED_VALUE"""),10906.3)</f>
        <v>10906.3</v>
      </c>
    </row>
    <row r="1788">
      <c r="G1788" s="3">
        <f>IFERROR(__xludf.DUMMYFUNCTION("""COMPUTED_VALUE"""),44113.99861111111)</f>
        <v>44113.99861</v>
      </c>
      <c r="H1788" s="2">
        <f>IFERROR(__xludf.DUMMYFUNCTION("""COMPUTED_VALUE"""),11067.0)</f>
        <v>11067</v>
      </c>
    </row>
    <row r="1789">
      <c r="G1789" s="3">
        <f>IFERROR(__xludf.DUMMYFUNCTION("""COMPUTED_VALUE"""),44114.99861111111)</f>
        <v>44114.99861</v>
      </c>
      <c r="H1789" s="2">
        <f>IFERROR(__xludf.DUMMYFUNCTION("""COMPUTED_VALUE"""),11302.9)</f>
        <v>11302.9</v>
      </c>
    </row>
    <row r="1790">
      <c r="G1790" s="3">
        <f>IFERROR(__xludf.DUMMYFUNCTION("""COMPUTED_VALUE"""),44115.99861111111)</f>
        <v>44115.99861</v>
      </c>
      <c r="H1790" s="2">
        <f>IFERROR(__xludf.DUMMYFUNCTION("""COMPUTED_VALUE"""),11381.7)</f>
        <v>11381.7</v>
      </c>
    </row>
    <row r="1791">
      <c r="G1791" s="3">
        <f>IFERROR(__xludf.DUMMYFUNCTION("""COMPUTED_VALUE"""),44116.99861111111)</f>
        <v>44116.99861</v>
      </c>
      <c r="H1791" s="2">
        <f>IFERROR(__xludf.DUMMYFUNCTION("""COMPUTED_VALUE"""),11535.4)</f>
        <v>11535.4</v>
      </c>
    </row>
    <row r="1792">
      <c r="G1792" s="3">
        <f>IFERROR(__xludf.DUMMYFUNCTION("""COMPUTED_VALUE"""),44117.99861111111)</f>
        <v>44117.99861</v>
      </c>
      <c r="H1792" s="2">
        <f>IFERROR(__xludf.DUMMYFUNCTION("""COMPUTED_VALUE"""),11429.9)</f>
        <v>11429.9</v>
      </c>
    </row>
    <row r="1793">
      <c r="G1793" s="3">
        <f>IFERROR(__xludf.DUMMYFUNCTION("""COMPUTED_VALUE"""),44118.99861111111)</f>
        <v>44118.99861</v>
      </c>
      <c r="H1793" s="2">
        <f>IFERROR(__xludf.DUMMYFUNCTION("""COMPUTED_VALUE"""),11427.7)</f>
        <v>11427.7</v>
      </c>
    </row>
    <row r="1794">
      <c r="G1794" s="3">
        <f>IFERROR(__xludf.DUMMYFUNCTION("""COMPUTED_VALUE"""),44119.99861111111)</f>
        <v>44119.99861</v>
      </c>
      <c r="H1794" s="2">
        <f>IFERROR(__xludf.DUMMYFUNCTION("""COMPUTED_VALUE"""),11500.1)</f>
        <v>11500.1</v>
      </c>
    </row>
    <row r="1795">
      <c r="G1795" s="3">
        <f>IFERROR(__xludf.DUMMYFUNCTION("""COMPUTED_VALUE"""),44120.99861111111)</f>
        <v>44120.99861</v>
      </c>
      <c r="H1795" s="2">
        <f>IFERROR(__xludf.DUMMYFUNCTION("""COMPUTED_VALUE"""),11328.9)</f>
        <v>11328.9</v>
      </c>
    </row>
    <row r="1796">
      <c r="G1796" s="3">
        <f>IFERROR(__xludf.DUMMYFUNCTION("""COMPUTED_VALUE"""),44121.99861111111)</f>
        <v>44121.99861</v>
      </c>
      <c r="H1796" s="2">
        <f>IFERROR(__xludf.DUMMYFUNCTION("""COMPUTED_VALUE"""),11367.8)</f>
        <v>11367.8</v>
      </c>
    </row>
    <row r="1797">
      <c r="G1797" s="3">
        <f>IFERROR(__xludf.DUMMYFUNCTION("""COMPUTED_VALUE"""),44122.99861111111)</f>
        <v>44122.99861</v>
      </c>
      <c r="H1797" s="2">
        <f>IFERROR(__xludf.DUMMYFUNCTION("""COMPUTED_VALUE"""),11514.2)</f>
        <v>11514.2</v>
      </c>
    </row>
    <row r="1798">
      <c r="G1798" s="3">
        <f>IFERROR(__xludf.DUMMYFUNCTION("""COMPUTED_VALUE"""),44123.99861111111)</f>
        <v>44123.99861</v>
      </c>
      <c r="H1798" s="2">
        <f>IFERROR(__xludf.DUMMYFUNCTION("""COMPUTED_VALUE"""),11760.4)</f>
        <v>11760.4</v>
      </c>
    </row>
    <row r="1799">
      <c r="G1799" s="3">
        <f>IFERROR(__xludf.DUMMYFUNCTION("""COMPUTED_VALUE"""),44124.99861111111)</f>
        <v>44124.99861</v>
      </c>
      <c r="H1799" s="2">
        <f>IFERROR(__xludf.DUMMYFUNCTION("""COMPUTED_VALUE"""),11923.8)</f>
        <v>11923.8</v>
      </c>
    </row>
    <row r="1800">
      <c r="G1800" s="3">
        <f>IFERROR(__xludf.DUMMYFUNCTION("""COMPUTED_VALUE"""),44125.99861111111)</f>
        <v>44125.99861</v>
      </c>
      <c r="H1800" s="2">
        <f>IFERROR(__xludf.DUMMYFUNCTION("""COMPUTED_VALUE"""),12844.4)</f>
        <v>12844.4</v>
      </c>
    </row>
    <row r="1801">
      <c r="G1801" s="3">
        <f>IFERROR(__xludf.DUMMYFUNCTION("""COMPUTED_VALUE"""),44126.99861111111)</f>
        <v>44126.99861</v>
      </c>
      <c r="H1801" s="2">
        <f>IFERROR(__xludf.DUMMYFUNCTION("""COMPUTED_VALUE"""),12986.8)</f>
        <v>12986.8</v>
      </c>
    </row>
    <row r="1802">
      <c r="G1802" s="3">
        <f>IFERROR(__xludf.DUMMYFUNCTION("""COMPUTED_VALUE"""),44127.99861111111)</f>
        <v>44127.99861</v>
      </c>
      <c r="H1802" s="2">
        <f>IFERROR(__xludf.DUMMYFUNCTION("""COMPUTED_VALUE"""),12937.0)</f>
        <v>12937</v>
      </c>
    </row>
    <row r="1803">
      <c r="G1803" s="3">
        <f>IFERROR(__xludf.DUMMYFUNCTION("""COMPUTED_VALUE"""),44128.99861111111)</f>
        <v>44128.99861</v>
      </c>
      <c r="H1803" s="2">
        <f>IFERROR(__xludf.DUMMYFUNCTION("""COMPUTED_VALUE"""),13128.3)</f>
        <v>13128.3</v>
      </c>
    </row>
    <row r="1804">
      <c r="G1804" s="3">
        <f>IFERROR(__xludf.DUMMYFUNCTION("""COMPUTED_VALUE"""),44129.99861111111)</f>
        <v>44129.99861</v>
      </c>
      <c r="H1804" s="2">
        <f>IFERROR(__xludf.DUMMYFUNCTION("""COMPUTED_VALUE"""),13041.6)</f>
        <v>13041.6</v>
      </c>
    </row>
    <row r="1805">
      <c r="G1805" s="3">
        <f>IFERROR(__xludf.DUMMYFUNCTION("""COMPUTED_VALUE"""),44130.99861111111)</f>
        <v>44130.99861</v>
      </c>
      <c r="H1805" s="2">
        <f>IFERROR(__xludf.DUMMYFUNCTION("""COMPUTED_VALUE"""),13085.1)</f>
        <v>13085.1</v>
      </c>
    </row>
    <row r="1806">
      <c r="G1806" s="3">
        <f>IFERROR(__xludf.DUMMYFUNCTION("""COMPUTED_VALUE"""),44131.99861111111)</f>
        <v>44131.99861</v>
      </c>
      <c r="H1806" s="2">
        <f>IFERROR(__xludf.DUMMYFUNCTION("""COMPUTED_VALUE"""),13793.7)</f>
        <v>13793.7</v>
      </c>
    </row>
    <row r="1807">
      <c r="G1807" s="3">
        <f>IFERROR(__xludf.DUMMYFUNCTION("""COMPUTED_VALUE"""),44132.99861111111)</f>
        <v>44132.99861</v>
      </c>
      <c r="H1807" s="2">
        <f>IFERROR(__xludf.DUMMYFUNCTION("""COMPUTED_VALUE"""),13285.8)</f>
        <v>13285.8</v>
      </c>
    </row>
    <row r="1808">
      <c r="G1808" s="3">
        <f>IFERROR(__xludf.DUMMYFUNCTION("""COMPUTED_VALUE"""),44133.99861111111)</f>
        <v>44133.99861</v>
      </c>
      <c r="H1808" s="2">
        <f>IFERROR(__xludf.DUMMYFUNCTION("""COMPUTED_VALUE"""),13456.5)</f>
        <v>13456.5</v>
      </c>
    </row>
    <row r="1809">
      <c r="G1809" s="3">
        <f>IFERROR(__xludf.DUMMYFUNCTION("""COMPUTED_VALUE"""),44134.99861111111)</f>
        <v>44134.99861</v>
      </c>
      <c r="H1809" s="2">
        <f>IFERROR(__xludf.DUMMYFUNCTION("""COMPUTED_VALUE"""),13571.2)</f>
        <v>13571.2</v>
      </c>
    </row>
    <row r="1810">
      <c r="G1810" s="3">
        <f>IFERROR(__xludf.DUMMYFUNCTION("""COMPUTED_VALUE"""),44135.99861111111)</f>
        <v>44135.99861</v>
      </c>
      <c r="H1810" s="2">
        <f>IFERROR(__xludf.DUMMYFUNCTION("""COMPUTED_VALUE"""),13803.2)</f>
        <v>13803.2</v>
      </c>
    </row>
    <row r="1811">
      <c r="G1811" s="3">
        <f>IFERROR(__xludf.DUMMYFUNCTION("""COMPUTED_VALUE"""),44136.99861111111)</f>
        <v>44136.99861</v>
      </c>
      <c r="H1811" s="2">
        <f>IFERROR(__xludf.DUMMYFUNCTION("""COMPUTED_VALUE"""),13748.0)</f>
        <v>13748</v>
      </c>
    </row>
    <row r="1812">
      <c r="G1812" s="3">
        <f>IFERROR(__xludf.DUMMYFUNCTION("""COMPUTED_VALUE"""),44137.99861111111)</f>
        <v>44137.99861</v>
      </c>
      <c r="H1812" s="2">
        <f>IFERROR(__xludf.DUMMYFUNCTION("""COMPUTED_VALUE"""),13562.7)</f>
        <v>13562.7</v>
      </c>
    </row>
    <row r="1813">
      <c r="G1813" s="3">
        <f>IFERROR(__xludf.DUMMYFUNCTION("""COMPUTED_VALUE"""),44138.99861111111)</f>
        <v>44138.99861</v>
      </c>
      <c r="H1813" s="2">
        <f>IFERROR(__xludf.DUMMYFUNCTION("""COMPUTED_VALUE"""),14035.8)</f>
        <v>14035.8</v>
      </c>
    </row>
    <row r="1814">
      <c r="G1814" s="3">
        <f>IFERROR(__xludf.DUMMYFUNCTION("""COMPUTED_VALUE"""),44139.99861111111)</f>
        <v>44139.99861</v>
      </c>
      <c r="H1814" s="2">
        <f>IFERROR(__xludf.DUMMYFUNCTION("""COMPUTED_VALUE"""),14161.4)</f>
        <v>14161.4</v>
      </c>
    </row>
    <row r="1815">
      <c r="G1815" s="3">
        <f>IFERROR(__xludf.DUMMYFUNCTION("""COMPUTED_VALUE"""),44140.99861111111)</f>
        <v>44140.99861</v>
      </c>
      <c r="H1815" s="2">
        <f>IFERROR(__xludf.DUMMYFUNCTION("""COMPUTED_VALUE"""),15608.2)</f>
        <v>15608.2</v>
      </c>
    </row>
    <row r="1816">
      <c r="G1816" s="3">
        <f>IFERROR(__xludf.DUMMYFUNCTION("""COMPUTED_VALUE"""),44141.99861111111)</f>
        <v>44141.99861</v>
      </c>
      <c r="H1816" s="2">
        <f>IFERROR(__xludf.DUMMYFUNCTION("""COMPUTED_VALUE"""),15599.9)</f>
        <v>15599.9</v>
      </c>
    </row>
    <row r="1817">
      <c r="G1817" s="3">
        <f>IFERROR(__xludf.DUMMYFUNCTION("""COMPUTED_VALUE"""),44142.99861111111)</f>
        <v>44142.99861</v>
      </c>
      <c r="H1817" s="2">
        <f>IFERROR(__xludf.DUMMYFUNCTION("""COMPUTED_VALUE"""),14834.0)</f>
        <v>14834</v>
      </c>
    </row>
    <row r="1818">
      <c r="G1818" s="3">
        <f>IFERROR(__xludf.DUMMYFUNCTION("""COMPUTED_VALUE"""),44143.99861111111)</f>
        <v>44143.99861</v>
      </c>
      <c r="H1818" s="2">
        <f>IFERROR(__xludf.DUMMYFUNCTION("""COMPUTED_VALUE"""),15502.9)</f>
        <v>15502.9</v>
      </c>
    </row>
    <row r="1819">
      <c r="G1819" s="3">
        <f>IFERROR(__xludf.DUMMYFUNCTION("""COMPUTED_VALUE"""),44144.99861111111)</f>
        <v>44144.99861</v>
      </c>
      <c r="H1819" s="2">
        <f>IFERROR(__xludf.DUMMYFUNCTION("""COMPUTED_VALUE"""),15317.6)</f>
        <v>15317.6</v>
      </c>
    </row>
    <row r="1820">
      <c r="G1820" s="3">
        <f>IFERROR(__xludf.DUMMYFUNCTION("""COMPUTED_VALUE"""),44145.99861111111)</f>
        <v>44145.99861</v>
      </c>
      <c r="H1820" s="2">
        <f>IFERROR(__xludf.DUMMYFUNCTION("""COMPUTED_VALUE"""),15315.0)</f>
        <v>15315</v>
      </c>
    </row>
    <row r="1821">
      <c r="G1821" s="3">
        <f>IFERROR(__xludf.DUMMYFUNCTION("""COMPUTED_VALUE"""),44146.99861111111)</f>
        <v>44146.99861</v>
      </c>
      <c r="H1821" s="2">
        <f>IFERROR(__xludf.DUMMYFUNCTION("""COMPUTED_VALUE"""),15701.3)</f>
        <v>15701.3</v>
      </c>
    </row>
    <row r="1822">
      <c r="G1822" s="3">
        <f>IFERROR(__xludf.DUMMYFUNCTION("""COMPUTED_VALUE"""),44147.99861111111)</f>
        <v>44147.99861</v>
      </c>
      <c r="H1822" s="2">
        <f>IFERROR(__xludf.DUMMYFUNCTION("""COMPUTED_VALUE"""),16276.6)</f>
        <v>16276.6</v>
      </c>
    </row>
    <row r="1823">
      <c r="G1823" s="3">
        <f>IFERROR(__xludf.DUMMYFUNCTION("""COMPUTED_VALUE"""),44148.99861111111)</f>
        <v>44148.99861</v>
      </c>
      <c r="H1823" s="2">
        <f>IFERROR(__xludf.DUMMYFUNCTION("""COMPUTED_VALUE"""),16333.8)</f>
        <v>16333.8</v>
      </c>
    </row>
    <row r="1824">
      <c r="G1824" s="3">
        <f>IFERROR(__xludf.DUMMYFUNCTION("""COMPUTED_VALUE"""),44149.99861111111)</f>
        <v>44149.99861</v>
      </c>
      <c r="H1824" s="2">
        <f>IFERROR(__xludf.DUMMYFUNCTION("""COMPUTED_VALUE"""),16082.0)</f>
        <v>16082</v>
      </c>
    </row>
    <row r="1825">
      <c r="G1825" s="3">
        <f>IFERROR(__xludf.DUMMYFUNCTION("""COMPUTED_VALUE"""),44150.99861111111)</f>
        <v>44150.99861</v>
      </c>
      <c r="H1825" s="2">
        <f>IFERROR(__xludf.DUMMYFUNCTION("""COMPUTED_VALUE"""),15979.5)</f>
        <v>15979.5</v>
      </c>
    </row>
    <row r="1826">
      <c r="G1826" s="3">
        <f>IFERROR(__xludf.DUMMYFUNCTION("""COMPUTED_VALUE"""),44151.99861111111)</f>
        <v>44151.99861</v>
      </c>
      <c r="H1826" s="2">
        <f>IFERROR(__xludf.DUMMYFUNCTION("""COMPUTED_VALUE"""),16743.0)</f>
        <v>16743</v>
      </c>
    </row>
    <row r="1827">
      <c r="G1827" s="3">
        <f>IFERROR(__xludf.DUMMYFUNCTION("""COMPUTED_VALUE"""),44152.99861111111)</f>
        <v>44152.99861</v>
      </c>
      <c r="H1827" s="2">
        <f>IFERROR(__xludf.DUMMYFUNCTION("""COMPUTED_VALUE"""),17686.6)</f>
        <v>17686.6</v>
      </c>
    </row>
    <row r="1828">
      <c r="G1828" s="3">
        <f>IFERROR(__xludf.DUMMYFUNCTION("""COMPUTED_VALUE"""),44153.99861111111)</f>
        <v>44153.99861</v>
      </c>
      <c r="H1828" s="2">
        <f>IFERROR(__xludf.DUMMYFUNCTION("""COMPUTED_VALUE"""),17845.5)</f>
        <v>17845.5</v>
      </c>
    </row>
    <row r="1829">
      <c r="G1829" s="3">
        <f>IFERROR(__xludf.DUMMYFUNCTION("""COMPUTED_VALUE"""),44154.99861111111)</f>
        <v>44154.99861</v>
      </c>
      <c r="H1829" s="2">
        <f>IFERROR(__xludf.DUMMYFUNCTION("""COMPUTED_VALUE"""),17842.0)</f>
        <v>17842</v>
      </c>
    </row>
    <row r="1830">
      <c r="G1830" s="3">
        <f>IFERROR(__xludf.DUMMYFUNCTION("""COMPUTED_VALUE"""),44155.99861111111)</f>
        <v>44155.99861</v>
      </c>
      <c r="H1830" s="2">
        <f>IFERROR(__xludf.DUMMYFUNCTION("""COMPUTED_VALUE"""),18656.0)</f>
        <v>18656</v>
      </c>
    </row>
    <row r="1831">
      <c r="G1831" s="3">
        <f>IFERROR(__xludf.DUMMYFUNCTION("""COMPUTED_VALUE"""),44156.99861111111)</f>
        <v>44156.99861</v>
      </c>
      <c r="H1831" s="2">
        <f>IFERROR(__xludf.DUMMYFUNCTION("""COMPUTED_VALUE"""),18718.8)</f>
        <v>18718.8</v>
      </c>
    </row>
    <row r="1832">
      <c r="G1832" s="3">
        <f>IFERROR(__xludf.DUMMYFUNCTION("""COMPUTED_VALUE"""),44157.99861111111)</f>
        <v>44157.99861</v>
      </c>
      <c r="H1832" s="2">
        <f>IFERROR(__xludf.DUMMYFUNCTION("""COMPUTED_VALUE"""),18426.2)</f>
        <v>18426.2</v>
      </c>
    </row>
    <row r="1833">
      <c r="G1833" s="3">
        <f>IFERROR(__xludf.DUMMYFUNCTION("""COMPUTED_VALUE"""),44158.99861111111)</f>
        <v>44158.99861</v>
      </c>
      <c r="H1833" s="2">
        <f>IFERROR(__xludf.DUMMYFUNCTION("""COMPUTED_VALUE"""),18398.9)</f>
        <v>18398.9</v>
      </c>
    </row>
    <row r="1834">
      <c r="G1834" s="3">
        <f>IFERROR(__xludf.DUMMYFUNCTION("""COMPUTED_VALUE"""),44159.99861111111)</f>
        <v>44159.99861</v>
      </c>
      <c r="H1834" s="2">
        <f>IFERROR(__xludf.DUMMYFUNCTION("""COMPUTED_VALUE"""),19129.3)</f>
        <v>19129.3</v>
      </c>
    </row>
    <row r="1835">
      <c r="G1835" s="3">
        <f>IFERROR(__xludf.DUMMYFUNCTION("""COMPUTED_VALUE"""),44160.99861111111)</f>
        <v>44160.99861</v>
      </c>
      <c r="H1835" s="2">
        <f>IFERROR(__xludf.DUMMYFUNCTION("""COMPUTED_VALUE"""),18769.4)</f>
        <v>18769.4</v>
      </c>
    </row>
    <row r="1836">
      <c r="G1836" s="3">
        <f>IFERROR(__xludf.DUMMYFUNCTION("""COMPUTED_VALUE"""),44161.99861111111)</f>
        <v>44161.99861</v>
      </c>
      <c r="H1836" s="2">
        <f>IFERROR(__xludf.DUMMYFUNCTION("""COMPUTED_VALUE"""),17076.0)</f>
        <v>17076</v>
      </c>
    </row>
    <row r="1837">
      <c r="G1837" s="3">
        <f>IFERROR(__xludf.DUMMYFUNCTION("""COMPUTED_VALUE"""),44162.99861111111)</f>
        <v>44162.99861</v>
      </c>
      <c r="H1837" s="2">
        <f>IFERROR(__xludf.DUMMYFUNCTION("""COMPUTED_VALUE"""),17153.9)</f>
        <v>17153.9</v>
      </c>
    </row>
    <row r="1838">
      <c r="G1838" s="3">
        <f>IFERROR(__xludf.DUMMYFUNCTION("""COMPUTED_VALUE"""),44163.99861111111)</f>
        <v>44163.99861</v>
      </c>
      <c r="H1838" s="2">
        <f>IFERROR(__xludf.DUMMYFUNCTION("""COMPUTED_VALUE"""),17723.5)</f>
        <v>17723.5</v>
      </c>
    </row>
    <row r="1839">
      <c r="G1839" s="3">
        <f>IFERROR(__xludf.DUMMYFUNCTION("""COMPUTED_VALUE"""),44164.99861111111)</f>
        <v>44164.99861</v>
      </c>
      <c r="H1839" s="2">
        <f>IFERROR(__xludf.DUMMYFUNCTION("""COMPUTED_VALUE"""),18190.0)</f>
        <v>18190</v>
      </c>
    </row>
    <row r="1840">
      <c r="G1840" s="3">
        <f>IFERROR(__xludf.DUMMYFUNCTION("""COMPUTED_VALUE"""),44165.99861111111)</f>
        <v>44165.99861</v>
      </c>
      <c r="H1840" s="2">
        <f>IFERROR(__xludf.DUMMYFUNCTION("""COMPUTED_VALUE"""),19684.0)</f>
        <v>19684</v>
      </c>
    </row>
    <row r="1841">
      <c r="G1841" s="3">
        <f>IFERROR(__xludf.DUMMYFUNCTION("""COMPUTED_VALUE"""),44166.99861111111)</f>
        <v>44166.99861</v>
      </c>
      <c r="H1841" s="2">
        <f>IFERROR(__xludf.DUMMYFUNCTION("""COMPUTED_VALUE"""),18870.8)</f>
        <v>18870.8</v>
      </c>
    </row>
    <row r="1842">
      <c r="G1842" s="3">
        <f>IFERROR(__xludf.DUMMYFUNCTION("""COMPUTED_VALUE"""),44167.99861111111)</f>
        <v>44167.99861</v>
      </c>
      <c r="H1842" s="2">
        <f>IFERROR(__xludf.DUMMYFUNCTION("""COMPUTED_VALUE"""),19204.6)</f>
        <v>19204.6</v>
      </c>
    </row>
    <row r="1843">
      <c r="G1843" s="3">
        <f>IFERROR(__xludf.DUMMYFUNCTION("""COMPUTED_VALUE"""),44168.99861111111)</f>
        <v>44168.99861</v>
      </c>
      <c r="H1843" s="2">
        <f>IFERROR(__xludf.DUMMYFUNCTION("""COMPUTED_VALUE"""),19465.1)</f>
        <v>19465.1</v>
      </c>
    </row>
    <row r="1844">
      <c r="G1844" s="3">
        <f>IFERROR(__xludf.DUMMYFUNCTION("""COMPUTED_VALUE"""),44169.99861111111)</f>
        <v>44169.99861</v>
      </c>
      <c r="H1844" s="2">
        <f>IFERROR(__xludf.DUMMYFUNCTION("""COMPUTED_VALUE"""),18739.5)</f>
        <v>18739.5</v>
      </c>
    </row>
    <row r="1845">
      <c r="G1845" s="3">
        <f>IFERROR(__xludf.DUMMYFUNCTION("""COMPUTED_VALUE"""),44170.99861111111)</f>
        <v>44170.99861</v>
      </c>
      <c r="H1845" s="2">
        <f>IFERROR(__xludf.DUMMYFUNCTION("""COMPUTED_VALUE"""),19135.9)</f>
        <v>19135.9</v>
      </c>
    </row>
    <row r="1846">
      <c r="G1846" s="3">
        <f>IFERROR(__xludf.DUMMYFUNCTION("""COMPUTED_VALUE"""),44171.99861111111)</f>
        <v>44171.99861</v>
      </c>
      <c r="H1846" s="2">
        <f>IFERROR(__xludf.DUMMYFUNCTION("""COMPUTED_VALUE"""),19348.4)</f>
        <v>19348.4</v>
      </c>
    </row>
    <row r="1847">
      <c r="G1847" s="3">
        <f>IFERROR(__xludf.DUMMYFUNCTION("""COMPUTED_VALUE"""),44172.99861111111)</f>
        <v>44172.99861</v>
      </c>
      <c r="H1847" s="2">
        <f>IFERROR(__xludf.DUMMYFUNCTION("""COMPUTED_VALUE"""),19202.1)</f>
        <v>19202.1</v>
      </c>
    </row>
    <row r="1848">
      <c r="G1848" s="3">
        <f>IFERROR(__xludf.DUMMYFUNCTION("""COMPUTED_VALUE"""),44173.99861111111)</f>
        <v>44173.99861</v>
      </c>
      <c r="H1848" s="2">
        <f>IFERROR(__xludf.DUMMYFUNCTION("""COMPUTED_VALUE"""),18319.7)</f>
        <v>18319.7</v>
      </c>
    </row>
    <row r="1849">
      <c r="G1849" s="3">
        <f>IFERROR(__xludf.DUMMYFUNCTION("""COMPUTED_VALUE"""),44174.99861111111)</f>
        <v>44174.99861</v>
      </c>
      <c r="H1849" s="2">
        <f>IFERROR(__xludf.DUMMYFUNCTION("""COMPUTED_VALUE"""),18559.9)</f>
        <v>18559.9</v>
      </c>
    </row>
    <row r="1850">
      <c r="G1850" s="3">
        <f>IFERROR(__xludf.DUMMYFUNCTION("""COMPUTED_VALUE"""),44175.99861111111)</f>
        <v>44175.99861</v>
      </c>
      <c r="H1850" s="2">
        <f>IFERROR(__xludf.DUMMYFUNCTION("""COMPUTED_VALUE"""),18279.0)</f>
        <v>18279</v>
      </c>
    </row>
    <row r="1851">
      <c r="G1851" s="3">
        <f>IFERROR(__xludf.DUMMYFUNCTION("""COMPUTED_VALUE"""),44176.99861111111)</f>
        <v>44176.99861</v>
      </c>
      <c r="H1851" s="2">
        <f>IFERROR(__xludf.DUMMYFUNCTION("""COMPUTED_VALUE"""),18056.7)</f>
        <v>18056.7</v>
      </c>
    </row>
    <row r="1852">
      <c r="G1852" s="3">
        <f>IFERROR(__xludf.DUMMYFUNCTION("""COMPUTED_VALUE"""),44177.99861111111)</f>
        <v>44177.99861</v>
      </c>
      <c r="H1852" s="2">
        <f>IFERROR(__xludf.DUMMYFUNCTION("""COMPUTED_VALUE"""),18811.5)</f>
        <v>18811.5</v>
      </c>
    </row>
    <row r="1853">
      <c r="G1853" s="3">
        <f>IFERROR(__xludf.DUMMYFUNCTION("""COMPUTED_VALUE"""),44178.99861111111)</f>
        <v>44178.99861</v>
      </c>
      <c r="H1853" s="2">
        <f>IFERROR(__xludf.DUMMYFUNCTION("""COMPUTED_VALUE"""),19168.5)</f>
        <v>19168.5</v>
      </c>
    </row>
    <row r="1854">
      <c r="G1854" s="3">
        <f>IFERROR(__xludf.DUMMYFUNCTION("""COMPUTED_VALUE"""),44179.99861111111)</f>
        <v>44179.99861</v>
      </c>
      <c r="H1854" s="2">
        <f>IFERROR(__xludf.DUMMYFUNCTION("""COMPUTED_VALUE"""),19272.3)</f>
        <v>19272.3</v>
      </c>
    </row>
    <row r="1855">
      <c r="G1855" s="3">
        <f>IFERROR(__xludf.DUMMYFUNCTION("""COMPUTED_VALUE"""),44180.99861111111)</f>
        <v>44180.99861</v>
      </c>
      <c r="H1855" s="2">
        <f>IFERROR(__xludf.DUMMYFUNCTION("""COMPUTED_VALUE"""),19452.5)</f>
        <v>19452.5</v>
      </c>
    </row>
    <row r="1856">
      <c r="G1856" s="3">
        <f>IFERROR(__xludf.DUMMYFUNCTION("""COMPUTED_VALUE"""),44181.99861111111)</f>
        <v>44181.99861</v>
      </c>
      <c r="H1856" s="2">
        <f>IFERROR(__xludf.DUMMYFUNCTION("""COMPUTED_VALUE"""),21359.6)</f>
        <v>21359.6</v>
      </c>
    </row>
    <row r="1857">
      <c r="G1857" s="3">
        <f>IFERROR(__xludf.DUMMYFUNCTION("""COMPUTED_VALUE"""),44182.99861111111)</f>
        <v>44182.99861</v>
      </c>
      <c r="H1857" s="2">
        <f>IFERROR(__xludf.DUMMYFUNCTION("""COMPUTED_VALUE"""),22826.4)</f>
        <v>22826.4</v>
      </c>
    </row>
    <row r="1858">
      <c r="G1858" s="3">
        <f>IFERROR(__xludf.DUMMYFUNCTION("""COMPUTED_VALUE"""),44183.99861111111)</f>
        <v>44183.99861</v>
      </c>
      <c r="H1858" s="2">
        <f>IFERROR(__xludf.DUMMYFUNCTION("""COMPUTED_VALUE"""),23140.3)</f>
        <v>23140.3</v>
      </c>
    </row>
    <row r="1859">
      <c r="G1859" s="3">
        <f>IFERROR(__xludf.DUMMYFUNCTION("""COMPUTED_VALUE"""),44184.99861111111)</f>
        <v>44184.99861</v>
      </c>
      <c r="H1859" s="2">
        <f>IFERROR(__xludf.DUMMYFUNCTION("""COMPUTED_VALUE"""),23874.5)</f>
        <v>23874.5</v>
      </c>
    </row>
    <row r="1860">
      <c r="G1860" s="3">
        <f>IFERROR(__xludf.DUMMYFUNCTION("""COMPUTED_VALUE"""),44185.99861111111)</f>
        <v>44185.99861</v>
      </c>
      <c r="H1860" s="2">
        <f>IFERROR(__xludf.DUMMYFUNCTION("""COMPUTED_VALUE"""),23530.0)</f>
        <v>23530</v>
      </c>
    </row>
    <row r="1861">
      <c r="G1861" s="3">
        <f>IFERROR(__xludf.DUMMYFUNCTION("""COMPUTED_VALUE"""),44186.99861111111)</f>
        <v>44186.99861</v>
      </c>
      <c r="H1861" s="2">
        <f>IFERROR(__xludf.DUMMYFUNCTION("""COMPUTED_VALUE"""),22729.4)</f>
        <v>22729.4</v>
      </c>
    </row>
    <row r="1862">
      <c r="G1862" s="3">
        <f>IFERROR(__xludf.DUMMYFUNCTION("""COMPUTED_VALUE"""),44187.99861111111)</f>
        <v>44187.99861</v>
      </c>
      <c r="H1862" s="2">
        <f>IFERROR(__xludf.DUMMYFUNCTION("""COMPUTED_VALUE"""),23825.9)</f>
        <v>23825.9</v>
      </c>
    </row>
    <row r="1863">
      <c r="G1863" s="3">
        <f>IFERROR(__xludf.DUMMYFUNCTION("""COMPUTED_VALUE"""),44188.99861111111)</f>
        <v>44188.99861</v>
      </c>
      <c r="H1863" s="2">
        <f>IFERROR(__xludf.DUMMYFUNCTION("""COMPUTED_VALUE"""),23224.3)</f>
        <v>23224.3</v>
      </c>
    </row>
    <row r="1864">
      <c r="G1864" s="3">
        <f>IFERROR(__xludf.DUMMYFUNCTION("""COMPUTED_VALUE"""),44189.99861111111)</f>
        <v>44189.99861</v>
      </c>
      <c r="H1864" s="2">
        <f>IFERROR(__xludf.DUMMYFUNCTION("""COMPUTED_VALUE"""),23719.4)</f>
        <v>23719.4</v>
      </c>
    </row>
    <row r="1865">
      <c r="G1865" s="3">
        <f>IFERROR(__xludf.DUMMYFUNCTION("""COMPUTED_VALUE"""),44190.99861111111)</f>
        <v>44190.99861</v>
      </c>
      <c r="H1865" s="2">
        <f>IFERROR(__xludf.DUMMYFUNCTION("""COMPUTED_VALUE"""),24703.3)</f>
        <v>24703.3</v>
      </c>
    </row>
    <row r="1866">
      <c r="G1866" s="3">
        <f>IFERROR(__xludf.DUMMYFUNCTION("""COMPUTED_VALUE"""),44191.99861111111)</f>
        <v>44191.99861</v>
      </c>
      <c r="H1866" s="2">
        <f>IFERROR(__xludf.DUMMYFUNCTION("""COMPUTED_VALUE"""),26475.3)</f>
        <v>26475.3</v>
      </c>
    </row>
    <row r="1867">
      <c r="G1867" s="3">
        <f>IFERROR(__xludf.DUMMYFUNCTION("""COMPUTED_VALUE"""),44192.99861111111)</f>
        <v>44192.99861</v>
      </c>
      <c r="H1867" s="2">
        <f>IFERROR(__xludf.DUMMYFUNCTION("""COMPUTED_VALUE"""),26258.6)</f>
        <v>26258.6</v>
      </c>
    </row>
    <row r="1868">
      <c r="G1868" s="3">
        <f>IFERROR(__xludf.DUMMYFUNCTION("""COMPUTED_VALUE"""),44193.99861111111)</f>
        <v>44193.99861</v>
      </c>
      <c r="H1868" s="2">
        <f>IFERROR(__xludf.DUMMYFUNCTION("""COMPUTED_VALUE"""),27038.0)</f>
        <v>27038</v>
      </c>
    </row>
    <row r="1869">
      <c r="G1869" s="3">
        <f>IFERROR(__xludf.DUMMYFUNCTION("""COMPUTED_VALUE"""),44194.99861111111)</f>
        <v>44194.99861</v>
      </c>
      <c r="H1869" s="2">
        <f>IFERROR(__xludf.DUMMYFUNCTION("""COMPUTED_VALUE"""),27394.4)</f>
        <v>27394.4</v>
      </c>
    </row>
    <row r="1870">
      <c r="G1870" s="3">
        <f>IFERROR(__xludf.DUMMYFUNCTION("""COMPUTED_VALUE"""),44195.99861111111)</f>
        <v>44195.99861</v>
      </c>
      <c r="H1870" s="2">
        <f>IFERROR(__xludf.DUMMYFUNCTION("""COMPUTED_VALUE"""),28897.4)</f>
        <v>28897.4</v>
      </c>
    </row>
    <row r="1871">
      <c r="G1871" s="3">
        <f>IFERROR(__xludf.DUMMYFUNCTION("""COMPUTED_VALUE"""),44196.99861111111)</f>
        <v>44196.99861</v>
      </c>
      <c r="H1871" s="2">
        <f>IFERROR(__xludf.DUMMYFUNCTION("""COMPUTED_VALUE"""),28990.0)</f>
        <v>28990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</cols>
  <sheetData>
    <row r="1">
      <c r="A1" s="3">
        <v>42006.66666666667</v>
      </c>
      <c r="B1" s="2">
        <v>33.42</v>
      </c>
    </row>
    <row r="2">
      <c r="A2" s="3">
        <v>42009.66666666667</v>
      </c>
      <c r="B2" s="2">
        <v>33.54</v>
      </c>
    </row>
    <row r="3">
      <c r="A3" s="3">
        <v>42010.66666666667</v>
      </c>
      <c r="B3" s="2">
        <v>33.61</v>
      </c>
    </row>
    <row r="4">
      <c r="A4" s="3">
        <v>42011.66666666667</v>
      </c>
      <c r="B4" s="2">
        <v>33.88</v>
      </c>
    </row>
    <row r="5">
      <c r="A5" s="3">
        <v>42012.66666666667</v>
      </c>
      <c r="B5" s="2">
        <v>34.12</v>
      </c>
    </row>
    <row r="6">
      <c r="A6" s="3">
        <v>42013.66666666667</v>
      </c>
      <c r="B6" s="2">
        <v>33.96</v>
      </c>
    </row>
    <row r="7">
      <c r="A7" s="3">
        <v>42016.66666666667</v>
      </c>
      <c r="B7" s="2">
        <v>34.46</v>
      </c>
    </row>
    <row r="8">
      <c r="A8" s="3">
        <v>42017.66666666667</v>
      </c>
      <c r="B8" s="2">
        <v>34.69</v>
      </c>
    </row>
    <row r="9">
      <c r="A9" s="3">
        <v>42018.66666666667</v>
      </c>
      <c r="B9" s="2">
        <v>34.93</v>
      </c>
    </row>
    <row r="10">
      <c r="A10" s="3">
        <v>42019.66666666667</v>
      </c>
      <c r="B10" s="2">
        <v>34.47</v>
      </c>
    </row>
    <row r="11">
      <c r="A11" s="3">
        <v>42020.66666666667</v>
      </c>
      <c r="B11" s="2">
        <v>34.96</v>
      </c>
    </row>
    <row r="12">
      <c r="A12" s="3">
        <v>42024.66666666667</v>
      </c>
      <c r="B12" s="2">
        <v>34.92</v>
      </c>
    </row>
    <row r="13">
      <c r="A13" s="3">
        <v>42025.66666666667</v>
      </c>
      <c r="B13" s="2">
        <v>35.74</v>
      </c>
    </row>
    <row r="14">
      <c r="A14" s="3">
        <v>42026.66666666667</v>
      </c>
      <c r="B14" s="2">
        <v>35.78</v>
      </c>
    </row>
    <row r="15">
      <c r="A15" s="3">
        <v>42027.66666666667</v>
      </c>
      <c r="B15" s="2">
        <v>34.87</v>
      </c>
    </row>
    <row r="16">
      <c r="A16" s="3">
        <v>42030.66666666667</v>
      </c>
      <c r="B16" s="2">
        <v>34.33</v>
      </c>
    </row>
    <row r="17">
      <c r="A17" s="3">
        <v>42031.66666666667</v>
      </c>
      <c r="B17" s="2">
        <v>33.73</v>
      </c>
    </row>
    <row r="18">
      <c r="A18" s="3">
        <v>42032.66666666667</v>
      </c>
      <c r="B18" s="2">
        <v>33.34</v>
      </c>
    </row>
    <row r="19">
      <c r="A19" s="3">
        <v>42033.66666666667</v>
      </c>
      <c r="B19" s="2">
        <v>33.68</v>
      </c>
    </row>
    <row r="20">
      <c r="A20" s="3">
        <v>42034.66666666667</v>
      </c>
      <c r="B20" s="2">
        <v>33.39</v>
      </c>
    </row>
    <row r="21">
      <c r="A21" s="3">
        <v>42037.66666666667</v>
      </c>
      <c r="B21" s="2">
        <v>34.33</v>
      </c>
    </row>
    <row r="22">
      <c r="A22" s="3">
        <v>42038.66666666667</v>
      </c>
      <c r="B22" s="2">
        <v>34.05</v>
      </c>
    </row>
    <row r="23">
      <c r="A23" s="3">
        <v>42039.66666666667</v>
      </c>
      <c r="B23" s="2">
        <v>34.21</v>
      </c>
    </row>
    <row r="24">
      <c r="A24" s="3">
        <v>42040.66666666667</v>
      </c>
      <c r="B24" s="2">
        <v>34.61</v>
      </c>
    </row>
    <row r="25">
      <c r="A25" s="3">
        <v>42041.66666666667</v>
      </c>
      <c r="B25" s="2">
        <v>35.08</v>
      </c>
    </row>
    <row r="26">
      <c r="A26" s="3">
        <v>42044.66666666667</v>
      </c>
      <c r="B26" s="2">
        <v>34.97</v>
      </c>
    </row>
    <row r="27">
      <c r="A27" s="3">
        <v>42045.66666666667</v>
      </c>
      <c r="B27" s="2">
        <v>35.76</v>
      </c>
    </row>
    <row r="28">
      <c r="A28" s="3">
        <v>42046.66666666667</v>
      </c>
      <c r="B28" s="2">
        <v>35.57</v>
      </c>
    </row>
    <row r="29">
      <c r="A29" s="3">
        <v>42047.66666666667</v>
      </c>
      <c r="B29" s="2">
        <v>36.22</v>
      </c>
    </row>
    <row r="30">
      <c r="A30" s="3">
        <v>42048.66666666667</v>
      </c>
      <c r="B30" s="2">
        <v>36.49</v>
      </c>
    </row>
    <row r="31">
      <c r="A31" s="3">
        <v>42052.66666666667</v>
      </c>
      <c r="B31" s="2">
        <v>36.52</v>
      </c>
    </row>
    <row r="32">
      <c r="A32" s="3">
        <v>42053.66666666667</v>
      </c>
      <c r="B32" s="2">
        <v>36.5</v>
      </c>
    </row>
    <row r="33">
      <c r="A33" s="3">
        <v>42054.66666666667</v>
      </c>
      <c r="B33" s="2">
        <v>37.31</v>
      </c>
    </row>
    <row r="34">
      <c r="A34" s="3">
        <v>42055.66666666667</v>
      </c>
      <c r="B34" s="2">
        <v>37.3</v>
      </c>
    </row>
    <row r="35">
      <c r="A35" s="3">
        <v>42058.66666666667</v>
      </c>
      <c r="B35" s="2">
        <v>36.69</v>
      </c>
    </row>
    <row r="36">
      <c r="A36" s="3">
        <v>42059.66666666667</v>
      </c>
      <c r="B36" s="2">
        <v>37.59</v>
      </c>
    </row>
    <row r="37">
      <c r="A37" s="3">
        <v>42060.66666666667</v>
      </c>
      <c r="B37" s="2">
        <v>37.3</v>
      </c>
    </row>
    <row r="38">
      <c r="A38" s="3">
        <v>42061.66666666667</v>
      </c>
      <c r="B38" s="2">
        <v>37.44</v>
      </c>
    </row>
    <row r="39">
      <c r="A39" s="3">
        <v>42062.66666666667</v>
      </c>
      <c r="B39" s="2">
        <v>37.54</v>
      </c>
    </row>
    <row r="40">
      <c r="A40" s="3">
        <v>42065.66666666667</v>
      </c>
      <c r="B40" s="2">
        <v>37.88</v>
      </c>
    </row>
    <row r="41">
      <c r="A41" s="3">
        <v>42066.66666666667</v>
      </c>
      <c r="B41" s="2">
        <v>37.53</v>
      </c>
    </row>
    <row r="42">
      <c r="A42" s="3">
        <v>42067.66666666667</v>
      </c>
      <c r="B42" s="2">
        <v>37.68</v>
      </c>
    </row>
    <row r="43">
      <c r="A43" s="3">
        <v>42068.66666666667</v>
      </c>
      <c r="B43" s="2">
        <v>37.34</v>
      </c>
    </row>
    <row r="44">
      <c r="A44" s="3">
        <v>42069.66666666667</v>
      </c>
      <c r="B44" s="2">
        <v>37.13</v>
      </c>
    </row>
    <row r="45">
      <c r="A45" s="3">
        <v>42072.66666666667</v>
      </c>
      <c r="B45" s="2">
        <v>37.39</v>
      </c>
    </row>
    <row r="46">
      <c r="A46" s="3">
        <v>42073.66666666667</v>
      </c>
      <c r="B46" s="2">
        <v>36.77</v>
      </c>
    </row>
    <row r="47">
      <c r="A47" s="3">
        <v>42074.66666666667</v>
      </c>
      <c r="B47" s="2">
        <v>37.24</v>
      </c>
    </row>
    <row r="48">
      <c r="A48" s="3">
        <v>42075.66666666667</v>
      </c>
      <c r="B48" s="2">
        <v>37.33</v>
      </c>
    </row>
    <row r="49">
      <c r="A49" s="3">
        <v>42076.66666666667</v>
      </c>
      <c r="B49" s="2">
        <v>37.25</v>
      </c>
    </row>
    <row r="50">
      <c r="A50" s="3">
        <v>42079.66666666667</v>
      </c>
      <c r="B50" s="2">
        <v>37.94</v>
      </c>
    </row>
    <row r="51">
      <c r="A51" s="3">
        <v>42080.66666666667</v>
      </c>
      <c r="B51" s="2">
        <v>38.19</v>
      </c>
    </row>
    <row r="52">
      <c r="A52" s="3">
        <v>42081.66666666667</v>
      </c>
      <c r="B52" s="2">
        <v>38.72</v>
      </c>
    </row>
    <row r="53">
      <c r="A53" s="3">
        <v>42082.66666666667</v>
      </c>
      <c r="B53" s="2">
        <v>38.72</v>
      </c>
    </row>
    <row r="54">
      <c r="A54" s="3">
        <v>42083.66666666667</v>
      </c>
      <c r="B54" s="2">
        <v>38.74</v>
      </c>
    </row>
    <row r="55">
      <c r="A55" s="3">
        <v>42086.66666666667</v>
      </c>
      <c r="B55" s="2">
        <v>38.89</v>
      </c>
    </row>
    <row r="56">
      <c r="A56" s="3">
        <v>42087.66666666667</v>
      </c>
      <c r="B56" s="2">
        <v>38.68</v>
      </c>
    </row>
    <row r="57">
      <c r="A57" s="3">
        <v>42088.66666666667</v>
      </c>
      <c r="B57" s="2">
        <v>37.26</v>
      </c>
    </row>
    <row r="58">
      <c r="A58" s="3">
        <v>42089.66666666667</v>
      </c>
      <c r="B58" s="2">
        <v>36.72</v>
      </c>
    </row>
    <row r="59">
      <c r="A59" s="3">
        <v>42090.66666666667</v>
      </c>
      <c r="B59" s="2">
        <v>36.27</v>
      </c>
    </row>
    <row r="60">
      <c r="A60" s="3">
        <v>42093.66666666667</v>
      </c>
      <c r="B60" s="2">
        <v>36.12</v>
      </c>
    </row>
    <row r="61">
      <c r="A61" s="3">
        <v>42094.66666666667</v>
      </c>
      <c r="B61" s="2">
        <v>37.15</v>
      </c>
    </row>
    <row r="62">
      <c r="A62" s="3">
        <v>42095.66666666667</v>
      </c>
      <c r="B62" s="2">
        <v>36.61</v>
      </c>
    </row>
    <row r="63">
      <c r="A63" s="3">
        <v>42096.66666666667</v>
      </c>
      <c r="B63" s="2">
        <v>36.79</v>
      </c>
    </row>
    <row r="64">
      <c r="A64" s="3">
        <v>42100.66666666667</v>
      </c>
      <c r="B64" s="2">
        <v>36.73</v>
      </c>
    </row>
    <row r="65">
      <c r="A65" s="3">
        <v>42101.66666666667</v>
      </c>
      <c r="B65" s="2">
        <v>36.38</v>
      </c>
    </row>
    <row r="66">
      <c r="A66" s="3">
        <v>42102.66666666667</v>
      </c>
      <c r="B66" s="2">
        <v>36.49</v>
      </c>
    </row>
    <row r="67">
      <c r="A67" s="3">
        <v>42103.66666666667</v>
      </c>
      <c r="B67" s="2">
        <v>37.18</v>
      </c>
    </row>
    <row r="68">
      <c r="A68" s="3">
        <v>42104.66666666667</v>
      </c>
      <c r="B68" s="2">
        <v>37.05</v>
      </c>
    </row>
    <row r="69">
      <c r="A69" s="3">
        <v>42107.66666666667</v>
      </c>
      <c r="B69" s="2">
        <v>36.59</v>
      </c>
    </row>
    <row r="70">
      <c r="A70" s="3">
        <v>42108.66666666667</v>
      </c>
      <c r="B70" s="2">
        <v>36.15</v>
      </c>
    </row>
    <row r="71">
      <c r="A71" s="3">
        <v>42109.66666666667</v>
      </c>
      <c r="B71" s="2">
        <v>36.19</v>
      </c>
    </row>
    <row r="72">
      <c r="A72" s="3">
        <v>42110.66666666667</v>
      </c>
      <c r="B72" s="2">
        <v>36.07</v>
      </c>
    </row>
    <row r="73">
      <c r="A73" s="3">
        <v>42111.66666666667</v>
      </c>
      <c r="B73" s="2">
        <v>35.36</v>
      </c>
    </row>
    <row r="74">
      <c r="A74" s="3">
        <v>42114.66666666667</v>
      </c>
      <c r="B74" s="2">
        <v>36.13</v>
      </c>
    </row>
    <row r="75">
      <c r="A75" s="3">
        <v>42115.66666666667</v>
      </c>
      <c r="B75" s="2">
        <v>36.21</v>
      </c>
    </row>
    <row r="76">
      <c r="A76" s="3">
        <v>42116.66666666667</v>
      </c>
      <c r="B76" s="2">
        <v>36.01</v>
      </c>
    </row>
    <row r="77">
      <c r="A77" s="3">
        <v>42117.66666666667</v>
      </c>
      <c r="B77" s="2">
        <v>35.44</v>
      </c>
    </row>
    <row r="78">
      <c r="A78" s="3">
        <v>42118.66666666667</v>
      </c>
      <c r="B78" s="2">
        <v>34.99</v>
      </c>
    </row>
    <row r="79">
      <c r="A79" s="3">
        <v>42121.66666666667</v>
      </c>
      <c r="B79" s="2">
        <v>34.34</v>
      </c>
    </row>
    <row r="80">
      <c r="A80" s="3">
        <v>42122.66666666667</v>
      </c>
      <c r="B80" s="2">
        <v>33.94</v>
      </c>
    </row>
    <row r="81">
      <c r="A81" s="3">
        <v>42123.66666666667</v>
      </c>
      <c r="B81" s="2">
        <v>33.78</v>
      </c>
    </row>
    <row r="82">
      <c r="A82" s="3">
        <v>42124.66666666667</v>
      </c>
      <c r="B82" s="2">
        <v>33.46</v>
      </c>
    </row>
    <row r="83">
      <c r="A83" s="3">
        <v>42125.66666666667</v>
      </c>
      <c r="B83" s="2">
        <v>33.61</v>
      </c>
    </row>
    <row r="84">
      <c r="A84" s="3">
        <v>42128.66666666667</v>
      </c>
      <c r="B84" s="2">
        <v>34.48</v>
      </c>
    </row>
    <row r="85">
      <c r="A85" s="3">
        <v>42129.66666666667</v>
      </c>
      <c r="B85" s="2">
        <v>34.0</v>
      </c>
    </row>
    <row r="86">
      <c r="A86" s="3">
        <v>42130.66666666667</v>
      </c>
      <c r="B86" s="2">
        <v>33.65</v>
      </c>
    </row>
    <row r="87">
      <c r="A87" s="3">
        <v>42131.66666666667</v>
      </c>
      <c r="B87" s="2">
        <v>33.91</v>
      </c>
    </row>
    <row r="88">
      <c r="A88" s="3">
        <v>42132.66666666667</v>
      </c>
      <c r="B88" s="2">
        <v>34.58</v>
      </c>
    </row>
    <row r="89">
      <c r="A89" s="3">
        <v>42135.66666666667</v>
      </c>
      <c r="B89" s="2">
        <v>35.02</v>
      </c>
    </row>
    <row r="90">
      <c r="A90" s="3">
        <v>42136.66666666667</v>
      </c>
      <c r="B90" s="2">
        <v>34.76</v>
      </c>
    </row>
    <row r="91">
      <c r="A91" s="3">
        <v>42137.66666666667</v>
      </c>
      <c r="B91" s="2">
        <v>35.25</v>
      </c>
    </row>
    <row r="92">
      <c r="A92" s="3">
        <v>42138.66666666667</v>
      </c>
      <c r="B92" s="2">
        <v>35.19</v>
      </c>
    </row>
    <row r="93">
      <c r="A93" s="3">
        <v>42139.66666666667</v>
      </c>
      <c r="B93" s="2">
        <v>35.33</v>
      </c>
    </row>
    <row r="94">
      <c r="A94" s="3">
        <v>42142.66666666667</v>
      </c>
      <c r="B94" s="2">
        <v>36.22</v>
      </c>
    </row>
    <row r="95">
      <c r="A95" s="3">
        <v>42143.66666666667</v>
      </c>
      <c r="B95" s="2">
        <v>34.99</v>
      </c>
    </row>
    <row r="96">
      <c r="A96" s="3">
        <v>42144.66666666667</v>
      </c>
      <c r="B96" s="2">
        <v>32.38</v>
      </c>
    </row>
    <row r="97">
      <c r="A97" s="3">
        <v>42145.66666666667</v>
      </c>
      <c r="B97" s="2">
        <v>33.03</v>
      </c>
    </row>
    <row r="98">
      <c r="A98" s="3">
        <v>42146.66666666667</v>
      </c>
      <c r="B98" s="2">
        <v>33.08</v>
      </c>
    </row>
    <row r="99">
      <c r="A99" s="3">
        <v>42150.66666666667</v>
      </c>
      <c r="B99" s="2">
        <v>32.61</v>
      </c>
    </row>
    <row r="100">
      <c r="A100" s="3">
        <v>42151.66666666667</v>
      </c>
      <c r="B100" s="2">
        <v>32.97</v>
      </c>
    </row>
    <row r="101">
      <c r="A101" s="3">
        <v>42152.66666666667</v>
      </c>
      <c r="B101" s="2">
        <v>32.9</v>
      </c>
    </row>
    <row r="102">
      <c r="A102" s="3">
        <v>42153.66666666667</v>
      </c>
      <c r="B102" s="2">
        <v>32.86</v>
      </c>
    </row>
    <row r="103">
      <c r="A103" s="3">
        <v>42156.66666666667</v>
      </c>
      <c r="B103" s="2">
        <v>32.84</v>
      </c>
    </row>
    <row r="104">
      <c r="A104" s="3">
        <v>42157.66666666667</v>
      </c>
      <c r="B104" s="2">
        <v>32.97</v>
      </c>
    </row>
    <row r="105">
      <c r="A105" s="3">
        <v>42158.66666666667</v>
      </c>
      <c r="B105" s="2">
        <v>33.22</v>
      </c>
    </row>
    <row r="106">
      <c r="A106" s="3">
        <v>42159.66666666667</v>
      </c>
      <c r="B106" s="2">
        <v>32.88</v>
      </c>
    </row>
    <row r="107">
      <c r="A107" s="3">
        <v>42160.66666666667</v>
      </c>
      <c r="B107" s="2">
        <v>32.89</v>
      </c>
    </row>
    <row r="108">
      <c r="A108" s="3">
        <v>42163.66666666667</v>
      </c>
      <c r="B108" s="2">
        <v>32.77</v>
      </c>
    </row>
    <row r="109">
      <c r="A109" s="3">
        <v>42164.66666666667</v>
      </c>
      <c r="B109" s="2">
        <v>32.86</v>
      </c>
    </row>
    <row r="110">
      <c r="A110" s="3">
        <v>42165.66666666667</v>
      </c>
      <c r="B110" s="2">
        <v>33.11</v>
      </c>
    </row>
    <row r="111">
      <c r="A111" s="3">
        <v>42166.66666666667</v>
      </c>
      <c r="B111" s="2">
        <v>33.15</v>
      </c>
    </row>
    <row r="112">
      <c r="A112" s="3">
        <v>42167.66666666667</v>
      </c>
      <c r="B112" s="2">
        <v>33.03</v>
      </c>
    </row>
    <row r="113">
      <c r="A113" s="3">
        <v>42170.66666666667</v>
      </c>
      <c r="B113" s="2">
        <v>32.62</v>
      </c>
    </row>
    <row r="114">
      <c r="A114" s="3">
        <v>42171.66666666667</v>
      </c>
      <c r="B114" s="2">
        <v>32.62</v>
      </c>
    </row>
    <row r="115">
      <c r="A115" s="3">
        <v>42172.66666666667</v>
      </c>
      <c r="B115" s="2">
        <v>33.01</v>
      </c>
    </row>
    <row r="116">
      <c r="A116" s="3">
        <v>42173.66666666667</v>
      </c>
      <c r="B116" s="2">
        <v>33.4</v>
      </c>
    </row>
    <row r="117">
      <c r="A117" s="3">
        <v>42174.66666666667</v>
      </c>
      <c r="B117" s="2">
        <v>33.29</v>
      </c>
    </row>
    <row r="118">
      <c r="A118" s="3">
        <v>42177.66666666667</v>
      </c>
      <c r="B118" s="2">
        <v>33.5</v>
      </c>
    </row>
    <row r="119">
      <c r="A119" s="3">
        <v>42178.66666666667</v>
      </c>
      <c r="B119" s="2">
        <v>32.89</v>
      </c>
    </row>
    <row r="120">
      <c r="A120" s="3">
        <v>42179.66666666667</v>
      </c>
      <c r="B120" s="2">
        <v>32.46</v>
      </c>
    </row>
    <row r="121">
      <c r="A121" s="3">
        <v>42180.66666666667</v>
      </c>
      <c r="B121" s="2">
        <v>32.16</v>
      </c>
    </row>
    <row r="122">
      <c r="A122" s="3">
        <v>42181.66666666667</v>
      </c>
      <c r="B122" s="2">
        <v>32.25</v>
      </c>
    </row>
    <row r="123">
      <c r="A123" s="3">
        <v>42184.66666666667</v>
      </c>
      <c r="B123" s="2">
        <v>31.4</v>
      </c>
    </row>
    <row r="124">
      <c r="A124" s="3">
        <v>42185.66666666667</v>
      </c>
      <c r="B124" s="2">
        <v>31.19</v>
      </c>
    </row>
    <row r="125">
      <c r="A125" s="3">
        <v>42186.66666666667</v>
      </c>
      <c r="B125" s="2">
        <v>31.25</v>
      </c>
    </row>
    <row r="126">
      <c r="A126" s="3">
        <v>42187.66666666667</v>
      </c>
      <c r="B126" s="2">
        <v>31.47</v>
      </c>
    </row>
    <row r="127">
      <c r="A127" s="3">
        <v>42191.66666666667</v>
      </c>
      <c r="B127" s="2">
        <v>31.25</v>
      </c>
    </row>
    <row r="128">
      <c r="A128" s="3">
        <v>42192.66666666667</v>
      </c>
      <c r="B128" s="2">
        <v>31.23</v>
      </c>
    </row>
    <row r="129">
      <c r="A129" s="3">
        <v>42193.66666666667</v>
      </c>
      <c r="B129" s="2">
        <v>30.38</v>
      </c>
    </row>
    <row r="130">
      <c r="A130" s="3">
        <v>42194.66666666667</v>
      </c>
      <c r="B130" s="2">
        <v>30.32</v>
      </c>
    </row>
    <row r="131">
      <c r="A131" s="3">
        <v>42195.66666666667</v>
      </c>
      <c r="B131" s="2">
        <v>30.35</v>
      </c>
    </row>
    <row r="132">
      <c r="A132" s="3">
        <v>42198.66666666667</v>
      </c>
      <c r="B132" s="2">
        <v>30.74</v>
      </c>
    </row>
    <row r="133">
      <c r="A133" s="3">
        <v>42199.66666666667</v>
      </c>
      <c r="B133" s="2">
        <v>30.93</v>
      </c>
    </row>
    <row r="134">
      <c r="A134" s="3">
        <v>42200.66666666667</v>
      </c>
      <c r="B134" s="2">
        <v>30.51</v>
      </c>
    </row>
    <row r="135">
      <c r="A135" s="3">
        <v>42201.66666666667</v>
      </c>
      <c r="B135" s="2">
        <v>30.79</v>
      </c>
    </row>
    <row r="136">
      <c r="A136" s="3">
        <v>42202.66666666667</v>
      </c>
      <c r="B136" s="2">
        <v>30.56</v>
      </c>
    </row>
    <row r="137">
      <c r="A137" s="3">
        <v>42205.66666666667</v>
      </c>
      <c r="B137" s="2">
        <v>30.76</v>
      </c>
    </row>
    <row r="138">
      <c r="A138" s="3">
        <v>42206.66666666667</v>
      </c>
      <c r="B138" s="2">
        <v>30.42</v>
      </c>
    </row>
    <row r="139">
      <c r="A139" s="3">
        <v>42207.66666666667</v>
      </c>
      <c r="B139" s="2">
        <v>30.74</v>
      </c>
    </row>
    <row r="140">
      <c r="A140" s="3">
        <v>42208.66666666667</v>
      </c>
      <c r="B140" s="2">
        <v>30.3</v>
      </c>
    </row>
    <row r="141">
      <c r="A141" s="3">
        <v>42209.66666666667</v>
      </c>
      <c r="B141" s="2">
        <v>30.06</v>
      </c>
    </row>
    <row r="142">
      <c r="A142" s="3">
        <v>42212.66666666667</v>
      </c>
      <c r="B142" s="2">
        <v>29.68</v>
      </c>
    </row>
    <row r="143">
      <c r="A143" s="3">
        <v>42213.66666666667</v>
      </c>
      <c r="B143" s="2">
        <v>30.06</v>
      </c>
    </row>
    <row r="144">
      <c r="A144" s="3">
        <v>42214.66666666667</v>
      </c>
      <c r="B144" s="2">
        <v>30.49</v>
      </c>
    </row>
    <row r="145">
      <c r="A145" s="3">
        <v>42215.66666666667</v>
      </c>
      <c r="B145" s="2">
        <v>30.64</v>
      </c>
    </row>
    <row r="146">
      <c r="A146" s="3">
        <v>42216.66666666667</v>
      </c>
      <c r="B146" s="2">
        <v>30.54</v>
      </c>
    </row>
    <row r="147">
      <c r="A147" s="3">
        <v>42219.66666666667</v>
      </c>
      <c r="B147" s="2">
        <v>30.49</v>
      </c>
    </row>
    <row r="148">
      <c r="A148" s="3">
        <v>42220.66666666667</v>
      </c>
      <c r="B148" s="2">
        <v>30.41</v>
      </c>
    </row>
    <row r="149">
      <c r="A149" s="3">
        <v>42221.66666666667</v>
      </c>
      <c r="B149" s="2">
        <v>30.35</v>
      </c>
    </row>
    <row r="150">
      <c r="A150" s="3">
        <v>42222.66666666667</v>
      </c>
      <c r="B150" s="2">
        <v>29.72</v>
      </c>
    </row>
    <row r="151">
      <c r="A151" s="3">
        <v>42223.66666666667</v>
      </c>
      <c r="B151" s="2">
        <v>29.86</v>
      </c>
    </row>
    <row r="152">
      <c r="A152" s="3">
        <v>42226.66666666667</v>
      </c>
      <c r="B152" s="2">
        <v>30.64</v>
      </c>
    </row>
    <row r="153">
      <c r="A153" s="3">
        <v>42227.66666666667</v>
      </c>
      <c r="B153" s="2">
        <v>30.08</v>
      </c>
    </row>
    <row r="154">
      <c r="A154" s="3">
        <v>42228.66666666667</v>
      </c>
      <c r="B154" s="2">
        <v>29.88</v>
      </c>
    </row>
    <row r="155">
      <c r="A155" s="3">
        <v>42229.66666666667</v>
      </c>
      <c r="B155" s="2">
        <v>29.91</v>
      </c>
    </row>
    <row r="156">
      <c r="A156" s="3">
        <v>42230.66666666667</v>
      </c>
      <c r="B156" s="2">
        <v>30.37</v>
      </c>
    </row>
    <row r="157">
      <c r="A157" s="3">
        <v>42233.66666666667</v>
      </c>
      <c r="B157" s="2">
        <v>30.38</v>
      </c>
    </row>
    <row r="158">
      <c r="A158" s="3">
        <v>42234.66666666667</v>
      </c>
      <c r="B158" s="2">
        <v>30.0</v>
      </c>
    </row>
    <row r="159">
      <c r="A159" s="3">
        <v>42235.66666666667</v>
      </c>
      <c r="B159" s="2">
        <v>29.54</v>
      </c>
    </row>
    <row r="160">
      <c r="A160" s="3">
        <v>42236.66666666667</v>
      </c>
      <c r="B160" s="2">
        <v>32.77</v>
      </c>
    </row>
    <row r="161">
      <c r="A161" s="3">
        <v>42237.66666666667</v>
      </c>
      <c r="B161" s="2">
        <v>32.35</v>
      </c>
    </row>
    <row r="162">
      <c r="A162" s="3">
        <v>42240.66666666667</v>
      </c>
      <c r="B162" s="2">
        <v>30.59</v>
      </c>
    </row>
    <row r="163">
      <c r="A163" s="3">
        <v>42241.66666666667</v>
      </c>
      <c r="B163" s="2">
        <v>30.35</v>
      </c>
    </row>
    <row r="164">
      <c r="A164" s="3">
        <v>42242.66666666667</v>
      </c>
      <c r="B164" s="2">
        <v>31.06</v>
      </c>
    </row>
    <row r="165">
      <c r="A165" s="3">
        <v>42243.66666666667</v>
      </c>
      <c r="B165" s="2">
        <v>31.67</v>
      </c>
    </row>
    <row r="166">
      <c r="A166" s="3">
        <v>42244.66666666667</v>
      </c>
      <c r="B166" s="2">
        <v>31.92</v>
      </c>
    </row>
    <row r="167">
      <c r="A167" s="3">
        <v>42247.66666666667</v>
      </c>
      <c r="B167" s="2">
        <v>32.04</v>
      </c>
    </row>
    <row r="168">
      <c r="A168" s="3">
        <v>42248.66666666667</v>
      </c>
      <c r="B168" s="2">
        <v>31.25</v>
      </c>
    </row>
    <row r="169">
      <c r="A169" s="3">
        <v>42249.66666666667</v>
      </c>
      <c r="B169" s="2">
        <v>31.84</v>
      </c>
    </row>
    <row r="170">
      <c r="A170" s="3">
        <v>42250.66666666667</v>
      </c>
      <c r="B170" s="2">
        <v>32.61</v>
      </c>
    </row>
    <row r="171">
      <c r="A171" s="3">
        <v>42251.66666666667</v>
      </c>
      <c r="B171" s="2">
        <v>32.24</v>
      </c>
    </row>
    <row r="172">
      <c r="A172" s="3">
        <v>42255.66666666667</v>
      </c>
      <c r="B172" s="2">
        <v>33.09</v>
      </c>
    </row>
    <row r="173">
      <c r="A173" s="3">
        <v>42256.66666666667</v>
      </c>
      <c r="B173" s="2">
        <v>32.72</v>
      </c>
    </row>
    <row r="174">
      <c r="A174" s="3">
        <v>42257.66666666667</v>
      </c>
      <c r="B174" s="2">
        <v>32.97</v>
      </c>
    </row>
    <row r="175">
      <c r="A175" s="3">
        <v>42258.66666666667</v>
      </c>
      <c r="B175" s="2">
        <v>32.84</v>
      </c>
    </row>
    <row r="176">
      <c r="A176" s="3">
        <v>42261.66666666667</v>
      </c>
      <c r="B176" s="2">
        <v>32.83</v>
      </c>
    </row>
    <row r="177">
      <c r="A177" s="3">
        <v>42262.66666666667</v>
      </c>
      <c r="B177" s="2">
        <v>32.95</v>
      </c>
    </row>
    <row r="178">
      <c r="A178" s="3">
        <v>42263.66666666667</v>
      </c>
      <c r="B178" s="2">
        <v>33.55</v>
      </c>
    </row>
    <row r="179">
      <c r="A179" s="3">
        <v>42264.66666666667</v>
      </c>
      <c r="B179" s="2">
        <v>33.71</v>
      </c>
    </row>
    <row r="180">
      <c r="A180" s="3">
        <v>42265.66666666667</v>
      </c>
      <c r="B180" s="2">
        <v>32.83</v>
      </c>
    </row>
    <row r="181">
      <c r="A181" s="3">
        <v>42268.66666666667</v>
      </c>
      <c r="B181" s="2">
        <v>32.9</v>
      </c>
    </row>
    <row r="182">
      <c r="A182" s="3">
        <v>42269.66666666667</v>
      </c>
      <c r="B182" s="2">
        <v>32.05</v>
      </c>
    </row>
    <row r="183">
      <c r="A183" s="3">
        <v>42270.66666666667</v>
      </c>
      <c r="B183" s="2">
        <v>31.78</v>
      </c>
    </row>
    <row r="184">
      <c r="A184" s="3">
        <v>42271.66666666667</v>
      </c>
      <c r="B184" s="2">
        <v>31.21</v>
      </c>
    </row>
    <row r="185">
      <c r="A185" s="3">
        <v>42272.66666666667</v>
      </c>
      <c r="B185" s="2">
        <v>31.01</v>
      </c>
    </row>
    <row r="186">
      <c r="A186" s="3">
        <v>42275.66666666667</v>
      </c>
      <c r="B186" s="2">
        <v>30.23</v>
      </c>
    </row>
    <row r="187">
      <c r="A187" s="3">
        <v>42276.66666666667</v>
      </c>
      <c r="B187" s="2">
        <v>30.17</v>
      </c>
    </row>
    <row r="188">
      <c r="A188" s="3">
        <v>42277.66666666667</v>
      </c>
      <c r="B188" s="2">
        <v>30.84</v>
      </c>
    </row>
    <row r="189">
      <c r="A189" s="3">
        <v>42278.66666666667</v>
      </c>
      <c r="B189" s="2">
        <v>30.43</v>
      </c>
    </row>
    <row r="190">
      <c r="A190" s="3">
        <v>42279.66666666667</v>
      </c>
      <c r="B190" s="2">
        <v>31.3</v>
      </c>
    </row>
    <row r="191">
      <c r="A191" s="3">
        <v>42282.66666666667</v>
      </c>
      <c r="B191" s="2">
        <v>32.1</v>
      </c>
    </row>
    <row r="192">
      <c r="A192" s="3">
        <v>42283.66666666667</v>
      </c>
      <c r="B192" s="2">
        <v>32.15</v>
      </c>
    </row>
    <row r="193">
      <c r="A193" s="3">
        <v>42284.66666666667</v>
      </c>
      <c r="B193" s="2">
        <v>32.7</v>
      </c>
    </row>
    <row r="194">
      <c r="A194" s="3">
        <v>42285.66666666667</v>
      </c>
      <c r="B194" s="2">
        <v>33.12</v>
      </c>
    </row>
    <row r="195">
      <c r="A195" s="3">
        <v>42286.66666666667</v>
      </c>
      <c r="B195" s="2">
        <v>32.68</v>
      </c>
    </row>
    <row r="196">
      <c r="A196" s="3">
        <v>42289.66666666667</v>
      </c>
      <c r="B196" s="2">
        <v>32.3</v>
      </c>
    </row>
    <row r="197">
      <c r="A197" s="3">
        <v>42290.66666666667</v>
      </c>
      <c r="B197" s="2">
        <v>32.0</v>
      </c>
    </row>
    <row r="198">
      <c r="A198" s="3">
        <v>42291.66666666667</v>
      </c>
      <c r="B198" s="2">
        <v>32.44</v>
      </c>
    </row>
    <row r="199">
      <c r="A199" s="3">
        <v>42292.66666666667</v>
      </c>
      <c r="B199" s="2">
        <v>32.76</v>
      </c>
    </row>
    <row r="200">
      <c r="A200" s="3">
        <v>42293.66666666667</v>
      </c>
      <c r="B200" s="2">
        <v>32.59</v>
      </c>
    </row>
    <row r="201">
      <c r="A201" s="3">
        <v>42296.66666666667</v>
      </c>
      <c r="B201" s="2">
        <v>32.03</v>
      </c>
    </row>
    <row r="202">
      <c r="A202" s="3">
        <v>42297.66666666667</v>
      </c>
      <c r="B202" s="2">
        <v>32.0</v>
      </c>
    </row>
    <row r="203">
      <c r="A203" s="3">
        <v>42298.66666666667</v>
      </c>
      <c r="B203" s="2">
        <v>31.53</v>
      </c>
    </row>
    <row r="204">
      <c r="A204" s="3">
        <v>42299.66666666667</v>
      </c>
      <c r="B204" s="2">
        <v>32.01</v>
      </c>
    </row>
    <row r="205">
      <c r="A205" s="3">
        <v>42300.66666666667</v>
      </c>
      <c r="B205" s="2">
        <v>32.3</v>
      </c>
    </row>
    <row r="206">
      <c r="A206" s="3">
        <v>42303.66666666667</v>
      </c>
      <c r="B206" s="2">
        <v>32.01</v>
      </c>
    </row>
    <row r="207">
      <c r="A207" s="3">
        <v>42304.66666666667</v>
      </c>
      <c r="B207" s="2">
        <v>31.8</v>
      </c>
    </row>
    <row r="208">
      <c r="A208" s="3">
        <v>42305.66666666667</v>
      </c>
      <c r="B208" s="2">
        <v>32.99</v>
      </c>
    </row>
    <row r="209">
      <c r="A209" s="3">
        <v>42306.66666666667</v>
      </c>
      <c r="B209" s="2">
        <v>33.06</v>
      </c>
    </row>
    <row r="210">
      <c r="A210" s="3">
        <v>42307.66666666667</v>
      </c>
      <c r="B210" s="2">
        <v>33.08</v>
      </c>
    </row>
    <row r="211">
      <c r="A211" s="3">
        <v>42310.66666666667</v>
      </c>
      <c r="B211" s="2">
        <v>33.37</v>
      </c>
    </row>
    <row r="212">
      <c r="A212" s="3">
        <v>42311.66666666667</v>
      </c>
      <c r="B212" s="2">
        <v>33.08</v>
      </c>
    </row>
    <row r="213">
      <c r="A213" s="3">
        <v>42312.66666666667</v>
      </c>
      <c r="B213" s="2">
        <v>32.7</v>
      </c>
    </row>
    <row r="214">
      <c r="A214" s="3">
        <v>42313.66666666667</v>
      </c>
      <c r="B214" s="2">
        <v>32.27</v>
      </c>
    </row>
    <row r="215">
      <c r="A215" s="3">
        <v>42314.66666666667</v>
      </c>
      <c r="B215" s="2">
        <v>31.99</v>
      </c>
    </row>
    <row r="216">
      <c r="A216" s="3">
        <v>42317.66666666667</v>
      </c>
      <c r="B216" s="2">
        <v>31.66</v>
      </c>
    </row>
    <row r="217">
      <c r="A217" s="3">
        <v>42318.66666666667</v>
      </c>
      <c r="B217" s="2">
        <v>30.84</v>
      </c>
    </row>
    <row r="218">
      <c r="A218" s="3">
        <v>42319.66666666667</v>
      </c>
      <c r="B218" s="2">
        <v>31.05</v>
      </c>
    </row>
    <row r="219">
      <c r="A219" s="3">
        <v>42320.66666666667</v>
      </c>
      <c r="B219" s="2">
        <v>30.32</v>
      </c>
    </row>
    <row r="220">
      <c r="A220" s="3">
        <v>42321.66666666667</v>
      </c>
      <c r="B220" s="2">
        <v>30.38</v>
      </c>
    </row>
    <row r="221">
      <c r="A221" s="3">
        <v>42324.66666666667</v>
      </c>
      <c r="B221" s="2">
        <v>30.99</v>
      </c>
    </row>
    <row r="222">
      <c r="A222" s="3">
        <v>42325.66666666667</v>
      </c>
      <c r="B222" s="2">
        <v>30.81</v>
      </c>
    </row>
    <row r="223">
      <c r="A223" s="3">
        <v>42326.66666666667</v>
      </c>
      <c r="B223" s="2">
        <v>31.23</v>
      </c>
    </row>
    <row r="224">
      <c r="A224" s="3">
        <v>42327.66666666667</v>
      </c>
      <c r="B224" s="2">
        <v>31.13</v>
      </c>
    </row>
    <row r="225">
      <c r="A225" s="3">
        <v>42328.66666666667</v>
      </c>
      <c r="B225" s="2">
        <v>29.47</v>
      </c>
    </row>
    <row r="226">
      <c r="A226" s="3">
        <v>42331.66666666667</v>
      </c>
      <c r="B226" s="2">
        <v>30.08</v>
      </c>
    </row>
    <row r="227">
      <c r="A227" s="3">
        <v>42332.66666666667</v>
      </c>
      <c r="B227" s="2">
        <v>30.57</v>
      </c>
    </row>
    <row r="228">
      <c r="A228" s="3">
        <v>42333.66666666667</v>
      </c>
      <c r="B228" s="2">
        <v>30.6</v>
      </c>
    </row>
    <row r="229">
      <c r="A229" s="3">
        <v>42335.66666666667</v>
      </c>
      <c r="B229" s="2">
        <v>30.8</v>
      </c>
    </row>
    <row r="230">
      <c r="A230" s="3">
        <v>42338.66666666667</v>
      </c>
      <c r="B230" s="2">
        <v>30.81</v>
      </c>
    </row>
    <row r="231">
      <c r="A231" s="3">
        <v>42339.66666666667</v>
      </c>
      <c r="B231" s="2">
        <v>29.99</v>
      </c>
    </row>
    <row r="232">
      <c r="A232" s="3">
        <v>42340.66666666667</v>
      </c>
      <c r="B232" s="2">
        <v>29.8</v>
      </c>
    </row>
    <row r="233">
      <c r="A233" s="3">
        <v>42341.66666666667</v>
      </c>
      <c r="B233" s="2">
        <v>29.05</v>
      </c>
    </row>
    <row r="234">
      <c r="A234" s="3">
        <v>42342.66666666667</v>
      </c>
      <c r="B234" s="2">
        <v>29.58</v>
      </c>
    </row>
    <row r="235">
      <c r="A235" s="3">
        <v>42345.66666666667</v>
      </c>
      <c r="B235" s="2">
        <v>29.18</v>
      </c>
    </row>
    <row r="236">
      <c r="A236" s="3">
        <v>42346.66666666667</v>
      </c>
      <c r="B236" s="2">
        <v>29.21</v>
      </c>
    </row>
    <row r="237">
      <c r="A237" s="3">
        <v>42347.66666666667</v>
      </c>
      <c r="B237" s="2">
        <v>28.94</v>
      </c>
    </row>
    <row r="238">
      <c r="A238" s="3">
        <v>42348.66666666667</v>
      </c>
      <c r="B238" s="2">
        <v>29.0</v>
      </c>
    </row>
    <row r="239">
      <c r="A239" s="3">
        <v>42349.66666666667</v>
      </c>
      <c r="B239" s="2">
        <v>28.64</v>
      </c>
    </row>
    <row r="240">
      <c r="A240" s="3">
        <v>42352.66666666667</v>
      </c>
      <c r="B240" s="2">
        <v>27.86</v>
      </c>
    </row>
    <row r="241">
      <c r="A241" s="3">
        <v>42353.66666666667</v>
      </c>
      <c r="B241" s="2">
        <v>28.36</v>
      </c>
    </row>
    <row r="242">
      <c r="A242" s="3">
        <v>42354.66666666667</v>
      </c>
      <c r="B242" s="2">
        <v>28.37</v>
      </c>
    </row>
    <row r="243">
      <c r="A243" s="3">
        <v>42355.66666666667</v>
      </c>
      <c r="B243" s="2">
        <v>28.46</v>
      </c>
    </row>
    <row r="244">
      <c r="A244" s="3">
        <v>42356.66666666667</v>
      </c>
      <c r="B244" s="2">
        <v>28.01</v>
      </c>
    </row>
    <row r="245">
      <c r="A245" s="3">
        <v>42359.66666666667</v>
      </c>
      <c r="B245" s="2">
        <v>28.11</v>
      </c>
    </row>
    <row r="246">
      <c r="A246" s="3">
        <v>42360.66666666667</v>
      </c>
      <c r="B246" s="2">
        <v>28.56</v>
      </c>
    </row>
    <row r="247">
      <c r="A247" s="3">
        <v>42361.66666666667</v>
      </c>
      <c r="B247" s="2">
        <v>29.0</v>
      </c>
    </row>
    <row r="248">
      <c r="A248" s="3">
        <v>42362.66666666667</v>
      </c>
      <c r="B248" s="2">
        <v>28.95</v>
      </c>
    </row>
    <row r="249">
      <c r="A249" s="3">
        <v>42366.66666666667</v>
      </c>
      <c r="B249" s="2">
        <v>28.78</v>
      </c>
    </row>
    <row r="250">
      <c r="A250" s="3">
        <v>42367.66666666667</v>
      </c>
      <c r="B250" s="2">
        <v>28.62</v>
      </c>
    </row>
    <row r="251">
      <c r="A251" s="3">
        <v>42368.66666666667</v>
      </c>
      <c r="B251" s="2">
        <v>28.58</v>
      </c>
    </row>
    <row r="252">
      <c r="A252" s="3">
        <v>42369.66666666667</v>
      </c>
      <c r="B252" s="2">
        <v>28.33</v>
      </c>
    </row>
    <row r="253">
      <c r="A253" s="3">
        <v>42373.66666666667</v>
      </c>
      <c r="B253" s="2">
        <v>27.81</v>
      </c>
    </row>
    <row r="254">
      <c r="A254" s="3">
        <v>42374.66666666667</v>
      </c>
      <c r="B254" s="2">
        <v>27.75</v>
      </c>
    </row>
    <row r="255">
      <c r="A255" s="3">
        <v>42375.66666666667</v>
      </c>
      <c r="B255" s="2">
        <v>27.3</v>
      </c>
    </row>
    <row r="256">
      <c r="A256" s="3">
        <v>42376.66666666667</v>
      </c>
      <c r="B256" s="2">
        <v>26.22</v>
      </c>
    </row>
    <row r="257">
      <c r="A257" s="3">
        <v>42377.66666666667</v>
      </c>
      <c r="B257" s="2">
        <v>25.45</v>
      </c>
    </row>
    <row r="258">
      <c r="A258" s="3">
        <v>42380.66666666667</v>
      </c>
      <c r="B258" s="2">
        <v>24.93</v>
      </c>
    </row>
    <row r="259">
      <c r="A259" s="3">
        <v>42381.66666666667</v>
      </c>
      <c r="B259" s="2">
        <v>25.25</v>
      </c>
    </row>
    <row r="260">
      <c r="A260" s="3">
        <v>42382.66666666667</v>
      </c>
      <c r="B260" s="2">
        <v>24.43</v>
      </c>
    </row>
    <row r="261">
      <c r="A261" s="3">
        <v>42383.66666666667</v>
      </c>
      <c r="B261" s="2">
        <v>24.65</v>
      </c>
    </row>
    <row r="262">
      <c r="A262" s="3">
        <v>42384.66666666667</v>
      </c>
      <c r="B262" s="2">
        <v>23.53</v>
      </c>
    </row>
    <row r="263">
      <c r="A263" s="3">
        <v>42388.66666666667</v>
      </c>
      <c r="B263" s="2">
        <v>23.21</v>
      </c>
    </row>
    <row r="264">
      <c r="A264" s="3">
        <v>42389.66666666667</v>
      </c>
      <c r="B264" s="2">
        <v>22.91</v>
      </c>
    </row>
    <row r="265">
      <c r="A265" s="3">
        <v>42390.66666666667</v>
      </c>
      <c r="B265" s="2">
        <v>23.33</v>
      </c>
    </row>
    <row r="266">
      <c r="A266" s="3">
        <v>42391.66666666667</v>
      </c>
      <c r="B266" s="2">
        <v>24.0</v>
      </c>
    </row>
    <row r="267">
      <c r="A267" s="3">
        <v>42394.66666666667</v>
      </c>
      <c r="B267" s="2">
        <v>23.96</v>
      </c>
    </row>
    <row r="268">
      <c r="A268" s="3">
        <v>42395.66666666667</v>
      </c>
      <c r="B268" s="2">
        <v>23.99</v>
      </c>
    </row>
    <row r="269">
      <c r="A269" s="3">
        <v>42396.66666666667</v>
      </c>
      <c r="B269" s="2">
        <v>23.47</v>
      </c>
    </row>
    <row r="270">
      <c r="A270" s="3">
        <v>42397.66666666667</v>
      </c>
      <c r="B270" s="2">
        <v>23.14</v>
      </c>
    </row>
    <row r="271">
      <c r="A271" s="3">
        <v>42398.66666666667</v>
      </c>
      <c r="B271" s="2">
        <v>23.4</v>
      </c>
    </row>
    <row r="272">
      <c r="A272" s="3">
        <v>42401.66666666667</v>
      </c>
      <c r="B272" s="2">
        <v>23.0</v>
      </c>
    </row>
    <row r="273">
      <c r="A273" s="3">
        <v>42402.66666666667</v>
      </c>
      <c r="B273" s="2">
        <v>22.44</v>
      </c>
    </row>
    <row r="274">
      <c r="A274" s="3">
        <v>42403.66666666667</v>
      </c>
      <c r="B274" s="2">
        <v>22.39</v>
      </c>
    </row>
    <row r="275">
      <c r="A275" s="3">
        <v>42404.66666666667</v>
      </c>
      <c r="B275" s="2">
        <v>22.94</v>
      </c>
    </row>
    <row r="276">
      <c r="A276" s="3">
        <v>42405.66666666667</v>
      </c>
      <c r="B276" s="2">
        <v>22.24</v>
      </c>
    </row>
    <row r="277">
      <c r="A277" s="3">
        <v>42408.66666666667</v>
      </c>
      <c r="B277" s="2">
        <v>21.38</v>
      </c>
    </row>
    <row r="278">
      <c r="A278" s="3">
        <v>42409.66666666667</v>
      </c>
      <c r="B278" s="2">
        <v>21.18</v>
      </c>
    </row>
    <row r="279">
      <c r="A279" s="3">
        <v>42410.66666666667</v>
      </c>
      <c r="B279" s="2">
        <v>21.76</v>
      </c>
    </row>
    <row r="280">
      <c r="A280" s="3">
        <v>42411.66666666667</v>
      </c>
      <c r="B280" s="2">
        <v>21.55</v>
      </c>
    </row>
    <row r="281">
      <c r="A281" s="3">
        <v>42412.66666666667</v>
      </c>
      <c r="B281" s="2">
        <v>22.21</v>
      </c>
    </row>
    <row r="282">
      <c r="A282" s="3">
        <v>42416.66666666667</v>
      </c>
      <c r="B282" s="2">
        <v>22.6</v>
      </c>
    </row>
    <row r="283">
      <c r="A283" s="3">
        <v>42417.66666666667</v>
      </c>
      <c r="B283" s="2">
        <v>23.05</v>
      </c>
    </row>
    <row r="284">
      <c r="A284" s="3">
        <v>42418.66666666667</v>
      </c>
      <c r="B284" s="2">
        <v>23.22</v>
      </c>
    </row>
    <row r="285">
      <c r="A285" s="3">
        <v>42419.66666666667</v>
      </c>
      <c r="B285" s="2">
        <v>23.9</v>
      </c>
    </row>
    <row r="286">
      <c r="A286" s="3">
        <v>42422.66666666667</v>
      </c>
      <c r="B286" s="2">
        <v>24.67</v>
      </c>
    </row>
    <row r="287">
      <c r="A287" s="3">
        <v>42423.66666666667</v>
      </c>
      <c r="B287" s="2">
        <v>25.18</v>
      </c>
    </row>
    <row r="288">
      <c r="A288" s="3">
        <v>42424.66666666667</v>
      </c>
      <c r="B288" s="2">
        <v>25.73</v>
      </c>
    </row>
    <row r="289">
      <c r="A289" s="3">
        <v>42425.66666666667</v>
      </c>
      <c r="B289" s="2">
        <v>25.74</v>
      </c>
    </row>
    <row r="290">
      <c r="A290" s="3">
        <v>42426.66666666667</v>
      </c>
      <c r="B290" s="2">
        <v>25.94</v>
      </c>
    </row>
    <row r="291">
      <c r="A291" s="3">
        <v>42429.66666666667</v>
      </c>
      <c r="B291" s="2">
        <v>26.09</v>
      </c>
    </row>
    <row r="292">
      <c r="A292" s="3">
        <v>42430.66666666667</v>
      </c>
      <c r="B292" s="2">
        <v>26.34</v>
      </c>
    </row>
    <row r="293">
      <c r="A293" s="3">
        <v>42431.66666666667</v>
      </c>
      <c r="B293" s="2">
        <v>26.88</v>
      </c>
    </row>
    <row r="294">
      <c r="A294" s="3">
        <v>42432.66666666667</v>
      </c>
      <c r="B294" s="2">
        <v>27.09</v>
      </c>
    </row>
    <row r="295">
      <c r="A295" s="3">
        <v>42433.66666666667</v>
      </c>
      <c r="B295" s="2">
        <v>27.22</v>
      </c>
    </row>
    <row r="296">
      <c r="A296" s="3">
        <v>42436.66666666667</v>
      </c>
      <c r="B296" s="2">
        <v>27.15</v>
      </c>
    </row>
    <row r="297">
      <c r="A297" s="3">
        <v>42437.66666666667</v>
      </c>
      <c r="B297" s="2">
        <v>26.74</v>
      </c>
    </row>
    <row r="298">
      <c r="A298" s="3">
        <v>42438.66666666667</v>
      </c>
      <c r="B298" s="2">
        <v>25.8</v>
      </c>
    </row>
    <row r="299">
      <c r="A299" s="3">
        <v>42439.66666666667</v>
      </c>
      <c r="B299" s="2">
        <v>26.05</v>
      </c>
    </row>
    <row r="300">
      <c r="A300" s="3">
        <v>42440.66666666667</v>
      </c>
      <c r="B300" s="2">
        <v>26.56</v>
      </c>
    </row>
    <row r="301">
      <c r="A301" s="3">
        <v>42443.66666666667</v>
      </c>
      <c r="B301" s="2">
        <v>26.57</v>
      </c>
    </row>
    <row r="302">
      <c r="A302" s="3">
        <v>42444.66666666667</v>
      </c>
      <c r="B302" s="2">
        <v>26.21</v>
      </c>
    </row>
    <row r="303">
      <c r="A303" s="3">
        <v>42445.66666666667</v>
      </c>
      <c r="B303" s="2">
        <v>26.52</v>
      </c>
    </row>
    <row r="304">
      <c r="A304" s="3">
        <v>42446.66666666667</v>
      </c>
      <c r="B304" s="2">
        <v>27.25</v>
      </c>
    </row>
    <row r="305">
      <c r="A305" s="3">
        <v>42447.66666666667</v>
      </c>
      <c r="B305" s="2">
        <v>27.74</v>
      </c>
    </row>
    <row r="306">
      <c r="A306" s="3">
        <v>42450.66666666667</v>
      </c>
      <c r="B306" s="2">
        <v>27.94</v>
      </c>
    </row>
    <row r="307">
      <c r="A307" s="3">
        <v>42451.66666666667</v>
      </c>
      <c r="B307" s="2">
        <v>28.22</v>
      </c>
    </row>
    <row r="308">
      <c r="A308" s="3">
        <v>42452.66666666667</v>
      </c>
      <c r="B308" s="2">
        <v>27.0</v>
      </c>
    </row>
    <row r="309">
      <c r="A309" s="3">
        <v>42453.66666666667</v>
      </c>
      <c r="B309" s="2">
        <v>27.0</v>
      </c>
    </row>
    <row r="310">
      <c r="A310" s="3">
        <v>42457.66666666667</v>
      </c>
      <c r="B310" s="2">
        <v>27.24</v>
      </c>
    </row>
    <row r="311">
      <c r="A311" s="3">
        <v>42458.66666666667</v>
      </c>
      <c r="B311" s="2">
        <v>27.74</v>
      </c>
    </row>
    <row r="312">
      <c r="A312" s="3">
        <v>42459.66666666667</v>
      </c>
      <c r="B312" s="2">
        <v>27.42</v>
      </c>
    </row>
    <row r="313">
      <c r="A313" s="3">
        <v>42460.66666666667</v>
      </c>
      <c r="B313" s="2">
        <v>27.74</v>
      </c>
    </row>
    <row r="314">
      <c r="A314" s="3">
        <v>42461.66666666667</v>
      </c>
      <c r="B314" s="2">
        <v>27.81</v>
      </c>
    </row>
    <row r="315">
      <c r="A315" s="3">
        <v>42464.66666666667</v>
      </c>
      <c r="B315" s="2">
        <v>27.35</v>
      </c>
    </row>
    <row r="316">
      <c r="A316" s="3">
        <v>42465.66666666667</v>
      </c>
      <c r="B316" s="2">
        <v>26.9</v>
      </c>
    </row>
    <row r="317">
      <c r="A317" s="3">
        <v>42466.66666666667</v>
      </c>
      <c r="B317" s="2">
        <v>26.77</v>
      </c>
    </row>
    <row r="318">
      <c r="A318" s="3">
        <v>42467.66666666667</v>
      </c>
      <c r="B318" s="2">
        <v>26.43</v>
      </c>
    </row>
    <row r="319">
      <c r="A319" s="3">
        <v>42468.66666666667</v>
      </c>
      <c r="B319" s="2">
        <v>26.72</v>
      </c>
    </row>
    <row r="320">
      <c r="A320" s="3">
        <v>42471.66666666667</v>
      </c>
      <c r="B320" s="2">
        <v>26.94</v>
      </c>
    </row>
    <row r="321">
      <c r="A321" s="3">
        <v>42472.66666666667</v>
      </c>
      <c r="B321" s="2">
        <v>26.72</v>
      </c>
    </row>
    <row r="322">
      <c r="A322" s="3">
        <v>42473.66666666667</v>
      </c>
      <c r="B322" s="2">
        <v>27.8</v>
      </c>
    </row>
    <row r="323">
      <c r="A323" s="3">
        <v>42474.66666666667</v>
      </c>
      <c r="B323" s="2">
        <v>27.32</v>
      </c>
    </row>
    <row r="324">
      <c r="A324" s="3">
        <v>42475.66666666667</v>
      </c>
      <c r="B324" s="2">
        <v>27.14</v>
      </c>
    </row>
    <row r="325">
      <c r="A325" s="3">
        <v>42478.66666666667</v>
      </c>
      <c r="B325" s="2">
        <v>27.1</v>
      </c>
    </row>
    <row r="326">
      <c r="A326" s="3">
        <v>42479.66666666667</v>
      </c>
      <c r="B326" s="2">
        <v>27.26</v>
      </c>
    </row>
    <row r="327">
      <c r="A327" s="3">
        <v>42480.66666666667</v>
      </c>
      <c r="B327" s="2">
        <v>27.16</v>
      </c>
    </row>
    <row r="328">
      <c r="A328" s="3">
        <v>42481.66666666667</v>
      </c>
      <c r="B328" s="2">
        <v>27.07</v>
      </c>
    </row>
    <row r="329">
      <c r="A329" s="3">
        <v>42482.66666666667</v>
      </c>
      <c r="B329" s="2">
        <v>27.43</v>
      </c>
    </row>
    <row r="330">
      <c r="A330" s="3">
        <v>42485.66666666667</v>
      </c>
      <c r="B330" s="2">
        <v>26.92</v>
      </c>
    </row>
    <row r="331">
      <c r="A331" s="3">
        <v>42486.66666666667</v>
      </c>
      <c r="B331" s="2">
        <v>27.29</v>
      </c>
    </row>
    <row r="332">
      <c r="A332" s="3">
        <v>42487.66666666667</v>
      </c>
      <c r="B332" s="2">
        <v>27.12</v>
      </c>
    </row>
    <row r="333">
      <c r="A333" s="3">
        <v>42488.66666666667</v>
      </c>
      <c r="B333" s="2">
        <v>26.45</v>
      </c>
    </row>
    <row r="334">
      <c r="A334" s="3">
        <v>42489.66666666667</v>
      </c>
      <c r="B334" s="2">
        <v>26.08</v>
      </c>
    </row>
    <row r="335">
      <c r="A335" s="3">
        <v>42492.66666666667</v>
      </c>
      <c r="B335" s="2">
        <v>26.0</v>
      </c>
    </row>
    <row r="336">
      <c r="A336" s="3">
        <v>42493.66666666667</v>
      </c>
      <c r="B336" s="2">
        <v>26.0</v>
      </c>
    </row>
    <row r="337">
      <c r="A337" s="3">
        <v>42494.66666666667</v>
      </c>
      <c r="B337" s="2">
        <v>25.91</v>
      </c>
    </row>
    <row r="338">
      <c r="A338" s="3">
        <v>42495.66666666667</v>
      </c>
      <c r="B338" s="2">
        <v>25.83</v>
      </c>
    </row>
    <row r="339">
      <c r="A339" s="3">
        <v>42496.66666666667</v>
      </c>
      <c r="B339" s="2">
        <v>25.98</v>
      </c>
    </row>
    <row r="340">
      <c r="A340" s="3">
        <v>42499.66666666667</v>
      </c>
      <c r="B340" s="2">
        <v>25.72</v>
      </c>
    </row>
    <row r="341">
      <c r="A341" s="3">
        <v>42500.66666666667</v>
      </c>
      <c r="B341" s="2">
        <v>26.21</v>
      </c>
    </row>
    <row r="342">
      <c r="A342" s="3">
        <v>42501.66666666667</v>
      </c>
      <c r="B342" s="2">
        <v>25.84</v>
      </c>
    </row>
    <row r="343">
      <c r="A343" s="3">
        <v>42502.66666666667</v>
      </c>
      <c r="B343" s="2">
        <v>26.27</v>
      </c>
    </row>
    <row r="344">
      <c r="A344" s="3">
        <v>42503.66666666667</v>
      </c>
      <c r="B344" s="2">
        <v>25.98</v>
      </c>
    </row>
    <row r="345">
      <c r="A345" s="3">
        <v>42506.66666666667</v>
      </c>
      <c r="B345" s="2">
        <v>26.27</v>
      </c>
    </row>
    <row r="346">
      <c r="A346" s="3">
        <v>42507.66666666667</v>
      </c>
      <c r="B346" s="2">
        <v>26.21</v>
      </c>
    </row>
    <row r="347">
      <c r="A347" s="3">
        <v>42508.66666666667</v>
      </c>
      <c r="B347" s="2">
        <v>26.21</v>
      </c>
    </row>
    <row r="348">
      <c r="A348" s="3">
        <v>42509.66666666667</v>
      </c>
      <c r="B348" s="2">
        <v>25.99</v>
      </c>
    </row>
    <row r="349">
      <c r="A349" s="3">
        <v>42510.66666666667</v>
      </c>
      <c r="B349" s="2">
        <v>29.94</v>
      </c>
    </row>
    <row r="350">
      <c r="A350" s="3">
        <v>42513.66666666667</v>
      </c>
      <c r="B350" s="2">
        <v>30.13</v>
      </c>
    </row>
    <row r="351">
      <c r="A351" s="3">
        <v>42514.66666666667</v>
      </c>
      <c r="B351" s="2">
        <v>30.42</v>
      </c>
    </row>
    <row r="352">
      <c r="A352" s="3">
        <v>42515.66666666667</v>
      </c>
      <c r="B352" s="2">
        <v>30.49</v>
      </c>
    </row>
    <row r="353">
      <c r="A353" s="3">
        <v>42516.66666666667</v>
      </c>
      <c r="B353" s="2">
        <v>30.48</v>
      </c>
    </row>
    <row r="354">
      <c r="A354" s="3">
        <v>42517.66666666667</v>
      </c>
      <c r="B354" s="2">
        <v>30.72</v>
      </c>
    </row>
    <row r="355">
      <c r="A355" s="3">
        <v>42521.66666666667</v>
      </c>
      <c r="B355" s="2">
        <v>30.63</v>
      </c>
    </row>
    <row r="356">
      <c r="A356" s="3">
        <v>42522.66666666667</v>
      </c>
      <c r="B356" s="2">
        <v>30.84</v>
      </c>
    </row>
    <row r="357">
      <c r="A357" s="3">
        <v>42523.66666666667</v>
      </c>
      <c r="B357" s="2">
        <v>31.39</v>
      </c>
    </row>
    <row r="358">
      <c r="A358" s="3">
        <v>42524.66666666667</v>
      </c>
      <c r="B358" s="2">
        <v>31.42</v>
      </c>
    </row>
    <row r="359">
      <c r="A359" s="3">
        <v>42527.66666666667</v>
      </c>
      <c r="B359" s="2">
        <v>31.57</v>
      </c>
    </row>
    <row r="360">
      <c r="A360" s="3">
        <v>42528.66666666667</v>
      </c>
      <c r="B360" s="2">
        <v>31.33</v>
      </c>
    </row>
    <row r="361">
      <c r="A361" s="3">
        <v>42529.66666666667</v>
      </c>
      <c r="B361" s="2">
        <v>31.7</v>
      </c>
    </row>
    <row r="362">
      <c r="A362" s="3">
        <v>42530.66666666667</v>
      </c>
      <c r="B362" s="2">
        <v>31.26</v>
      </c>
    </row>
    <row r="363">
      <c r="A363" s="3">
        <v>42531.66666666667</v>
      </c>
      <c r="B363" s="2">
        <v>30.64</v>
      </c>
    </row>
    <row r="364">
      <c r="A364" s="3">
        <v>42534.66666666667</v>
      </c>
      <c r="B364" s="2">
        <v>29.91</v>
      </c>
    </row>
    <row r="365">
      <c r="A365" s="3">
        <v>42535.66666666667</v>
      </c>
      <c r="B365" s="2">
        <v>29.63</v>
      </c>
    </row>
    <row r="366">
      <c r="A366" s="3">
        <v>42536.66666666667</v>
      </c>
      <c r="B366" s="2">
        <v>29.84</v>
      </c>
    </row>
    <row r="367">
      <c r="A367" s="3">
        <v>42537.66666666667</v>
      </c>
      <c r="B367" s="2">
        <v>29.49</v>
      </c>
    </row>
    <row r="368">
      <c r="A368" s="3">
        <v>42538.66666666667</v>
      </c>
      <c r="B368" s="2">
        <v>29.66</v>
      </c>
    </row>
    <row r="369">
      <c r="A369" s="3">
        <v>42541.66666666667</v>
      </c>
      <c r="B369" s="2">
        <v>30.45</v>
      </c>
    </row>
    <row r="370">
      <c r="A370" s="3">
        <v>42542.66666666667</v>
      </c>
      <c r="B370" s="2">
        <v>30.06</v>
      </c>
    </row>
    <row r="371">
      <c r="A371" s="3">
        <v>42543.66666666667</v>
      </c>
      <c r="B371" s="2">
        <v>30.4</v>
      </c>
    </row>
    <row r="372">
      <c r="A372" s="3">
        <v>42544.66666666667</v>
      </c>
      <c r="B372" s="2">
        <v>31.03</v>
      </c>
    </row>
    <row r="373">
      <c r="A373" s="3">
        <v>42545.66666666667</v>
      </c>
      <c r="B373" s="2">
        <v>29.66</v>
      </c>
    </row>
    <row r="374">
      <c r="A374" s="3">
        <v>42548.66666666667</v>
      </c>
      <c r="B374" s="2">
        <v>28.49</v>
      </c>
    </row>
    <row r="375">
      <c r="A375" s="3">
        <v>42549.66666666667</v>
      </c>
      <c r="B375" s="2">
        <v>28.93</v>
      </c>
    </row>
    <row r="376">
      <c r="A376" s="3">
        <v>42550.66666666667</v>
      </c>
      <c r="B376" s="2">
        <v>29.08</v>
      </c>
    </row>
    <row r="377">
      <c r="A377" s="3">
        <v>42551.66666666667</v>
      </c>
      <c r="B377" s="2">
        <v>29.09</v>
      </c>
    </row>
    <row r="378">
      <c r="A378" s="3">
        <v>42552.66666666667</v>
      </c>
      <c r="B378" s="2">
        <v>28.93</v>
      </c>
    </row>
    <row r="379">
      <c r="A379" s="3">
        <v>42556.66666666667</v>
      </c>
      <c r="B379" s="2">
        <v>28.39</v>
      </c>
    </row>
    <row r="380">
      <c r="A380" s="3">
        <v>42557.66666666667</v>
      </c>
      <c r="B380" s="2">
        <v>28.25</v>
      </c>
    </row>
    <row r="381">
      <c r="A381" s="3">
        <v>42558.66666666667</v>
      </c>
      <c r="B381" s="2">
        <v>28.18</v>
      </c>
    </row>
    <row r="382">
      <c r="A382" s="3">
        <v>42559.66666666667</v>
      </c>
      <c r="B382" s="2">
        <v>29.02</v>
      </c>
    </row>
    <row r="383">
      <c r="A383" s="3">
        <v>42562.66666666667</v>
      </c>
      <c r="B383" s="2">
        <v>28.53</v>
      </c>
    </row>
    <row r="384">
      <c r="A384" s="3">
        <v>42563.66666666667</v>
      </c>
      <c r="B384" s="2">
        <v>28.9</v>
      </c>
    </row>
    <row r="385">
      <c r="A385" s="3">
        <v>42564.66666666667</v>
      </c>
      <c r="B385" s="2">
        <v>28.72</v>
      </c>
    </row>
    <row r="386">
      <c r="A386" s="3">
        <v>42565.66666666667</v>
      </c>
      <c r="B386" s="2">
        <v>28.88</v>
      </c>
    </row>
    <row r="387">
      <c r="A387" s="3">
        <v>42566.66666666667</v>
      </c>
      <c r="B387" s="2">
        <v>29.1</v>
      </c>
    </row>
    <row r="388">
      <c r="A388" s="3">
        <v>42569.66666666667</v>
      </c>
      <c r="B388" s="2">
        <v>29.32</v>
      </c>
    </row>
    <row r="389">
      <c r="A389" s="3">
        <v>42570.66666666667</v>
      </c>
      <c r="B389" s="2">
        <v>29.26</v>
      </c>
    </row>
    <row r="390">
      <c r="A390" s="3">
        <v>42571.66666666667</v>
      </c>
      <c r="B390" s="2">
        <v>29.72</v>
      </c>
    </row>
    <row r="391">
      <c r="A391" s="3">
        <v>42572.66666666667</v>
      </c>
      <c r="B391" s="2">
        <v>29.52</v>
      </c>
    </row>
    <row r="392">
      <c r="A392" s="3">
        <v>42573.66666666667</v>
      </c>
      <c r="B392" s="2">
        <v>29.86</v>
      </c>
    </row>
    <row r="393">
      <c r="A393" s="3">
        <v>42576.66666666667</v>
      </c>
      <c r="B393" s="2">
        <v>29.48</v>
      </c>
    </row>
    <row r="394">
      <c r="A394" s="3">
        <v>42577.66666666667</v>
      </c>
      <c r="B394" s="2">
        <v>29.67</v>
      </c>
    </row>
    <row r="395">
      <c r="A395" s="3">
        <v>42578.66666666667</v>
      </c>
      <c r="B395" s="2">
        <v>29.76</v>
      </c>
    </row>
    <row r="396">
      <c r="A396" s="3">
        <v>42579.66666666667</v>
      </c>
      <c r="B396" s="2">
        <v>29.57</v>
      </c>
    </row>
    <row r="397">
      <c r="A397" s="3">
        <v>42580.66666666667</v>
      </c>
      <c r="B397" s="2">
        <v>29.24</v>
      </c>
    </row>
    <row r="398">
      <c r="A398" s="3">
        <v>42583.66666666667</v>
      </c>
      <c r="B398" s="2">
        <v>29.19</v>
      </c>
    </row>
    <row r="399">
      <c r="A399" s="3">
        <v>42584.66666666667</v>
      </c>
      <c r="B399" s="2">
        <v>28.2</v>
      </c>
    </row>
    <row r="400">
      <c r="A400" s="3">
        <v>42585.66666666667</v>
      </c>
      <c r="B400" s="2">
        <v>28.61</v>
      </c>
    </row>
    <row r="401">
      <c r="A401" s="3">
        <v>42586.66666666667</v>
      </c>
      <c r="B401" s="2">
        <v>28.49</v>
      </c>
    </row>
    <row r="402">
      <c r="A402" s="3">
        <v>42587.66666666667</v>
      </c>
      <c r="B402" s="2">
        <v>28.93</v>
      </c>
    </row>
    <row r="403">
      <c r="A403" s="3">
        <v>42590.66666666667</v>
      </c>
      <c r="B403" s="2">
        <v>28.93</v>
      </c>
    </row>
    <row r="404">
      <c r="A404" s="3">
        <v>42591.66666666667</v>
      </c>
      <c r="B404" s="2">
        <v>28.79</v>
      </c>
    </row>
    <row r="405">
      <c r="A405" s="3">
        <v>42592.66666666667</v>
      </c>
      <c r="B405" s="2">
        <v>29.03</v>
      </c>
    </row>
    <row r="406">
      <c r="A406" s="3">
        <v>42593.66666666667</v>
      </c>
      <c r="B406" s="2">
        <v>29.21</v>
      </c>
    </row>
    <row r="407">
      <c r="A407" s="3">
        <v>42594.66666666667</v>
      </c>
      <c r="B407" s="2">
        <v>29.32</v>
      </c>
    </row>
    <row r="408">
      <c r="A408" s="3">
        <v>42597.66666666667</v>
      </c>
      <c r="B408" s="2">
        <v>29.67</v>
      </c>
    </row>
    <row r="409">
      <c r="A409" s="3">
        <v>42598.66666666667</v>
      </c>
      <c r="B409" s="2">
        <v>29.6</v>
      </c>
    </row>
    <row r="410">
      <c r="A410" s="3">
        <v>42599.66666666667</v>
      </c>
      <c r="B410" s="2">
        <v>29.68</v>
      </c>
    </row>
    <row r="411">
      <c r="A411" s="3">
        <v>42600.66666666667</v>
      </c>
      <c r="B411" s="2">
        <v>29.41</v>
      </c>
    </row>
    <row r="412">
      <c r="A412" s="3">
        <v>42601.66666666667</v>
      </c>
      <c r="B412" s="2">
        <v>30.19</v>
      </c>
    </row>
    <row r="413">
      <c r="A413" s="3">
        <v>42604.66666666667</v>
      </c>
      <c r="B413" s="2">
        <v>30.3</v>
      </c>
    </row>
    <row r="414">
      <c r="A414" s="3">
        <v>42605.66666666667</v>
      </c>
      <c r="B414" s="2">
        <v>30.29</v>
      </c>
    </row>
    <row r="415">
      <c r="A415" s="3">
        <v>42606.66666666667</v>
      </c>
      <c r="B415" s="2">
        <v>29.77</v>
      </c>
    </row>
    <row r="416">
      <c r="A416" s="3">
        <v>42607.66666666667</v>
      </c>
      <c r="B416" s="2">
        <v>29.98</v>
      </c>
    </row>
    <row r="417">
      <c r="A417" s="3">
        <v>42608.66666666667</v>
      </c>
      <c r="B417" s="2">
        <v>30.04</v>
      </c>
    </row>
    <row r="418">
      <c r="A418" s="3">
        <v>42611.66666666667</v>
      </c>
      <c r="B418" s="2">
        <v>30.26</v>
      </c>
    </row>
    <row r="419">
      <c r="A419" s="3">
        <v>42612.66666666667</v>
      </c>
      <c r="B419" s="2">
        <v>30.46</v>
      </c>
    </row>
    <row r="420">
      <c r="A420" s="3">
        <v>42613.66666666667</v>
      </c>
      <c r="B420" s="2">
        <v>30.43</v>
      </c>
    </row>
    <row r="421">
      <c r="A421" s="3">
        <v>42614.66666666667</v>
      </c>
      <c r="B421" s="2">
        <v>30.59</v>
      </c>
    </row>
    <row r="422">
      <c r="A422" s="3">
        <v>42615.66666666667</v>
      </c>
      <c r="B422" s="2">
        <v>30.44</v>
      </c>
    </row>
    <row r="423">
      <c r="A423" s="3">
        <v>42619.66666666667</v>
      </c>
      <c r="B423" s="2">
        <v>30.4</v>
      </c>
    </row>
    <row r="424">
      <c r="A424" s="3">
        <v>42620.66666666667</v>
      </c>
      <c r="B424" s="2">
        <v>30.4</v>
      </c>
    </row>
    <row r="425">
      <c r="A425" s="3">
        <v>42621.66666666667</v>
      </c>
      <c r="B425" s="2">
        <v>30.37</v>
      </c>
    </row>
    <row r="426">
      <c r="A426" s="3">
        <v>42622.66666666667</v>
      </c>
      <c r="B426" s="2">
        <v>29.53</v>
      </c>
    </row>
    <row r="427">
      <c r="A427" s="3">
        <v>42625.66666666667</v>
      </c>
      <c r="B427" s="2">
        <v>30.29</v>
      </c>
    </row>
    <row r="428">
      <c r="A428" s="3">
        <v>42626.66666666667</v>
      </c>
      <c r="B428" s="2">
        <v>29.78</v>
      </c>
    </row>
    <row r="429">
      <c r="A429" s="3">
        <v>42627.66666666667</v>
      </c>
      <c r="B429" s="2">
        <v>29.39</v>
      </c>
    </row>
    <row r="430">
      <c r="A430" s="3">
        <v>42628.66666666667</v>
      </c>
      <c r="B430" s="2">
        <v>29.98</v>
      </c>
    </row>
    <row r="431">
      <c r="A431" s="3">
        <v>42629.66666666667</v>
      </c>
      <c r="B431" s="2">
        <v>29.25</v>
      </c>
    </row>
    <row r="432">
      <c r="A432" s="3">
        <v>42632.66666666667</v>
      </c>
      <c r="B432" s="2">
        <v>30.65</v>
      </c>
    </row>
    <row r="433">
      <c r="A433" s="3">
        <v>42633.66666666667</v>
      </c>
      <c r="B433" s="2">
        <v>30.66</v>
      </c>
    </row>
    <row r="434">
      <c r="A434" s="3">
        <v>42634.66666666667</v>
      </c>
      <c r="B434" s="2">
        <v>31.07</v>
      </c>
    </row>
    <row r="435">
      <c r="A435" s="3">
        <v>42635.66666666667</v>
      </c>
      <c r="B435" s="2">
        <v>31.64</v>
      </c>
    </row>
    <row r="436">
      <c r="A436" s="3">
        <v>42636.66666666667</v>
      </c>
      <c r="B436" s="2">
        <v>31.47</v>
      </c>
    </row>
    <row r="437">
      <c r="A437" s="3">
        <v>42639.66666666667</v>
      </c>
      <c r="B437" s="2">
        <v>30.97</v>
      </c>
    </row>
    <row r="438">
      <c r="A438" s="3">
        <v>42640.66666666667</v>
      </c>
      <c r="B438" s="2">
        <v>31.15</v>
      </c>
    </row>
    <row r="439">
      <c r="A439" s="3">
        <v>42641.66666666667</v>
      </c>
      <c r="B439" s="2">
        <v>31.75</v>
      </c>
    </row>
    <row r="440">
      <c r="A440" s="3">
        <v>42642.66666666667</v>
      </c>
      <c r="B440" s="2">
        <v>31.1</v>
      </c>
    </row>
    <row r="441">
      <c r="A441" s="3">
        <v>42643.66666666667</v>
      </c>
      <c r="B441" s="2">
        <v>31.69</v>
      </c>
    </row>
    <row r="442">
      <c r="A442" s="3">
        <v>42646.66666666667</v>
      </c>
      <c r="B442" s="2">
        <v>31.35</v>
      </c>
    </row>
    <row r="443">
      <c r="A443" s="3">
        <v>42647.66666666667</v>
      </c>
      <c r="B443" s="2">
        <v>31.28</v>
      </c>
    </row>
    <row r="444">
      <c r="A444" s="3">
        <v>42648.66666666667</v>
      </c>
      <c r="B444" s="2">
        <v>31.56</v>
      </c>
    </row>
    <row r="445">
      <c r="A445" s="3">
        <v>42649.66666666667</v>
      </c>
      <c r="B445" s="2">
        <v>31.54</v>
      </c>
    </row>
    <row r="446">
      <c r="A446" s="3">
        <v>42650.66666666667</v>
      </c>
      <c r="B446" s="2">
        <v>31.28</v>
      </c>
    </row>
    <row r="447">
      <c r="A447" s="3">
        <v>42653.66666666667</v>
      </c>
      <c r="B447" s="2">
        <v>31.41</v>
      </c>
    </row>
    <row r="448">
      <c r="A448" s="3">
        <v>42654.66666666667</v>
      </c>
      <c r="B448" s="2">
        <v>31.16</v>
      </c>
    </row>
    <row r="449">
      <c r="A449" s="3">
        <v>42655.66666666667</v>
      </c>
      <c r="B449" s="2">
        <v>31.25</v>
      </c>
    </row>
    <row r="450">
      <c r="A450" s="3">
        <v>42656.66666666667</v>
      </c>
      <c r="B450" s="2">
        <v>31.32</v>
      </c>
    </row>
    <row r="451">
      <c r="A451" s="3">
        <v>42657.66666666667</v>
      </c>
      <c r="B451" s="2">
        <v>31.6</v>
      </c>
    </row>
    <row r="452">
      <c r="A452" s="3">
        <v>42660.66666666667</v>
      </c>
      <c r="B452" s="2">
        <v>31.65</v>
      </c>
    </row>
    <row r="453">
      <c r="A453" s="3">
        <v>42661.66666666667</v>
      </c>
      <c r="B453" s="2">
        <v>31.94</v>
      </c>
    </row>
    <row r="454">
      <c r="A454" s="3">
        <v>42662.66666666667</v>
      </c>
      <c r="B454" s="2">
        <v>32.51</v>
      </c>
    </row>
    <row r="455">
      <c r="A455" s="3">
        <v>42663.66666666667</v>
      </c>
      <c r="B455" s="2">
        <v>32.66</v>
      </c>
    </row>
    <row r="456">
      <c r="A456" s="3">
        <v>42664.66666666667</v>
      </c>
      <c r="B456" s="2">
        <v>32.49</v>
      </c>
    </row>
    <row r="457">
      <c r="A457" s="3">
        <v>42667.66666666667</v>
      </c>
      <c r="B457" s="2">
        <v>33.05</v>
      </c>
    </row>
    <row r="458">
      <c r="A458" s="3">
        <v>42668.66666666667</v>
      </c>
      <c r="B458" s="2">
        <v>32.88</v>
      </c>
    </row>
    <row r="459">
      <c r="A459" s="3">
        <v>42669.66666666667</v>
      </c>
      <c r="B459" s="2">
        <v>32.75</v>
      </c>
    </row>
    <row r="460">
      <c r="A460" s="3">
        <v>42670.66666666667</v>
      </c>
      <c r="B460" s="2">
        <v>32.89</v>
      </c>
    </row>
    <row r="461">
      <c r="A461" s="3">
        <v>42671.66666666667</v>
      </c>
      <c r="B461" s="2">
        <v>32.81</v>
      </c>
    </row>
    <row r="462">
      <c r="A462" s="3">
        <v>42674.66666666667</v>
      </c>
      <c r="B462" s="2">
        <v>32.8</v>
      </c>
    </row>
    <row r="463">
      <c r="A463" s="3">
        <v>42675.66666666667</v>
      </c>
      <c r="B463" s="2">
        <v>32.66</v>
      </c>
    </row>
    <row r="464">
      <c r="A464" s="3">
        <v>42676.66666666667</v>
      </c>
      <c r="B464" s="2">
        <v>31.98</v>
      </c>
    </row>
    <row r="465">
      <c r="A465" s="3">
        <v>42677.66666666667</v>
      </c>
      <c r="B465" s="2">
        <v>31.98</v>
      </c>
    </row>
    <row r="466">
      <c r="A466" s="3">
        <v>42678.66666666667</v>
      </c>
      <c r="B466" s="2">
        <v>31.82</v>
      </c>
    </row>
    <row r="467">
      <c r="A467" s="3">
        <v>42681.66666666667</v>
      </c>
      <c r="B467" s="2">
        <v>33.26</v>
      </c>
    </row>
    <row r="468">
      <c r="A468" s="3">
        <v>42682.66666666667</v>
      </c>
      <c r="B468" s="2">
        <v>33.21</v>
      </c>
    </row>
    <row r="469">
      <c r="A469" s="3">
        <v>42683.66666666667</v>
      </c>
      <c r="B469" s="2">
        <v>33.78</v>
      </c>
    </row>
    <row r="470">
      <c r="A470" s="3">
        <v>42684.66666666667</v>
      </c>
      <c r="B470" s="2">
        <v>33.93</v>
      </c>
    </row>
    <row r="471">
      <c r="A471" s="3">
        <v>42685.66666666667</v>
      </c>
      <c r="B471" s="2">
        <v>34.57</v>
      </c>
    </row>
    <row r="472">
      <c r="A472" s="3">
        <v>42688.66666666667</v>
      </c>
      <c r="B472" s="2">
        <v>34.8</v>
      </c>
    </row>
    <row r="473">
      <c r="A473" s="3">
        <v>42689.66666666667</v>
      </c>
      <c r="B473" s="2">
        <v>35.13</v>
      </c>
    </row>
    <row r="474">
      <c r="A474" s="3">
        <v>42690.66666666667</v>
      </c>
      <c r="B474" s="2">
        <v>35.11</v>
      </c>
    </row>
    <row r="475">
      <c r="A475" s="3">
        <v>42691.66666666667</v>
      </c>
      <c r="B475" s="2">
        <v>35.22</v>
      </c>
    </row>
    <row r="476">
      <c r="A476" s="3">
        <v>42692.66666666667</v>
      </c>
      <c r="B476" s="2">
        <v>35.89</v>
      </c>
    </row>
    <row r="477">
      <c r="A477" s="3">
        <v>42695.66666666667</v>
      </c>
      <c r="B477" s="2">
        <v>35.9</v>
      </c>
    </row>
    <row r="478">
      <c r="A478" s="3">
        <v>42696.66666666667</v>
      </c>
      <c r="B478" s="2">
        <v>36.6</v>
      </c>
    </row>
    <row r="479">
      <c r="A479" s="3">
        <v>42697.66666666667</v>
      </c>
      <c r="B479" s="2">
        <v>37.65</v>
      </c>
    </row>
    <row r="480">
      <c r="A480" s="3">
        <v>42699.66666666667</v>
      </c>
      <c r="B480" s="2">
        <v>38.26</v>
      </c>
    </row>
    <row r="481">
      <c r="A481" s="3">
        <v>42702.66666666667</v>
      </c>
      <c r="B481" s="2">
        <v>37.98</v>
      </c>
    </row>
    <row r="482">
      <c r="A482" s="3">
        <v>42703.66666666667</v>
      </c>
      <c r="B482" s="2">
        <v>37.26</v>
      </c>
    </row>
    <row r="483">
      <c r="A483" s="3">
        <v>42704.66666666667</v>
      </c>
      <c r="B483" s="2">
        <v>36.83</v>
      </c>
    </row>
    <row r="484">
      <c r="A484" s="3">
        <v>42705.66666666667</v>
      </c>
      <c r="B484" s="2">
        <v>35.49</v>
      </c>
    </row>
    <row r="485">
      <c r="A485" s="3">
        <v>42706.66666666667</v>
      </c>
      <c r="B485" s="2">
        <v>35.35</v>
      </c>
    </row>
    <row r="486">
      <c r="A486" s="3">
        <v>42709.66666666667</v>
      </c>
      <c r="B486" s="2">
        <v>35.84</v>
      </c>
    </row>
    <row r="487">
      <c r="A487" s="3">
        <v>42710.66666666667</v>
      </c>
      <c r="B487" s="2">
        <v>36.37</v>
      </c>
    </row>
    <row r="488">
      <c r="A488" s="3">
        <v>42711.66666666667</v>
      </c>
      <c r="B488" s="2">
        <v>36.63</v>
      </c>
    </row>
    <row r="489">
      <c r="A489" s="3">
        <v>42712.66666666667</v>
      </c>
      <c r="B489" s="2">
        <v>36.95</v>
      </c>
    </row>
    <row r="490">
      <c r="A490" s="3">
        <v>42713.66666666667</v>
      </c>
      <c r="B490" s="2">
        <v>37.12</v>
      </c>
    </row>
    <row r="491">
      <c r="A491" s="3">
        <v>42716.66666666667</v>
      </c>
      <c r="B491" s="2">
        <v>37.12</v>
      </c>
    </row>
    <row r="492">
      <c r="A492" s="3">
        <v>42717.66666666667</v>
      </c>
      <c r="B492" s="2">
        <v>37.15</v>
      </c>
    </row>
    <row r="493">
      <c r="A493" s="3">
        <v>42718.66666666667</v>
      </c>
      <c r="B493" s="2">
        <v>36.35</v>
      </c>
    </row>
    <row r="494">
      <c r="A494" s="3">
        <v>42719.66666666667</v>
      </c>
      <c r="B494" s="2">
        <v>36.51</v>
      </c>
    </row>
    <row r="495">
      <c r="A495" s="3">
        <v>42720.66666666667</v>
      </c>
      <c r="B495" s="2">
        <v>36.3</v>
      </c>
    </row>
    <row r="496">
      <c r="A496" s="3">
        <v>42723.66666666667</v>
      </c>
      <c r="B496" s="2">
        <v>35.89</v>
      </c>
    </row>
    <row r="497">
      <c r="A497" s="3">
        <v>42724.66666666667</v>
      </c>
      <c r="B497" s="2">
        <v>35.99</v>
      </c>
    </row>
    <row r="498">
      <c r="A498" s="3">
        <v>42725.66666666667</v>
      </c>
      <c r="B498" s="2">
        <v>36.15</v>
      </c>
    </row>
    <row r="499">
      <c r="A499" s="3">
        <v>42726.66666666667</v>
      </c>
      <c r="B499" s="2">
        <v>36.21</v>
      </c>
    </row>
    <row r="500">
      <c r="A500" s="3">
        <v>42727.66666666667</v>
      </c>
      <c r="B500" s="2">
        <v>36.87</v>
      </c>
    </row>
    <row r="501">
      <c r="A501" s="3">
        <v>42731.66666666667</v>
      </c>
      <c r="B501" s="2">
        <v>37.0</v>
      </c>
    </row>
    <row r="502">
      <c r="A502" s="3">
        <v>42732.66666666667</v>
      </c>
      <c r="B502" s="2">
        <v>36.46</v>
      </c>
    </row>
    <row r="503">
      <c r="A503" s="3">
        <v>42733.66666666667</v>
      </c>
      <c r="B503" s="2">
        <v>36.63</v>
      </c>
    </row>
    <row r="504">
      <c r="A504" s="3">
        <v>42734.66666666667</v>
      </c>
      <c r="B504" s="2">
        <v>36.57</v>
      </c>
    </row>
    <row r="505">
      <c r="A505" s="3">
        <v>42738.66666666667</v>
      </c>
      <c r="B505" s="2">
        <v>36.28</v>
      </c>
    </row>
    <row r="506">
      <c r="A506" s="3">
        <v>42739.66666666667</v>
      </c>
      <c r="B506" s="2">
        <v>36.88</v>
      </c>
    </row>
    <row r="507">
      <c r="A507" s="3">
        <v>42740.66666666667</v>
      </c>
      <c r="B507" s="2">
        <v>36.45</v>
      </c>
    </row>
    <row r="508">
      <c r="A508" s="3">
        <v>42741.66666666667</v>
      </c>
      <c r="B508" s="2">
        <v>36.2</v>
      </c>
    </row>
    <row r="509">
      <c r="A509" s="3">
        <v>42744.66666666667</v>
      </c>
      <c r="B509" s="2">
        <v>36.1</v>
      </c>
    </row>
    <row r="510">
      <c r="A510" s="3">
        <v>42745.66666666667</v>
      </c>
      <c r="B510" s="2">
        <v>36.31</v>
      </c>
    </row>
    <row r="511">
      <c r="A511" s="3">
        <v>42746.66666666667</v>
      </c>
      <c r="B511" s="2">
        <v>36.5</v>
      </c>
    </row>
    <row r="512">
      <c r="A512" s="3">
        <v>42747.66666666667</v>
      </c>
      <c r="B512" s="2">
        <v>36.35</v>
      </c>
    </row>
    <row r="513">
      <c r="A513" s="3">
        <v>42748.66666666667</v>
      </c>
      <c r="B513" s="2">
        <v>36.93</v>
      </c>
    </row>
    <row r="514">
      <c r="A514" s="3">
        <v>42752.66666666667</v>
      </c>
      <c r="B514" s="2">
        <v>35.88</v>
      </c>
    </row>
    <row r="515">
      <c r="A515" s="3">
        <v>42753.66666666667</v>
      </c>
      <c r="B515" s="2">
        <v>35.9</v>
      </c>
    </row>
    <row r="516">
      <c r="A516" s="3">
        <v>42754.66666666667</v>
      </c>
      <c r="B516" s="2">
        <v>35.73</v>
      </c>
    </row>
    <row r="517">
      <c r="A517" s="3">
        <v>42755.66666666667</v>
      </c>
      <c r="B517" s="2">
        <v>36.16</v>
      </c>
    </row>
    <row r="518">
      <c r="A518" s="3">
        <v>42758.66666666667</v>
      </c>
      <c r="B518" s="2">
        <v>36.3</v>
      </c>
    </row>
    <row r="519">
      <c r="A519" s="3">
        <v>42759.66666666667</v>
      </c>
      <c r="B519" s="2">
        <v>36.95</v>
      </c>
    </row>
    <row r="520">
      <c r="A520" s="3">
        <v>42760.66666666667</v>
      </c>
      <c r="B520" s="2">
        <v>37.71</v>
      </c>
    </row>
    <row r="521">
      <c r="A521" s="3">
        <v>42761.66666666667</v>
      </c>
      <c r="B521" s="2">
        <v>37.24</v>
      </c>
    </row>
    <row r="522">
      <c r="A522" s="3">
        <v>42762.66666666667</v>
      </c>
      <c r="B522" s="2">
        <v>37.01</v>
      </c>
    </row>
    <row r="523">
      <c r="A523" s="3">
        <v>42765.66666666667</v>
      </c>
      <c r="B523" s="2">
        <v>36.99</v>
      </c>
    </row>
    <row r="524">
      <c r="A524" s="3">
        <v>42766.66666666667</v>
      </c>
      <c r="B524" s="2">
        <v>37.07</v>
      </c>
    </row>
    <row r="525">
      <c r="A525" s="3">
        <v>42767.66666666667</v>
      </c>
      <c r="B525" s="2">
        <v>36.72</v>
      </c>
    </row>
    <row r="526">
      <c r="A526" s="3">
        <v>42768.66666666667</v>
      </c>
      <c r="B526" s="2">
        <v>36.13</v>
      </c>
    </row>
    <row r="527">
      <c r="A527" s="3">
        <v>42769.66666666667</v>
      </c>
      <c r="B527" s="2">
        <v>37.35</v>
      </c>
    </row>
    <row r="528">
      <c r="A528" s="3">
        <v>42772.66666666667</v>
      </c>
      <c r="B528" s="2">
        <v>36.68</v>
      </c>
    </row>
    <row r="529">
      <c r="A529" s="3">
        <v>42773.66666666667</v>
      </c>
      <c r="B529" s="2">
        <v>36.57</v>
      </c>
    </row>
    <row r="530">
      <c r="A530" s="3">
        <v>42774.66666666667</v>
      </c>
      <c r="B530" s="2">
        <v>37.2</v>
      </c>
    </row>
    <row r="531">
      <c r="A531" s="3">
        <v>42775.66666666667</v>
      </c>
      <c r="B531" s="2">
        <v>36.99</v>
      </c>
    </row>
    <row r="532">
      <c r="A532" s="3">
        <v>42776.66666666667</v>
      </c>
      <c r="B532" s="2">
        <v>37.63</v>
      </c>
    </row>
    <row r="533">
      <c r="A533" s="3">
        <v>42779.66666666667</v>
      </c>
      <c r="B533" s="2">
        <v>37.42</v>
      </c>
    </row>
    <row r="534">
      <c r="A534" s="3">
        <v>42780.66666666667</v>
      </c>
      <c r="B534" s="2">
        <v>37.45</v>
      </c>
    </row>
    <row r="535">
      <c r="A535" s="3">
        <v>42781.66666666667</v>
      </c>
      <c r="B535" s="2">
        <v>38.1</v>
      </c>
    </row>
    <row r="536">
      <c r="A536" s="3">
        <v>42782.66666666667</v>
      </c>
      <c r="B536" s="2">
        <v>38.22</v>
      </c>
    </row>
    <row r="537">
      <c r="A537" s="3">
        <v>42783.66666666667</v>
      </c>
      <c r="B537" s="2">
        <v>37.92</v>
      </c>
    </row>
    <row r="538">
      <c r="A538" s="3">
        <v>42787.66666666667</v>
      </c>
      <c r="B538" s="2">
        <v>38.04</v>
      </c>
    </row>
    <row r="539">
      <c r="A539" s="3">
        <v>42788.66666666667</v>
      </c>
      <c r="B539" s="2">
        <v>38.12</v>
      </c>
    </row>
    <row r="540">
      <c r="A540" s="3">
        <v>42789.66666666667</v>
      </c>
      <c r="B540" s="2">
        <v>37.76</v>
      </c>
    </row>
    <row r="541">
      <c r="A541" s="3">
        <v>42790.66666666667</v>
      </c>
      <c r="B541" s="2">
        <v>37.55</v>
      </c>
    </row>
    <row r="542">
      <c r="A542" s="3">
        <v>42793.66666666667</v>
      </c>
      <c r="B542" s="2">
        <v>37.61</v>
      </c>
    </row>
    <row r="543">
      <c r="A543" s="3">
        <v>42794.66666666667</v>
      </c>
      <c r="B543" s="2">
        <v>37.6</v>
      </c>
    </row>
    <row r="544">
      <c r="A544" s="3">
        <v>42795.66666666667</v>
      </c>
      <c r="B544" s="2">
        <v>38.03</v>
      </c>
    </row>
    <row r="545">
      <c r="A545" s="3">
        <v>42796.66666666667</v>
      </c>
      <c r="B545" s="2">
        <v>37.92</v>
      </c>
    </row>
    <row r="546">
      <c r="A546" s="3">
        <v>42797.66666666667</v>
      </c>
      <c r="B546" s="2">
        <v>38.28</v>
      </c>
    </row>
    <row r="547">
      <c r="A547" s="3">
        <v>42800.66666666667</v>
      </c>
      <c r="B547" s="2">
        <v>37.93</v>
      </c>
    </row>
    <row r="548">
      <c r="A548" s="3">
        <v>42801.66666666667</v>
      </c>
      <c r="B548" s="2">
        <v>37.9</v>
      </c>
    </row>
    <row r="549">
      <c r="A549" s="3">
        <v>42802.66666666667</v>
      </c>
      <c r="B549" s="2">
        <v>37.9</v>
      </c>
    </row>
    <row r="550">
      <c r="A550" s="3">
        <v>42803.66666666667</v>
      </c>
      <c r="B550" s="2">
        <v>38.02</v>
      </c>
    </row>
    <row r="551">
      <c r="A551" s="3">
        <v>42804.66666666667</v>
      </c>
      <c r="B551" s="2">
        <v>38.86</v>
      </c>
    </row>
    <row r="552">
      <c r="A552" s="3">
        <v>42807.66666666667</v>
      </c>
      <c r="B552" s="2">
        <v>38.44</v>
      </c>
    </row>
    <row r="553">
      <c r="A553" s="3">
        <v>42808.66666666667</v>
      </c>
      <c r="B553" s="2">
        <v>38.3</v>
      </c>
    </row>
    <row r="554">
      <c r="A554" s="3">
        <v>42809.66666666667</v>
      </c>
      <c r="B554" s="2">
        <v>39.06</v>
      </c>
    </row>
    <row r="555">
      <c r="A555" s="3">
        <v>42810.66666666667</v>
      </c>
      <c r="B555" s="2">
        <v>39.12</v>
      </c>
    </row>
    <row r="556">
      <c r="A556" s="3">
        <v>42811.66666666667</v>
      </c>
      <c r="B556" s="2">
        <v>39.02</v>
      </c>
    </row>
    <row r="557">
      <c r="A557" s="3">
        <v>42814.66666666667</v>
      </c>
      <c r="B557" s="2">
        <v>38.75</v>
      </c>
    </row>
    <row r="558">
      <c r="A558" s="3">
        <v>42815.66666666667</v>
      </c>
      <c r="B558" s="2">
        <v>36.61</v>
      </c>
    </row>
    <row r="559">
      <c r="A559" s="3">
        <v>42816.66666666667</v>
      </c>
      <c r="B559" s="2">
        <v>36.17</v>
      </c>
    </row>
    <row r="560">
      <c r="A560" s="3">
        <v>42817.66666666667</v>
      </c>
      <c r="B560" s="2">
        <v>37.2</v>
      </c>
    </row>
    <row r="561">
      <c r="A561" s="3">
        <v>42818.66666666667</v>
      </c>
      <c r="B561" s="2">
        <v>36.81</v>
      </c>
    </row>
    <row r="562">
      <c r="A562" s="3">
        <v>42821.66666666667</v>
      </c>
      <c r="B562" s="2">
        <v>36.52</v>
      </c>
    </row>
    <row r="563">
      <c r="A563" s="3">
        <v>42822.66666666667</v>
      </c>
      <c r="B563" s="2">
        <v>36.72</v>
      </c>
    </row>
    <row r="564">
      <c r="A564" s="3">
        <v>42823.66666666667</v>
      </c>
      <c r="B564" s="2">
        <v>36.37</v>
      </c>
    </row>
    <row r="565">
      <c r="A565" s="3">
        <v>42824.66666666667</v>
      </c>
      <c r="B565" s="2">
        <v>36.59</v>
      </c>
    </row>
    <row r="566">
      <c r="A566" s="3">
        <v>42825.66666666667</v>
      </c>
      <c r="B566" s="2">
        <v>36.14</v>
      </c>
    </row>
    <row r="567">
      <c r="A567" s="3">
        <v>42828.66666666667</v>
      </c>
      <c r="B567" s="2">
        <v>36.2</v>
      </c>
    </row>
    <row r="568">
      <c r="A568" s="3">
        <v>42829.66666666667</v>
      </c>
      <c r="B568" s="2">
        <v>36.24</v>
      </c>
    </row>
    <row r="569">
      <c r="A569" s="3">
        <v>42830.66666666667</v>
      </c>
      <c r="B569" s="2">
        <v>36.26</v>
      </c>
    </row>
    <row r="570">
      <c r="A570" s="3">
        <v>42831.66666666667</v>
      </c>
      <c r="B570" s="2">
        <v>36.44</v>
      </c>
    </row>
    <row r="571">
      <c r="A571" s="3">
        <v>42832.66666666667</v>
      </c>
      <c r="B571" s="2">
        <v>35.94</v>
      </c>
    </row>
    <row r="572">
      <c r="A572" s="3">
        <v>42835.66666666667</v>
      </c>
      <c r="B572" s="2">
        <v>35.69</v>
      </c>
    </row>
    <row r="573">
      <c r="A573" s="3">
        <v>42836.66666666667</v>
      </c>
      <c r="B573" s="2">
        <v>35.79</v>
      </c>
    </row>
    <row r="574">
      <c r="A574" s="3">
        <v>42837.66666666667</v>
      </c>
      <c r="B574" s="2">
        <v>35.38</v>
      </c>
    </row>
    <row r="575">
      <c r="A575" s="3">
        <v>42838.66666666667</v>
      </c>
      <c r="B575" s="2">
        <v>35.3</v>
      </c>
    </row>
    <row r="576">
      <c r="A576" s="3">
        <v>42842.66666666667</v>
      </c>
      <c r="B576" s="2">
        <v>35.95</v>
      </c>
    </row>
    <row r="577">
      <c r="A577" s="3">
        <v>42843.66666666667</v>
      </c>
      <c r="B577" s="2">
        <v>35.77</v>
      </c>
    </row>
    <row r="578">
      <c r="A578" s="3">
        <v>42844.66666666667</v>
      </c>
      <c r="B578" s="2">
        <v>36.62</v>
      </c>
    </row>
    <row r="579">
      <c r="A579" s="3">
        <v>42845.66666666667</v>
      </c>
      <c r="B579" s="2">
        <v>36.7</v>
      </c>
    </row>
    <row r="580">
      <c r="A580" s="3">
        <v>42846.66666666667</v>
      </c>
      <c r="B580" s="2">
        <v>35.88</v>
      </c>
    </row>
    <row r="581">
      <c r="A581" s="3">
        <v>42849.66666666667</v>
      </c>
      <c r="B581" s="2">
        <v>37.01</v>
      </c>
    </row>
    <row r="582">
      <c r="A582" s="3">
        <v>42850.66666666667</v>
      </c>
      <c r="B582" s="2">
        <v>37.75</v>
      </c>
    </row>
    <row r="583">
      <c r="A583" s="3">
        <v>42851.66666666667</v>
      </c>
      <c r="B583" s="2">
        <v>37.85</v>
      </c>
    </row>
    <row r="584">
      <c r="A584" s="3">
        <v>42852.66666666667</v>
      </c>
      <c r="B584" s="2">
        <v>37.98</v>
      </c>
    </row>
    <row r="585">
      <c r="A585" s="3">
        <v>42853.66666666667</v>
      </c>
      <c r="B585" s="2">
        <v>37.43</v>
      </c>
    </row>
    <row r="586">
      <c r="A586" s="3">
        <v>42856.66666666667</v>
      </c>
      <c r="B586" s="2">
        <v>37.77</v>
      </c>
    </row>
    <row r="587">
      <c r="A587" s="3">
        <v>42857.66666666667</v>
      </c>
      <c r="B587" s="2">
        <v>37.88</v>
      </c>
    </row>
    <row r="588">
      <c r="A588" s="3">
        <v>42858.66666666667</v>
      </c>
      <c r="B588" s="2">
        <v>38.14</v>
      </c>
    </row>
    <row r="589">
      <c r="A589" s="3">
        <v>42859.66666666667</v>
      </c>
      <c r="B589" s="2">
        <v>38.45</v>
      </c>
    </row>
    <row r="590">
      <c r="A590" s="3">
        <v>42860.66666666667</v>
      </c>
      <c r="B590" s="2">
        <v>38.92</v>
      </c>
    </row>
    <row r="591">
      <c r="A591" s="3">
        <v>42863.66666666667</v>
      </c>
      <c r="B591" s="2">
        <v>39.04</v>
      </c>
    </row>
    <row r="592">
      <c r="A592" s="3">
        <v>42864.66666666667</v>
      </c>
      <c r="B592" s="2">
        <v>39.13</v>
      </c>
    </row>
    <row r="593">
      <c r="A593" s="3">
        <v>42865.66666666667</v>
      </c>
      <c r="B593" s="2">
        <v>39.21</v>
      </c>
    </row>
    <row r="594">
      <c r="A594" s="3">
        <v>42866.66666666667</v>
      </c>
      <c r="B594" s="2">
        <v>39.08</v>
      </c>
    </row>
    <row r="595">
      <c r="A595" s="3">
        <v>42867.66666666667</v>
      </c>
      <c r="B595" s="2">
        <v>38.98</v>
      </c>
    </row>
    <row r="596">
      <c r="A596" s="3">
        <v>42870.66666666667</v>
      </c>
      <c r="B596" s="2">
        <v>39.23</v>
      </c>
    </row>
    <row r="597">
      <c r="A597" s="3">
        <v>42871.66666666667</v>
      </c>
      <c r="B597" s="2">
        <v>39.08</v>
      </c>
    </row>
    <row r="598">
      <c r="A598" s="3">
        <v>42872.66666666667</v>
      </c>
      <c r="B598" s="2">
        <v>37.84</v>
      </c>
    </row>
    <row r="599">
      <c r="A599" s="3">
        <v>42873.66666666667</v>
      </c>
      <c r="B599" s="2">
        <v>37.45</v>
      </c>
    </row>
    <row r="600">
      <c r="A600" s="3">
        <v>42874.66666666667</v>
      </c>
      <c r="B600" s="2">
        <v>37.49</v>
      </c>
    </row>
    <row r="601">
      <c r="A601" s="3">
        <v>42877.66666666667</v>
      </c>
      <c r="B601" s="2">
        <v>37.64</v>
      </c>
    </row>
    <row r="602">
      <c r="A602" s="3">
        <v>42878.66666666667</v>
      </c>
      <c r="B602" s="2">
        <v>37.56</v>
      </c>
    </row>
    <row r="603">
      <c r="A603" s="3">
        <v>42879.66666666667</v>
      </c>
      <c r="B603" s="2">
        <v>38.07</v>
      </c>
    </row>
    <row r="604">
      <c r="A604" s="3">
        <v>42880.66666666667</v>
      </c>
      <c r="B604" s="2">
        <v>38.24</v>
      </c>
    </row>
    <row r="605">
      <c r="A605" s="3">
        <v>42881.66666666667</v>
      </c>
      <c r="B605" s="2">
        <v>38.36</v>
      </c>
    </row>
    <row r="606">
      <c r="A606" s="3">
        <v>42885.66666666667</v>
      </c>
      <c r="B606" s="2">
        <v>39.1</v>
      </c>
    </row>
    <row r="607">
      <c r="A607" s="3">
        <v>42886.66666666667</v>
      </c>
      <c r="B607" s="2">
        <v>38.64</v>
      </c>
    </row>
    <row r="608">
      <c r="A608" s="3">
        <v>42887.66666666667</v>
      </c>
      <c r="B608" s="2">
        <v>39.08</v>
      </c>
    </row>
    <row r="609">
      <c r="A609" s="3">
        <v>42888.66666666667</v>
      </c>
      <c r="B609" s="2">
        <v>39.76</v>
      </c>
    </row>
    <row r="610">
      <c r="A610" s="3">
        <v>42891.66666666667</v>
      </c>
      <c r="B610" s="2">
        <v>39.92</v>
      </c>
    </row>
    <row r="611">
      <c r="A611" s="3">
        <v>42892.66666666667</v>
      </c>
      <c r="B611" s="2">
        <v>40.25</v>
      </c>
    </row>
    <row r="612">
      <c r="A612" s="3">
        <v>42893.66666666667</v>
      </c>
      <c r="B612" s="2">
        <v>38.62</v>
      </c>
    </row>
    <row r="613">
      <c r="A613" s="3">
        <v>42894.66666666667</v>
      </c>
      <c r="B613" s="2">
        <v>38.3</v>
      </c>
    </row>
    <row r="614">
      <c r="A614" s="3">
        <v>42895.66666666667</v>
      </c>
      <c r="B614" s="2">
        <v>37.64</v>
      </c>
    </row>
    <row r="615">
      <c r="A615" s="3">
        <v>42898.66666666667</v>
      </c>
      <c r="B615" s="2">
        <v>37.0</v>
      </c>
    </row>
    <row r="616">
      <c r="A616" s="3">
        <v>42899.66666666667</v>
      </c>
      <c r="B616" s="2">
        <v>36.6</v>
      </c>
    </row>
    <row r="617">
      <c r="A617" s="3">
        <v>42900.66666666667</v>
      </c>
      <c r="B617" s="2">
        <v>36.34</v>
      </c>
    </row>
    <row r="618">
      <c r="A618" s="3">
        <v>42901.66666666667</v>
      </c>
      <c r="B618" s="2">
        <v>36.53</v>
      </c>
    </row>
    <row r="619">
      <c r="A619" s="3">
        <v>42902.66666666667</v>
      </c>
      <c r="B619" s="2">
        <v>37.98</v>
      </c>
    </row>
    <row r="620">
      <c r="A620" s="3">
        <v>42905.66666666667</v>
      </c>
      <c r="B620" s="2">
        <v>37.99</v>
      </c>
    </row>
    <row r="621">
      <c r="A621" s="3">
        <v>42906.66666666667</v>
      </c>
      <c r="B621" s="2">
        <v>37.95</v>
      </c>
    </row>
    <row r="622">
      <c r="A622" s="3">
        <v>42907.66666666667</v>
      </c>
      <c r="B622" s="2">
        <v>37.85</v>
      </c>
    </row>
    <row r="623">
      <c r="A623" s="3">
        <v>42908.66666666667</v>
      </c>
      <c r="B623" s="2">
        <v>38.1</v>
      </c>
    </row>
    <row r="624">
      <c r="A624" s="3">
        <v>42909.66666666667</v>
      </c>
      <c r="B624" s="2">
        <v>38.28</v>
      </c>
    </row>
    <row r="625">
      <c r="A625" s="3">
        <v>42912.66666666667</v>
      </c>
      <c r="B625" s="2">
        <v>38.17</v>
      </c>
    </row>
    <row r="626">
      <c r="A626" s="3">
        <v>42913.66666666667</v>
      </c>
      <c r="B626" s="2">
        <v>38.33</v>
      </c>
    </row>
    <row r="627">
      <c r="A627" s="3">
        <v>42914.66666666667</v>
      </c>
      <c r="B627" s="2">
        <v>38.96</v>
      </c>
    </row>
    <row r="628">
      <c r="A628" s="3">
        <v>42915.66666666667</v>
      </c>
      <c r="B628" s="2">
        <v>38.6</v>
      </c>
    </row>
    <row r="629">
      <c r="A629" s="3">
        <v>42916.66666666667</v>
      </c>
      <c r="B629" s="2">
        <v>38.93</v>
      </c>
    </row>
    <row r="630">
      <c r="A630" s="3">
        <v>42919.66666666667</v>
      </c>
      <c r="B630" s="2">
        <v>38.71</v>
      </c>
    </row>
    <row r="631">
      <c r="A631" s="3">
        <v>42921.66666666667</v>
      </c>
      <c r="B631" s="2">
        <v>39.15</v>
      </c>
    </row>
    <row r="632">
      <c r="A632" s="3">
        <v>42922.66666666667</v>
      </c>
      <c r="B632" s="2">
        <v>38.69</v>
      </c>
    </row>
    <row r="633">
      <c r="A633" s="3">
        <v>42923.66666666667</v>
      </c>
      <c r="B633" s="2">
        <v>40.07</v>
      </c>
    </row>
    <row r="634">
      <c r="A634" s="3">
        <v>42926.66666666667</v>
      </c>
      <c r="B634" s="2">
        <v>40.49</v>
      </c>
    </row>
    <row r="635">
      <c r="A635" s="3">
        <v>42927.66666666667</v>
      </c>
      <c r="B635" s="2">
        <v>40.34</v>
      </c>
    </row>
    <row r="636">
      <c r="A636" s="3">
        <v>42928.66666666667</v>
      </c>
      <c r="B636" s="2">
        <v>40.95</v>
      </c>
    </row>
    <row r="637">
      <c r="A637" s="3">
        <v>42929.66666666667</v>
      </c>
      <c r="B637" s="2">
        <v>41.32</v>
      </c>
    </row>
    <row r="638">
      <c r="A638" s="3">
        <v>42930.66666666667</v>
      </c>
      <c r="B638" s="2">
        <v>41.61</v>
      </c>
    </row>
    <row r="639">
      <c r="A639" s="3">
        <v>42933.66666666667</v>
      </c>
      <c r="B639" s="2">
        <v>41.95</v>
      </c>
    </row>
    <row r="640">
      <c r="A640" s="3">
        <v>42934.66666666667</v>
      </c>
      <c r="B640" s="2">
        <v>41.7</v>
      </c>
    </row>
    <row r="641">
      <c r="A641" s="3">
        <v>42935.66666666667</v>
      </c>
      <c r="B641" s="2">
        <v>41.94</v>
      </c>
    </row>
    <row r="642">
      <c r="A642" s="3">
        <v>42936.66666666667</v>
      </c>
      <c r="B642" s="2">
        <v>41.8</v>
      </c>
    </row>
    <row r="643">
      <c r="A643" s="3">
        <v>42937.66666666667</v>
      </c>
      <c r="B643" s="2">
        <v>41.97</v>
      </c>
    </row>
    <row r="644">
      <c r="A644" s="3">
        <v>42940.66666666667</v>
      </c>
      <c r="B644" s="2">
        <v>42.5</v>
      </c>
    </row>
    <row r="645">
      <c r="A645" s="3">
        <v>42941.66666666667</v>
      </c>
      <c r="B645" s="2">
        <v>42.83</v>
      </c>
    </row>
    <row r="646">
      <c r="A646" s="3">
        <v>42942.66666666667</v>
      </c>
      <c r="B646" s="2">
        <v>42.53</v>
      </c>
    </row>
    <row r="647">
      <c r="A647" s="3">
        <v>42943.66666666667</v>
      </c>
      <c r="B647" s="2">
        <v>42.22</v>
      </c>
    </row>
    <row r="648">
      <c r="A648" s="3">
        <v>42944.66666666667</v>
      </c>
      <c r="B648" s="2">
        <v>41.92</v>
      </c>
    </row>
    <row r="649">
      <c r="A649" s="3">
        <v>42947.66666666667</v>
      </c>
      <c r="B649" s="2">
        <v>41.59</v>
      </c>
    </row>
    <row r="650">
      <c r="A650" s="3">
        <v>42948.66666666667</v>
      </c>
      <c r="B650" s="2">
        <v>41.99</v>
      </c>
    </row>
    <row r="651">
      <c r="A651" s="3">
        <v>42949.66666666667</v>
      </c>
      <c r="B651" s="2">
        <v>41.69</v>
      </c>
    </row>
    <row r="652">
      <c r="A652" s="3">
        <v>42950.66666666667</v>
      </c>
      <c r="B652" s="2">
        <v>41.65</v>
      </c>
    </row>
    <row r="653">
      <c r="A653" s="3">
        <v>42951.66666666667</v>
      </c>
      <c r="B653" s="2">
        <v>41.88</v>
      </c>
    </row>
    <row r="654">
      <c r="A654" s="3">
        <v>42954.66666666667</v>
      </c>
      <c r="B654" s="2">
        <v>42.84</v>
      </c>
    </row>
    <row r="655">
      <c r="A655" s="3">
        <v>42955.66666666667</v>
      </c>
      <c r="B655" s="2">
        <v>42.75</v>
      </c>
    </row>
    <row r="656">
      <c r="A656" s="3">
        <v>42956.66666666667</v>
      </c>
      <c r="B656" s="2">
        <v>42.29</v>
      </c>
    </row>
    <row r="657">
      <c r="A657" s="3">
        <v>42957.66666666667</v>
      </c>
      <c r="B657" s="2">
        <v>41.25</v>
      </c>
    </row>
    <row r="658">
      <c r="A658" s="3">
        <v>42958.66666666667</v>
      </c>
      <c r="B658" s="2">
        <v>41.49</v>
      </c>
    </row>
    <row r="659">
      <c r="A659" s="3">
        <v>42961.66666666667</v>
      </c>
      <c r="B659" s="2">
        <v>41.78</v>
      </c>
    </row>
    <row r="660">
      <c r="A660" s="3">
        <v>42962.66666666667</v>
      </c>
      <c r="B660" s="2">
        <v>41.58</v>
      </c>
    </row>
    <row r="661">
      <c r="A661" s="3">
        <v>42963.66666666667</v>
      </c>
      <c r="B661" s="2">
        <v>41.79</v>
      </c>
    </row>
    <row r="662">
      <c r="A662" s="3">
        <v>42964.66666666667</v>
      </c>
      <c r="B662" s="2">
        <v>40.83</v>
      </c>
    </row>
    <row r="663">
      <c r="A663" s="3">
        <v>42965.66666666667</v>
      </c>
      <c r="B663" s="2">
        <v>40.39</v>
      </c>
    </row>
    <row r="664">
      <c r="A664" s="3">
        <v>42968.66666666667</v>
      </c>
      <c r="B664" s="2">
        <v>39.92</v>
      </c>
    </row>
    <row r="665">
      <c r="A665" s="3">
        <v>42969.66666666667</v>
      </c>
      <c r="B665" s="2">
        <v>40.29</v>
      </c>
    </row>
    <row r="666">
      <c r="A666" s="3">
        <v>42970.66666666667</v>
      </c>
      <c r="B666" s="2">
        <v>39.43</v>
      </c>
    </row>
    <row r="667">
      <c r="A667" s="3">
        <v>42971.66666666667</v>
      </c>
      <c r="B667" s="2">
        <v>39.76</v>
      </c>
    </row>
    <row r="668">
      <c r="A668" s="3">
        <v>42972.66666666667</v>
      </c>
      <c r="B668" s="2">
        <v>39.82</v>
      </c>
    </row>
    <row r="669">
      <c r="A669" s="3">
        <v>42975.66666666667</v>
      </c>
      <c r="B669" s="2">
        <v>39.86</v>
      </c>
    </row>
    <row r="670">
      <c r="A670" s="3">
        <v>42976.66666666667</v>
      </c>
      <c r="B670" s="2">
        <v>39.45</v>
      </c>
    </row>
    <row r="671">
      <c r="A671" s="3">
        <v>42977.66666666667</v>
      </c>
      <c r="B671" s="2">
        <v>40.2</v>
      </c>
    </row>
    <row r="672">
      <c r="A672" s="3">
        <v>42978.66666666667</v>
      </c>
      <c r="B672" s="2">
        <v>40.86</v>
      </c>
    </row>
    <row r="673">
      <c r="A673" s="3">
        <v>42979.66666666667</v>
      </c>
      <c r="B673" s="2">
        <v>40.55</v>
      </c>
    </row>
    <row r="674">
      <c r="A674" s="3">
        <v>42983.66666666667</v>
      </c>
      <c r="B674" s="2">
        <v>39.97</v>
      </c>
    </row>
    <row r="675">
      <c r="A675" s="3">
        <v>42984.66666666667</v>
      </c>
      <c r="B675" s="2">
        <v>40.11</v>
      </c>
    </row>
    <row r="676">
      <c r="A676" s="3">
        <v>42985.66666666667</v>
      </c>
      <c r="B676" s="2">
        <v>40.08</v>
      </c>
    </row>
    <row r="677">
      <c r="A677" s="3">
        <v>42986.66666666667</v>
      </c>
      <c r="B677" s="2">
        <v>39.62</v>
      </c>
    </row>
    <row r="678">
      <c r="A678" s="3">
        <v>42989.66666666667</v>
      </c>
      <c r="B678" s="2">
        <v>39.99</v>
      </c>
    </row>
    <row r="679">
      <c r="A679" s="3">
        <v>42990.66666666667</v>
      </c>
      <c r="B679" s="2">
        <v>40.6</v>
      </c>
    </row>
    <row r="680">
      <c r="A680" s="3">
        <v>42991.66666666667</v>
      </c>
      <c r="B680" s="2">
        <v>40.7</v>
      </c>
    </row>
    <row r="681">
      <c r="A681" s="3">
        <v>42992.66666666667</v>
      </c>
      <c r="B681" s="2">
        <v>40.95</v>
      </c>
    </row>
    <row r="682">
      <c r="A682" s="3">
        <v>42993.66666666667</v>
      </c>
      <c r="B682" s="2">
        <v>41.37</v>
      </c>
    </row>
    <row r="683">
      <c r="A683" s="3">
        <v>42996.66666666667</v>
      </c>
      <c r="B683" s="2">
        <v>41.62</v>
      </c>
    </row>
    <row r="684">
      <c r="A684" s="3">
        <v>42997.66666666667</v>
      </c>
      <c r="B684" s="2">
        <v>41.33</v>
      </c>
    </row>
    <row r="685">
      <c r="A685" s="3">
        <v>42998.66666666667</v>
      </c>
      <c r="B685" s="2">
        <v>40.58</v>
      </c>
    </row>
    <row r="686">
      <c r="A686" s="3">
        <v>42999.66666666667</v>
      </c>
      <c r="B686" s="2">
        <v>40.59</v>
      </c>
    </row>
    <row r="687">
      <c r="A687" s="3">
        <v>43000.66666666667</v>
      </c>
      <c r="B687" s="2">
        <v>40.5</v>
      </c>
    </row>
    <row r="688">
      <c r="A688" s="3">
        <v>43003.66666666667</v>
      </c>
      <c r="B688" s="2">
        <v>39.95</v>
      </c>
    </row>
    <row r="689">
      <c r="A689" s="3">
        <v>43004.66666666667</v>
      </c>
      <c r="B689" s="2">
        <v>39.76</v>
      </c>
    </row>
    <row r="690">
      <c r="A690" s="3">
        <v>43005.66666666667</v>
      </c>
      <c r="B690" s="2">
        <v>40.84</v>
      </c>
    </row>
    <row r="691">
      <c r="A691" s="3">
        <v>43006.66666666667</v>
      </c>
      <c r="B691" s="2">
        <v>41.37</v>
      </c>
    </row>
    <row r="692">
      <c r="A692" s="3">
        <v>43007.66666666667</v>
      </c>
      <c r="B692" s="2">
        <v>41.66</v>
      </c>
    </row>
    <row r="693">
      <c r="A693" s="3">
        <v>43010.66666666667</v>
      </c>
      <c r="B693" s="2">
        <v>42.21</v>
      </c>
    </row>
    <row r="694">
      <c r="A694" s="3">
        <v>43011.66666666667</v>
      </c>
      <c r="B694" s="2">
        <v>42.25</v>
      </c>
    </row>
    <row r="695">
      <c r="A695" s="3">
        <v>43012.66666666667</v>
      </c>
      <c r="B695" s="2">
        <v>42.55</v>
      </c>
    </row>
    <row r="696">
      <c r="A696" s="3">
        <v>43013.66666666667</v>
      </c>
      <c r="B696" s="2">
        <v>42.01</v>
      </c>
    </row>
    <row r="697">
      <c r="A697" s="3">
        <v>43014.66666666667</v>
      </c>
      <c r="B697" s="2">
        <v>41.8</v>
      </c>
    </row>
    <row r="698">
      <c r="A698" s="3">
        <v>43017.66666666667</v>
      </c>
      <c r="B698" s="2">
        <v>41.76</v>
      </c>
    </row>
    <row r="699">
      <c r="A699" s="3">
        <v>43018.66666666667</v>
      </c>
      <c r="B699" s="2">
        <v>42.17</v>
      </c>
    </row>
    <row r="700">
      <c r="A700" s="3">
        <v>43019.66666666667</v>
      </c>
      <c r="B700" s="2">
        <v>42.37</v>
      </c>
    </row>
    <row r="701">
      <c r="A701" s="3">
        <v>43020.66666666667</v>
      </c>
      <c r="B701" s="2">
        <v>42.53</v>
      </c>
    </row>
    <row r="702">
      <c r="A702" s="3">
        <v>43021.66666666667</v>
      </c>
      <c r="B702" s="2">
        <v>42.72</v>
      </c>
    </row>
    <row r="703">
      <c r="A703" s="3">
        <v>43024.66666666667</v>
      </c>
      <c r="B703" s="2">
        <v>42.5</v>
      </c>
    </row>
    <row r="704">
      <c r="A704" s="3">
        <v>43025.66666666667</v>
      </c>
      <c r="B704" s="2">
        <v>42.5</v>
      </c>
    </row>
    <row r="705">
      <c r="A705" s="3">
        <v>43026.66666666667</v>
      </c>
      <c r="B705" s="2">
        <v>42.85</v>
      </c>
    </row>
    <row r="706">
      <c r="A706" s="3">
        <v>43027.66666666667</v>
      </c>
      <c r="B706" s="2">
        <v>42.75</v>
      </c>
    </row>
    <row r="707">
      <c r="A707" s="3">
        <v>43028.66666666667</v>
      </c>
      <c r="B707" s="2">
        <v>42.86</v>
      </c>
    </row>
    <row r="708">
      <c r="A708" s="3">
        <v>43031.66666666667</v>
      </c>
      <c r="B708" s="2">
        <v>42.53</v>
      </c>
    </row>
    <row r="709">
      <c r="A709" s="3">
        <v>43032.66666666667</v>
      </c>
      <c r="B709" s="2">
        <v>42.99</v>
      </c>
    </row>
    <row r="710">
      <c r="A710" s="3">
        <v>43033.66666666667</v>
      </c>
      <c r="B710" s="2">
        <v>43.07</v>
      </c>
    </row>
    <row r="711">
      <c r="A711" s="3">
        <v>43034.66666666667</v>
      </c>
      <c r="B711" s="2">
        <v>42.99</v>
      </c>
    </row>
    <row r="712">
      <c r="A712" s="3">
        <v>43035.66666666667</v>
      </c>
      <c r="B712" s="2">
        <v>44.29</v>
      </c>
    </row>
    <row r="713">
      <c r="A713" s="3">
        <v>43038.66666666667</v>
      </c>
      <c r="B713" s="2">
        <v>44.25</v>
      </c>
    </row>
    <row r="714">
      <c r="A714" s="3">
        <v>43039.66666666667</v>
      </c>
      <c r="B714" s="2">
        <v>44.67</v>
      </c>
    </row>
    <row r="715">
      <c r="A715" s="3">
        <v>43040.66666666667</v>
      </c>
      <c r="B715" s="2">
        <v>44.57</v>
      </c>
    </row>
    <row r="716">
      <c r="A716" s="3">
        <v>43041.66666666667</v>
      </c>
      <c r="B716" s="2">
        <v>44.36</v>
      </c>
    </row>
    <row r="717">
      <c r="A717" s="3">
        <v>43042.66666666667</v>
      </c>
      <c r="B717" s="2">
        <v>44.78</v>
      </c>
    </row>
    <row r="718">
      <c r="A718" s="3">
        <v>43045.66666666667</v>
      </c>
      <c r="B718" s="2">
        <v>45.08</v>
      </c>
    </row>
    <row r="719">
      <c r="A719" s="3">
        <v>43046.66666666667</v>
      </c>
      <c r="B719" s="2">
        <v>45.41</v>
      </c>
    </row>
    <row r="720">
      <c r="A720" s="3">
        <v>43047.66666666667</v>
      </c>
      <c r="B720" s="2">
        <v>45.39</v>
      </c>
    </row>
    <row r="721">
      <c r="A721" s="3">
        <v>43048.66666666667</v>
      </c>
      <c r="B721" s="2">
        <v>44.48</v>
      </c>
    </row>
    <row r="722">
      <c r="A722" s="3">
        <v>43049.66666666667</v>
      </c>
      <c r="B722" s="2">
        <v>44.56</v>
      </c>
    </row>
    <row r="723">
      <c r="A723" s="3">
        <v>43052.66666666667</v>
      </c>
      <c r="B723" s="2">
        <v>44.32</v>
      </c>
    </row>
    <row r="724">
      <c r="A724" s="3">
        <v>43053.66666666667</v>
      </c>
      <c r="B724" s="2">
        <v>44.0</v>
      </c>
    </row>
    <row r="725">
      <c r="A725" s="3">
        <v>43054.66666666667</v>
      </c>
      <c r="B725" s="2">
        <v>43.58</v>
      </c>
    </row>
    <row r="726">
      <c r="A726" s="3">
        <v>43055.66666666667</v>
      </c>
      <c r="B726" s="2">
        <v>43.9</v>
      </c>
    </row>
    <row r="727">
      <c r="A727" s="3">
        <v>43056.66666666667</v>
      </c>
      <c r="B727" s="2">
        <v>43.62</v>
      </c>
    </row>
    <row r="728">
      <c r="A728" s="3">
        <v>43059.66666666667</v>
      </c>
      <c r="B728" s="2">
        <v>44.01</v>
      </c>
    </row>
    <row r="729">
      <c r="A729" s="3">
        <v>43060.66666666667</v>
      </c>
      <c r="B729" s="2">
        <v>45.15</v>
      </c>
    </row>
    <row r="730">
      <c r="A730" s="3">
        <v>43061.66666666667</v>
      </c>
      <c r="B730" s="2">
        <v>45.19</v>
      </c>
    </row>
    <row r="731">
      <c r="A731" s="3">
        <v>43063.54166666667</v>
      </c>
      <c r="B731" s="2">
        <v>45.34</v>
      </c>
    </row>
    <row r="732">
      <c r="A732" s="3">
        <v>43066.66666666667</v>
      </c>
      <c r="B732" s="2">
        <v>44.88</v>
      </c>
    </row>
    <row r="733">
      <c r="A733" s="3">
        <v>43067.66666666667</v>
      </c>
      <c r="B733" s="2">
        <v>44.71</v>
      </c>
    </row>
    <row r="734">
      <c r="A734" s="3">
        <v>43068.66666666667</v>
      </c>
      <c r="B734" s="2">
        <v>43.1</v>
      </c>
    </row>
    <row r="735">
      <c r="A735" s="3">
        <v>43069.66666666667</v>
      </c>
      <c r="B735" s="2">
        <v>43.5</v>
      </c>
    </row>
    <row r="736">
      <c r="A736" s="3">
        <v>43070.66666666667</v>
      </c>
      <c r="B736" s="2">
        <v>43.46</v>
      </c>
    </row>
    <row r="737">
      <c r="A737" s="3">
        <v>43073.66666666667</v>
      </c>
      <c r="B737" s="2">
        <v>41.9</v>
      </c>
    </row>
    <row r="738">
      <c r="A738" s="3">
        <v>43074.66666666667</v>
      </c>
      <c r="B738" s="2">
        <v>42.19</v>
      </c>
    </row>
    <row r="739">
      <c r="A739" s="3">
        <v>43075.66666666667</v>
      </c>
      <c r="B739" s="2">
        <v>42.08</v>
      </c>
    </row>
    <row r="740">
      <c r="A740" s="3">
        <v>43076.66666666667</v>
      </c>
      <c r="B740" s="2">
        <v>42.72</v>
      </c>
    </row>
    <row r="741">
      <c r="A741" s="3">
        <v>43077.66666666667</v>
      </c>
      <c r="B741" s="2">
        <v>43.35</v>
      </c>
    </row>
    <row r="742">
      <c r="A742" s="3">
        <v>43080.66666666667</v>
      </c>
      <c r="B742" s="2">
        <v>42.23</v>
      </c>
    </row>
    <row r="743">
      <c r="A743" s="3">
        <v>43081.66666666667</v>
      </c>
      <c r="B743" s="2">
        <v>42.03</v>
      </c>
    </row>
    <row r="744">
      <c r="A744" s="3">
        <v>43082.66666666667</v>
      </c>
      <c r="B744" s="2">
        <v>41.82</v>
      </c>
    </row>
    <row r="745">
      <c r="A745" s="3">
        <v>43083.66666666667</v>
      </c>
      <c r="B745" s="2">
        <v>42.23</v>
      </c>
    </row>
    <row r="746">
      <c r="A746" s="3">
        <v>43084.66666666667</v>
      </c>
      <c r="B746" s="2">
        <v>42.68</v>
      </c>
    </row>
    <row r="747">
      <c r="A747" s="3">
        <v>43087.66666666667</v>
      </c>
      <c r="B747" s="2">
        <v>43.05</v>
      </c>
    </row>
    <row r="748">
      <c r="A748" s="3">
        <v>43088.66666666667</v>
      </c>
      <c r="B748" s="2">
        <v>43.0</v>
      </c>
    </row>
    <row r="749">
      <c r="A749" s="3">
        <v>43089.66666666667</v>
      </c>
      <c r="B749" s="2">
        <v>42.93</v>
      </c>
    </row>
    <row r="750">
      <c r="A750" s="3">
        <v>43090.66666666667</v>
      </c>
      <c r="B750" s="2">
        <v>42.62</v>
      </c>
    </row>
    <row r="751">
      <c r="A751" s="3">
        <v>43091.66666666667</v>
      </c>
      <c r="B751" s="2">
        <v>42.07</v>
      </c>
    </row>
    <row r="752">
      <c r="A752" s="3">
        <v>43095.66666666667</v>
      </c>
      <c r="B752" s="2">
        <v>41.6</v>
      </c>
    </row>
    <row r="753">
      <c r="A753" s="3">
        <v>43096.66666666667</v>
      </c>
      <c r="B753" s="2">
        <v>41.54</v>
      </c>
    </row>
    <row r="754">
      <c r="A754" s="3">
        <v>43097.66666666667</v>
      </c>
      <c r="B754" s="2">
        <v>42.18</v>
      </c>
    </row>
    <row r="755">
      <c r="A755" s="3">
        <v>43098.66666666667</v>
      </c>
      <c r="B755" s="2">
        <v>41.6</v>
      </c>
    </row>
    <row r="756">
      <c r="A756" s="3">
        <v>43102.66666666667</v>
      </c>
      <c r="B756" s="2">
        <v>42.15</v>
      </c>
    </row>
    <row r="757">
      <c r="A757" s="3">
        <v>43103.66666666667</v>
      </c>
      <c r="B757" s="2">
        <v>42.75</v>
      </c>
    </row>
    <row r="758">
      <c r="A758" s="3">
        <v>43104.66666666667</v>
      </c>
      <c r="B758" s="2">
        <v>42.96</v>
      </c>
    </row>
    <row r="759">
      <c r="A759" s="3">
        <v>43105.66666666667</v>
      </c>
      <c r="B759" s="2">
        <v>43.92</v>
      </c>
    </row>
    <row r="760">
      <c r="A760" s="3">
        <v>43108.66666666667</v>
      </c>
      <c r="B760" s="2">
        <v>44.57</v>
      </c>
    </row>
    <row r="761">
      <c r="A761" s="3">
        <v>43109.66666666667</v>
      </c>
      <c r="B761" s="2">
        <v>45.15</v>
      </c>
    </row>
    <row r="762">
      <c r="A762" s="3">
        <v>43110.66666666667</v>
      </c>
      <c r="B762" s="2">
        <v>44.34</v>
      </c>
    </row>
    <row r="763">
      <c r="A763" s="3">
        <v>43111.66666666667</v>
      </c>
      <c r="B763" s="2">
        <v>44.92</v>
      </c>
    </row>
    <row r="764">
      <c r="A764" s="3">
        <v>43112.66666666667</v>
      </c>
      <c r="B764" s="2">
        <v>44.82</v>
      </c>
    </row>
    <row r="765">
      <c r="A765" s="3">
        <v>43116.66666666667</v>
      </c>
      <c r="B765" s="2">
        <v>44.75</v>
      </c>
    </row>
    <row r="766">
      <c r="A766" s="3">
        <v>43117.66666666667</v>
      </c>
      <c r="B766" s="2">
        <v>46.01</v>
      </c>
    </row>
    <row r="767">
      <c r="A767" s="3">
        <v>43118.66666666667</v>
      </c>
      <c r="B767" s="2">
        <v>45.77</v>
      </c>
    </row>
    <row r="768">
      <c r="A768" s="3">
        <v>43119.66666666667</v>
      </c>
      <c r="B768" s="2">
        <v>46.33</v>
      </c>
    </row>
    <row r="769">
      <c r="A769" s="3">
        <v>43122.66666666667</v>
      </c>
      <c r="B769" s="2">
        <v>46.48</v>
      </c>
    </row>
    <row r="770">
      <c r="A770" s="3">
        <v>43123.66666666667</v>
      </c>
      <c r="B770" s="2">
        <v>46.55</v>
      </c>
    </row>
    <row r="771">
      <c r="A771" s="3">
        <v>43124.66666666667</v>
      </c>
      <c r="B771" s="2">
        <v>46.03</v>
      </c>
    </row>
    <row r="772">
      <c r="A772" s="3">
        <v>43125.66666666667</v>
      </c>
      <c r="B772" s="2">
        <v>45.74</v>
      </c>
    </row>
    <row r="773">
      <c r="A773" s="3">
        <v>43126.66666666667</v>
      </c>
      <c r="B773" s="2">
        <v>46.58</v>
      </c>
    </row>
    <row r="774">
      <c r="A774" s="3">
        <v>43129.66666666667</v>
      </c>
      <c r="B774" s="2">
        <v>47.65</v>
      </c>
    </row>
    <row r="775">
      <c r="A775" s="3">
        <v>43130.66666666667</v>
      </c>
      <c r="B775" s="2">
        <v>47.2</v>
      </c>
    </row>
    <row r="776">
      <c r="A776" s="3">
        <v>43131.66666666667</v>
      </c>
      <c r="B776" s="2">
        <v>46.72</v>
      </c>
    </row>
    <row r="777">
      <c r="A777" s="3">
        <v>43132.66666666667</v>
      </c>
      <c r="B777" s="2">
        <v>47.15</v>
      </c>
    </row>
    <row r="778">
      <c r="A778" s="3">
        <v>43133.66666666667</v>
      </c>
      <c r="B778" s="2">
        <v>46.38</v>
      </c>
    </row>
    <row r="779">
      <c r="A779" s="3">
        <v>43136.66666666667</v>
      </c>
      <c r="B779" s="2">
        <v>44.84</v>
      </c>
    </row>
    <row r="780">
      <c r="A780" s="3">
        <v>43137.66666666667</v>
      </c>
      <c r="B780" s="2">
        <v>45.15</v>
      </c>
    </row>
    <row r="781">
      <c r="A781" s="3">
        <v>43138.66666666667</v>
      </c>
      <c r="B781" s="2">
        <v>45.23</v>
      </c>
    </row>
    <row r="782">
      <c r="A782" s="3">
        <v>43139.66666666667</v>
      </c>
      <c r="B782" s="2">
        <v>43.81</v>
      </c>
    </row>
    <row r="783">
      <c r="A783" s="3">
        <v>43140.66666666667</v>
      </c>
      <c r="B783" s="2">
        <v>43.26</v>
      </c>
    </row>
    <row r="784">
      <c r="A784" s="3">
        <v>43143.66666666667</v>
      </c>
      <c r="B784" s="2">
        <v>44.03</v>
      </c>
    </row>
    <row r="785">
      <c r="A785" s="3">
        <v>43144.66666666667</v>
      </c>
      <c r="B785" s="2">
        <v>44.47</v>
      </c>
    </row>
    <row r="786">
      <c r="A786" s="3">
        <v>43145.66666666667</v>
      </c>
      <c r="B786" s="2">
        <v>45.37</v>
      </c>
    </row>
    <row r="787">
      <c r="A787" s="3">
        <v>43146.66666666667</v>
      </c>
      <c r="B787" s="2">
        <v>45.98</v>
      </c>
    </row>
    <row r="788">
      <c r="A788" s="3">
        <v>43147.66666666667</v>
      </c>
      <c r="B788" s="2">
        <v>45.87</v>
      </c>
    </row>
    <row r="789">
      <c r="A789" s="3">
        <v>43151.66666666667</v>
      </c>
      <c r="B789" s="2">
        <v>45.7</v>
      </c>
    </row>
    <row r="790">
      <c r="A790" s="3">
        <v>43152.66666666667</v>
      </c>
      <c r="B790" s="2">
        <v>45.57</v>
      </c>
    </row>
    <row r="791">
      <c r="A791" s="3">
        <v>43153.66666666667</v>
      </c>
      <c r="B791" s="2">
        <v>45.57</v>
      </c>
    </row>
    <row r="792">
      <c r="A792" s="3">
        <v>43154.66666666667</v>
      </c>
      <c r="B792" s="2">
        <v>46.29</v>
      </c>
    </row>
    <row r="793">
      <c r="A793" s="3">
        <v>43157.66666666667</v>
      </c>
      <c r="B793" s="2">
        <v>47.75</v>
      </c>
    </row>
    <row r="794">
      <c r="A794" s="3">
        <v>43158.66666666667</v>
      </c>
      <c r="B794" s="2">
        <v>47.43</v>
      </c>
    </row>
    <row r="795">
      <c r="A795" s="3">
        <v>43159.66666666667</v>
      </c>
      <c r="B795" s="2">
        <v>47.01</v>
      </c>
    </row>
    <row r="796">
      <c r="A796" s="3">
        <v>43160.66666666667</v>
      </c>
      <c r="B796" s="2">
        <v>46.58</v>
      </c>
    </row>
    <row r="797">
      <c r="A797" s="3">
        <v>43161.66666666667</v>
      </c>
      <c r="B797" s="2">
        <v>49.42</v>
      </c>
    </row>
    <row r="798">
      <c r="A798" s="3">
        <v>43164.66666666667</v>
      </c>
      <c r="B798" s="2">
        <v>50.54</v>
      </c>
    </row>
    <row r="799">
      <c r="A799" s="3">
        <v>43165.66666666667</v>
      </c>
      <c r="B799" s="2">
        <v>52.55</v>
      </c>
    </row>
    <row r="800">
      <c r="A800" s="3">
        <v>43166.66666666667</v>
      </c>
      <c r="B800" s="2">
        <v>52.61</v>
      </c>
    </row>
    <row r="801">
      <c r="A801" s="3">
        <v>43167.66666666667</v>
      </c>
      <c r="B801" s="2">
        <v>52.59</v>
      </c>
    </row>
    <row r="802">
      <c r="A802" s="3">
        <v>43168.66666666667</v>
      </c>
      <c r="B802" s="2">
        <v>54.07</v>
      </c>
    </row>
    <row r="803">
      <c r="A803" s="3">
        <v>43171.66666666667</v>
      </c>
      <c r="B803" s="2">
        <v>54.62</v>
      </c>
    </row>
    <row r="804">
      <c r="A804" s="3">
        <v>43172.66666666667</v>
      </c>
      <c r="B804" s="2">
        <v>53.87</v>
      </c>
    </row>
    <row r="805">
      <c r="A805" s="3">
        <v>43173.66666666667</v>
      </c>
      <c r="B805" s="2">
        <v>53.58</v>
      </c>
    </row>
    <row r="806">
      <c r="A806" s="3">
        <v>43174.66666666667</v>
      </c>
      <c r="B806" s="2">
        <v>53.38</v>
      </c>
    </row>
    <row r="807">
      <c r="A807" s="3">
        <v>43175.66666666667</v>
      </c>
      <c r="B807" s="2">
        <v>53.39</v>
      </c>
    </row>
    <row r="808">
      <c r="A808" s="3">
        <v>43178.66666666667</v>
      </c>
      <c r="B808" s="2">
        <v>52.69</v>
      </c>
    </row>
    <row r="809">
      <c r="A809" s="3">
        <v>43179.66666666667</v>
      </c>
      <c r="B809" s="2">
        <v>52.7</v>
      </c>
    </row>
    <row r="810">
      <c r="A810" s="3">
        <v>43180.66666666667</v>
      </c>
      <c r="B810" s="2">
        <v>53.16</v>
      </c>
    </row>
    <row r="811">
      <c r="A811" s="3">
        <v>43181.66666666667</v>
      </c>
      <c r="B811" s="2">
        <v>51.89</v>
      </c>
    </row>
    <row r="812">
      <c r="A812" s="3">
        <v>43182.66666666667</v>
      </c>
      <c r="B812" s="2">
        <v>50.81</v>
      </c>
    </row>
    <row r="813">
      <c r="A813" s="3">
        <v>43185.66666666667</v>
      </c>
      <c r="B813" s="2">
        <v>52.19</v>
      </c>
    </row>
    <row r="814">
      <c r="A814" s="3">
        <v>43186.66666666667</v>
      </c>
      <c r="B814" s="2">
        <v>51.34</v>
      </c>
    </row>
    <row r="815">
      <c r="A815" s="3">
        <v>43187.66666666667</v>
      </c>
      <c r="B815" s="2">
        <v>51.23</v>
      </c>
    </row>
    <row r="816">
      <c r="A816" s="3">
        <v>43188.66666666667</v>
      </c>
      <c r="B816" s="2">
        <v>52.39</v>
      </c>
    </row>
    <row r="817">
      <c r="A817" s="3">
        <v>43192.66666666667</v>
      </c>
      <c r="B817" s="2">
        <v>51.14</v>
      </c>
    </row>
    <row r="818">
      <c r="A818" s="3">
        <v>43193.66666666667</v>
      </c>
      <c r="B818" s="2">
        <v>51.63</v>
      </c>
    </row>
    <row r="819">
      <c r="A819" s="3">
        <v>43194.66666666667</v>
      </c>
      <c r="B819" s="2">
        <v>52.02</v>
      </c>
    </row>
    <row r="820">
      <c r="A820" s="3">
        <v>43195.66666666667</v>
      </c>
      <c r="B820" s="2">
        <v>52.05</v>
      </c>
    </row>
    <row r="821">
      <c r="A821" s="3">
        <v>43196.66666666667</v>
      </c>
      <c r="B821" s="2">
        <v>50.57</v>
      </c>
    </row>
    <row r="822">
      <c r="A822" s="3">
        <v>43199.66666666667</v>
      </c>
      <c r="B822" s="2">
        <v>51.29</v>
      </c>
    </row>
    <row r="823">
      <c r="A823" s="3">
        <v>43200.66666666667</v>
      </c>
      <c r="B823" s="2">
        <v>52.83</v>
      </c>
    </row>
    <row r="824">
      <c r="A824" s="3">
        <v>43201.66666666667</v>
      </c>
      <c r="B824" s="2">
        <v>53.11</v>
      </c>
    </row>
    <row r="825">
      <c r="A825" s="3">
        <v>43202.66666666667</v>
      </c>
      <c r="B825" s="2">
        <v>53.84</v>
      </c>
    </row>
    <row r="826">
      <c r="A826" s="3">
        <v>43203.66666666667</v>
      </c>
      <c r="B826" s="2">
        <v>53.89</v>
      </c>
    </row>
    <row r="827">
      <c r="A827" s="3">
        <v>43206.66666666667</v>
      </c>
      <c r="B827" s="2">
        <v>53.8</v>
      </c>
    </row>
    <row r="828">
      <c r="A828" s="3">
        <v>43207.66666666667</v>
      </c>
      <c r="B828" s="2">
        <v>54.51</v>
      </c>
    </row>
    <row r="829">
      <c r="A829" s="3">
        <v>43208.66666666667</v>
      </c>
      <c r="B829" s="2">
        <v>54.57</v>
      </c>
    </row>
    <row r="830">
      <c r="A830" s="3">
        <v>43209.66666666667</v>
      </c>
      <c r="B830" s="2">
        <v>54.11</v>
      </c>
    </row>
    <row r="831">
      <c r="A831" s="3">
        <v>43210.66666666667</v>
      </c>
      <c r="B831" s="2">
        <v>53.56</v>
      </c>
    </row>
    <row r="832">
      <c r="A832" s="3">
        <v>43213.66666666667</v>
      </c>
      <c r="B832" s="2">
        <v>54.23</v>
      </c>
    </row>
    <row r="833">
      <c r="A833" s="3">
        <v>43214.66666666667</v>
      </c>
      <c r="B833" s="2">
        <v>53.61</v>
      </c>
    </row>
    <row r="834">
      <c r="A834" s="3">
        <v>43215.66666666667</v>
      </c>
      <c r="B834" s="2">
        <v>53.53</v>
      </c>
    </row>
    <row r="835">
      <c r="A835" s="3">
        <v>43216.66666666667</v>
      </c>
      <c r="B835" s="2">
        <v>53.79</v>
      </c>
    </row>
    <row r="836">
      <c r="A836" s="3">
        <v>43217.66666666667</v>
      </c>
      <c r="B836" s="2">
        <v>52.32</v>
      </c>
    </row>
    <row r="837">
      <c r="A837" s="3">
        <v>43220.66666666667</v>
      </c>
      <c r="B837" s="2">
        <v>51.68</v>
      </c>
    </row>
    <row r="838">
      <c r="A838" s="3">
        <v>43221.66666666667</v>
      </c>
      <c r="B838" s="2">
        <v>51.35</v>
      </c>
    </row>
    <row r="839">
      <c r="A839" s="3">
        <v>43222.66666666667</v>
      </c>
      <c r="B839" s="2">
        <v>51.21</v>
      </c>
    </row>
    <row r="840">
      <c r="A840" s="3">
        <v>43223.66666666667</v>
      </c>
      <c r="B840" s="2">
        <v>51.63</v>
      </c>
    </row>
    <row r="841">
      <c r="A841" s="3">
        <v>43224.66666666667</v>
      </c>
      <c r="B841" s="2">
        <v>52.43</v>
      </c>
    </row>
    <row r="842">
      <c r="A842" s="3">
        <v>43227.66666666667</v>
      </c>
      <c r="B842" s="2">
        <v>52.24</v>
      </c>
    </row>
    <row r="843">
      <c r="A843" s="3">
        <v>43228.66666666667</v>
      </c>
      <c r="B843" s="2">
        <v>52.73</v>
      </c>
    </row>
    <row r="844">
      <c r="A844" s="3">
        <v>43229.66666666667</v>
      </c>
      <c r="B844" s="2">
        <v>53.15</v>
      </c>
    </row>
    <row r="845">
      <c r="A845" s="3">
        <v>43230.66666666667</v>
      </c>
      <c r="B845" s="2">
        <v>53.09</v>
      </c>
    </row>
    <row r="846">
      <c r="A846" s="3">
        <v>43231.66666666667</v>
      </c>
      <c r="B846" s="2">
        <v>53.64</v>
      </c>
    </row>
    <row r="847">
      <c r="A847" s="3">
        <v>43234.66666666667</v>
      </c>
      <c r="B847" s="2">
        <v>53.41</v>
      </c>
    </row>
    <row r="848">
      <c r="A848" s="3">
        <v>43235.66666666667</v>
      </c>
      <c r="B848" s="2">
        <v>53.45</v>
      </c>
    </row>
    <row r="849">
      <c r="A849" s="3">
        <v>43236.66666666667</v>
      </c>
      <c r="B849" s="2">
        <v>53.53</v>
      </c>
    </row>
    <row r="850">
      <c r="A850" s="3">
        <v>43237.66666666667</v>
      </c>
      <c r="B850" s="2">
        <v>53.76</v>
      </c>
    </row>
    <row r="851">
      <c r="A851" s="3">
        <v>43238.66666666667</v>
      </c>
      <c r="B851" s="2">
        <v>53.76</v>
      </c>
    </row>
    <row r="852">
      <c r="A852" s="3">
        <v>43241.66666666667</v>
      </c>
      <c r="B852" s="2">
        <v>54.0</v>
      </c>
    </row>
    <row r="853">
      <c r="A853" s="3">
        <v>43242.66666666667</v>
      </c>
      <c r="B853" s="2">
        <v>53.83</v>
      </c>
    </row>
    <row r="854">
      <c r="A854" s="3">
        <v>43243.66666666667</v>
      </c>
      <c r="B854" s="2">
        <v>53.59</v>
      </c>
    </row>
    <row r="855">
      <c r="A855" s="3">
        <v>43244.66666666667</v>
      </c>
      <c r="B855" s="2">
        <v>53.44</v>
      </c>
    </row>
    <row r="856">
      <c r="A856" s="3">
        <v>43245.66666666667</v>
      </c>
      <c r="B856" s="2">
        <v>53.3</v>
      </c>
    </row>
    <row r="857">
      <c r="A857" s="3">
        <v>43249.66666666667</v>
      </c>
      <c r="B857" s="2">
        <v>53.03</v>
      </c>
    </row>
    <row r="858">
      <c r="A858" s="3">
        <v>43250.66666666667</v>
      </c>
      <c r="B858" s="2">
        <v>52.99</v>
      </c>
    </row>
    <row r="859">
      <c r="A859" s="3">
        <v>43251.66666666667</v>
      </c>
      <c r="B859" s="2">
        <v>58.74</v>
      </c>
    </row>
    <row r="860">
      <c r="A860" s="3">
        <v>43252.66666666667</v>
      </c>
      <c r="B860" s="2">
        <v>59.81</v>
      </c>
    </row>
    <row r="861">
      <c r="A861" s="3">
        <v>43255.66666666667</v>
      </c>
      <c r="B861" s="2">
        <v>61.11</v>
      </c>
    </row>
    <row r="862">
      <c r="A862" s="3">
        <v>43256.66666666667</v>
      </c>
      <c r="B862" s="2">
        <v>61.36</v>
      </c>
    </row>
    <row r="863">
      <c r="A863" s="3">
        <v>43257.66666666667</v>
      </c>
      <c r="B863" s="2">
        <v>61.92</v>
      </c>
    </row>
    <row r="864">
      <c r="A864" s="3">
        <v>43258.66666666667</v>
      </c>
      <c r="B864" s="2">
        <v>60.4</v>
      </c>
    </row>
    <row r="865">
      <c r="A865" s="3">
        <v>43259.66666666667</v>
      </c>
      <c r="B865" s="2">
        <v>60.99</v>
      </c>
    </row>
    <row r="866">
      <c r="A866" s="3">
        <v>43262.66666666667</v>
      </c>
      <c r="B866" s="2">
        <v>61.69</v>
      </c>
    </row>
    <row r="867">
      <c r="A867" s="3">
        <v>43263.66666666667</v>
      </c>
      <c r="B867" s="2">
        <v>61.6</v>
      </c>
    </row>
    <row r="868">
      <c r="A868" s="3">
        <v>43264.66666666667</v>
      </c>
      <c r="B868" s="2">
        <v>61.4</v>
      </c>
    </row>
    <row r="869">
      <c r="A869" s="3">
        <v>43265.66666666667</v>
      </c>
      <c r="B869" s="2">
        <v>61.22</v>
      </c>
    </row>
    <row r="870">
      <c r="A870" s="3">
        <v>43266.66666666667</v>
      </c>
      <c r="B870" s="2">
        <v>61.23</v>
      </c>
    </row>
    <row r="871">
      <c r="A871" s="3">
        <v>43269.66666666667</v>
      </c>
      <c r="B871" s="2">
        <v>61.5</v>
      </c>
    </row>
    <row r="872">
      <c r="A872" s="3">
        <v>43270.66666666667</v>
      </c>
      <c r="B872" s="2">
        <v>61.24</v>
      </c>
    </row>
    <row r="873">
      <c r="A873" s="3">
        <v>43271.66666666667</v>
      </c>
      <c r="B873" s="2">
        <v>60.98</v>
      </c>
    </row>
    <row r="874">
      <c r="A874" s="3">
        <v>43272.66666666667</v>
      </c>
      <c r="B874" s="2">
        <v>60.53</v>
      </c>
    </row>
    <row r="875">
      <c r="A875" s="3">
        <v>43273.66666666667</v>
      </c>
      <c r="B875" s="2">
        <v>60.1</v>
      </c>
    </row>
    <row r="876">
      <c r="A876" s="3">
        <v>43276.66666666667</v>
      </c>
      <c r="B876" s="2">
        <v>58.74</v>
      </c>
    </row>
    <row r="877">
      <c r="A877" s="3">
        <v>43277.66666666667</v>
      </c>
      <c r="B877" s="2">
        <v>59.36</v>
      </c>
    </row>
    <row r="878">
      <c r="A878" s="3">
        <v>43278.66666666667</v>
      </c>
      <c r="B878" s="2">
        <v>58.55</v>
      </c>
    </row>
    <row r="879">
      <c r="A879" s="3">
        <v>43279.66666666667</v>
      </c>
      <c r="B879" s="2">
        <v>59.07</v>
      </c>
    </row>
    <row r="880">
      <c r="A880" s="3">
        <v>43280.66666666667</v>
      </c>
      <c r="B880" s="2">
        <v>59.03</v>
      </c>
    </row>
    <row r="881">
      <c r="A881" s="3">
        <v>43283.66666666667</v>
      </c>
      <c r="B881" s="2">
        <v>59.68</v>
      </c>
    </row>
    <row r="882">
      <c r="A882" s="3">
        <v>43284.54166666667</v>
      </c>
      <c r="B882" s="2">
        <v>59.45</v>
      </c>
    </row>
    <row r="883">
      <c r="A883" s="3">
        <v>43286.66666666667</v>
      </c>
      <c r="B883" s="2">
        <v>59.5</v>
      </c>
    </row>
    <row r="884">
      <c r="A884" s="3">
        <v>43287.66666666667</v>
      </c>
      <c r="B884" s="2">
        <v>59.83</v>
      </c>
    </row>
    <row r="885">
      <c r="A885" s="3">
        <v>43290.66666666667</v>
      </c>
      <c r="B885" s="2">
        <v>60.14</v>
      </c>
    </row>
    <row r="886">
      <c r="A886" s="3">
        <v>43291.66666666667</v>
      </c>
      <c r="B886" s="2">
        <v>60.42</v>
      </c>
    </row>
    <row r="887">
      <c r="A887" s="3">
        <v>43292.66666666667</v>
      </c>
      <c r="B887" s="2">
        <v>59.74</v>
      </c>
    </row>
    <row r="888">
      <c r="A888" s="3">
        <v>43293.66666666667</v>
      </c>
      <c r="B888" s="2">
        <v>60.08</v>
      </c>
    </row>
    <row r="889">
      <c r="A889" s="3">
        <v>43294.66666666667</v>
      </c>
      <c r="B889" s="2">
        <v>59.97</v>
      </c>
    </row>
    <row r="890">
      <c r="A890" s="3">
        <v>43297.66666666667</v>
      </c>
      <c r="B890" s="2">
        <v>59.62</v>
      </c>
    </row>
    <row r="891">
      <c r="A891" s="3">
        <v>43298.66666666667</v>
      </c>
      <c r="B891" s="2">
        <v>60.3</v>
      </c>
    </row>
    <row r="892">
      <c r="A892" s="3">
        <v>43299.66666666667</v>
      </c>
      <c r="B892" s="2">
        <v>60.71</v>
      </c>
    </row>
    <row r="893">
      <c r="A893" s="3">
        <v>43300.66666666667</v>
      </c>
      <c r="B893" s="2">
        <v>60.92</v>
      </c>
    </row>
    <row r="894">
      <c r="A894" s="3">
        <v>43301.66666666667</v>
      </c>
      <c r="B894" s="2">
        <v>60.59</v>
      </c>
    </row>
    <row r="895">
      <c r="A895" s="3">
        <v>43304.66666666667</v>
      </c>
      <c r="B895" s="2">
        <v>59.61</v>
      </c>
    </row>
    <row r="896">
      <c r="A896" s="3">
        <v>43305.66666666667</v>
      </c>
      <c r="B896" s="2">
        <v>59.16</v>
      </c>
    </row>
    <row r="897">
      <c r="A897" s="3">
        <v>43306.66666666667</v>
      </c>
      <c r="B897" s="2">
        <v>59.63</v>
      </c>
    </row>
    <row r="898">
      <c r="A898" s="3">
        <v>43307.66666666667</v>
      </c>
      <c r="B898" s="2">
        <v>60.41</v>
      </c>
    </row>
    <row r="899">
      <c r="A899" s="3">
        <v>43308.66666666667</v>
      </c>
      <c r="B899" s="2">
        <v>59.16</v>
      </c>
    </row>
    <row r="900">
      <c r="A900" s="3">
        <v>43311.66666666667</v>
      </c>
      <c r="B900" s="2">
        <v>57.46</v>
      </c>
    </row>
    <row r="901">
      <c r="A901" s="3">
        <v>43312.66666666667</v>
      </c>
      <c r="B901" s="2">
        <v>58.0</v>
      </c>
    </row>
    <row r="902">
      <c r="A902" s="3">
        <v>43313.66666666667</v>
      </c>
      <c r="B902" s="2">
        <v>58.74</v>
      </c>
    </row>
    <row r="903">
      <c r="A903" s="3">
        <v>43314.66666666667</v>
      </c>
      <c r="B903" s="2">
        <v>59.69</v>
      </c>
    </row>
    <row r="904">
      <c r="A904" s="3">
        <v>43315.66666666667</v>
      </c>
      <c r="B904" s="2">
        <v>59.31</v>
      </c>
    </row>
    <row r="905">
      <c r="A905" s="3">
        <v>43318.66666666667</v>
      </c>
      <c r="B905" s="2">
        <v>60.13</v>
      </c>
    </row>
    <row r="906">
      <c r="A906" s="3">
        <v>43319.66666666667</v>
      </c>
      <c r="B906" s="2">
        <v>60.39</v>
      </c>
    </row>
    <row r="907">
      <c r="A907" s="3">
        <v>43320.66666666667</v>
      </c>
      <c r="B907" s="2">
        <v>60.46</v>
      </c>
    </row>
    <row r="908">
      <c r="A908" s="3">
        <v>43321.66666666667</v>
      </c>
      <c r="B908" s="2">
        <v>60.25</v>
      </c>
    </row>
    <row r="909">
      <c r="A909" s="3">
        <v>43322.66666666667</v>
      </c>
      <c r="B909" s="2">
        <v>59.93</v>
      </c>
    </row>
    <row r="910">
      <c r="A910" s="3">
        <v>43325.66666666667</v>
      </c>
      <c r="B910" s="2">
        <v>59.79</v>
      </c>
    </row>
    <row r="911">
      <c r="A911" s="3">
        <v>43326.66666666667</v>
      </c>
      <c r="B911" s="2">
        <v>60.49</v>
      </c>
    </row>
    <row r="912">
      <c r="A912" s="3">
        <v>43327.66666666667</v>
      </c>
      <c r="B912" s="2">
        <v>58.93</v>
      </c>
    </row>
    <row r="913">
      <c r="A913" s="3">
        <v>43328.66666666667</v>
      </c>
      <c r="B913" s="2">
        <v>59.64</v>
      </c>
    </row>
    <row r="914">
      <c r="A914" s="3">
        <v>43329.66666666667</v>
      </c>
      <c r="B914" s="2">
        <v>59.82</v>
      </c>
    </row>
    <row r="915">
      <c r="A915" s="3">
        <v>43332.66666666667</v>
      </c>
      <c r="B915" s="2">
        <v>60.19</v>
      </c>
    </row>
    <row r="916">
      <c r="A916" s="3">
        <v>43333.66666666667</v>
      </c>
      <c r="B916" s="2">
        <v>60.44</v>
      </c>
    </row>
    <row r="917">
      <c r="A917" s="3">
        <v>43334.66666666667</v>
      </c>
      <c r="B917" s="2">
        <v>64.17</v>
      </c>
    </row>
    <row r="918">
      <c r="A918" s="3">
        <v>43335.66666666667</v>
      </c>
      <c r="B918" s="2">
        <v>62.97</v>
      </c>
    </row>
    <row r="919">
      <c r="A919" s="3">
        <v>43336.66666666667</v>
      </c>
      <c r="B919" s="2">
        <v>62.89</v>
      </c>
    </row>
    <row r="920">
      <c r="A920" s="3">
        <v>43339.66666666667</v>
      </c>
      <c r="B920" s="2">
        <v>64.52</v>
      </c>
    </row>
    <row r="921">
      <c r="A921" s="3">
        <v>43340.66666666667</v>
      </c>
      <c r="B921" s="2">
        <v>64.11</v>
      </c>
    </row>
    <row r="922">
      <c r="A922" s="3">
        <v>43341.66666666667</v>
      </c>
      <c r="B922" s="2">
        <v>64.45</v>
      </c>
    </row>
    <row r="923">
      <c r="A923" s="3">
        <v>43342.66666666667</v>
      </c>
      <c r="B923" s="2">
        <v>64.32</v>
      </c>
    </row>
    <row r="924">
      <c r="A924" s="3">
        <v>43343.66666666667</v>
      </c>
      <c r="B924" s="2">
        <v>64.89</v>
      </c>
    </row>
    <row r="925">
      <c r="A925" s="3">
        <v>43347.66666666667</v>
      </c>
      <c r="B925" s="2">
        <v>65.48</v>
      </c>
    </row>
    <row r="926">
      <c r="A926" s="3">
        <v>43348.66666666667</v>
      </c>
      <c r="B926" s="2">
        <v>65.55</v>
      </c>
    </row>
    <row r="927">
      <c r="A927" s="3">
        <v>43349.66666666667</v>
      </c>
      <c r="B927" s="2">
        <v>65.74</v>
      </c>
    </row>
    <row r="928">
      <c r="A928" s="3">
        <v>43350.66666666667</v>
      </c>
      <c r="B928" s="2">
        <v>65.65</v>
      </c>
    </row>
    <row r="929">
      <c r="A929" s="3">
        <v>43353.66666666667</v>
      </c>
      <c r="B929" s="2">
        <v>66.09</v>
      </c>
    </row>
    <row r="930">
      <c r="A930" s="3">
        <v>43354.66666666667</v>
      </c>
      <c r="B930" s="2">
        <v>66.5</v>
      </c>
    </row>
    <row r="931">
      <c r="A931" s="3">
        <v>43355.66666666667</v>
      </c>
      <c r="B931" s="2">
        <v>66.13</v>
      </c>
    </row>
    <row r="932">
      <c r="A932" s="3">
        <v>43356.66666666667</v>
      </c>
      <c r="B932" s="2">
        <v>66.4</v>
      </c>
    </row>
    <row r="933">
      <c r="A933" s="3">
        <v>43357.66666666667</v>
      </c>
      <c r="B933" s="2">
        <v>65.8</v>
      </c>
    </row>
    <row r="934">
      <c r="A934" s="3">
        <v>43360.66666666667</v>
      </c>
      <c r="B934" s="2">
        <v>64.14</v>
      </c>
    </row>
    <row r="935">
      <c r="A935" s="3">
        <v>43361.66666666667</v>
      </c>
      <c r="B935" s="2">
        <v>65.2</v>
      </c>
    </row>
    <row r="936">
      <c r="A936" s="3">
        <v>43362.66666666667</v>
      </c>
      <c r="B936" s="2">
        <v>64.93</v>
      </c>
    </row>
    <row r="937">
      <c r="A937" s="3">
        <v>43363.66666666667</v>
      </c>
      <c r="B937" s="2">
        <v>64.86</v>
      </c>
    </row>
    <row r="938">
      <c r="A938" s="3">
        <v>43364.66666666667</v>
      </c>
      <c r="B938" s="2">
        <v>64.63</v>
      </c>
    </row>
    <row r="939">
      <c r="A939" s="3">
        <v>43367.66666666667</v>
      </c>
      <c r="B939" s="2">
        <v>64.91</v>
      </c>
    </row>
    <row r="940">
      <c r="A940" s="3">
        <v>43368.66666666667</v>
      </c>
      <c r="B940" s="2">
        <v>65.51</v>
      </c>
    </row>
    <row r="941">
      <c r="A941" s="3">
        <v>43369.66666666667</v>
      </c>
      <c r="B941" s="2">
        <v>64.95</v>
      </c>
    </row>
    <row r="942">
      <c r="A942" s="3">
        <v>43370.66666666667</v>
      </c>
      <c r="B942" s="2">
        <v>65.65</v>
      </c>
    </row>
    <row r="943">
      <c r="A943" s="3">
        <v>43371.66666666667</v>
      </c>
      <c r="B943" s="2">
        <v>66.28</v>
      </c>
    </row>
    <row r="944">
      <c r="A944" s="3">
        <v>43374.66666666667</v>
      </c>
      <c r="B944" s="2">
        <v>66.11</v>
      </c>
    </row>
    <row r="945">
      <c r="A945" s="3">
        <v>43375.66666666667</v>
      </c>
      <c r="B945" s="2">
        <v>65.79</v>
      </c>
    </row>
    <row r="946">
      <c r="A946" s="3">
        <v>43376.66666666667</v>
      </c>
      <c r="B946" s="2">
        <v>66.11</v>
      </c>
    </row>
    <row r="947">
      <c r="A947" s="3">
        <v>43377.66666666667</v>
      </c>
      <c r="B947" s="2">
        <v>65.49</v>
      </c>
    </row>
    <row r="948">
      <c r="A948" s="3">
        <v>43378.66666666667</v>
      </c>
      <c r="B948" s="2">
        <v>65.2</v>
      </c>
    </row>
    <row r="949">
      <c r="A949" s="3">
        <v>43381.66666666667</v>
      </c>
      <c r="B949" s="2">
        <v>63.97</v>
      </c>
    </row>
    <row r="950">
      <c r="A950" s="3">
        <v>43382.66666666667</v>
      </c>
      <c r="B950" s="2">
        <v>64.46</v>
      </c>
    </row>
    <row r="951">
      <c r="A951" s="3">
        <v>43383.66666666667</v>
      </c>
      <c r="B951" s="2">
        <v>61.39</v>
      </c>
    </row>
    <row r="952">
      <c r="A952" s="3">
        <v>43384.66666666667</v>
      </c>
      <c r="B952" s="2">
        <v>60.44</v>
      </c>
    </row>
    <row r="953">
      <c r="A953" s="3">
        <v>43385.66666666667</v>
      </c>
      <c r="B953" s="2">
        <v>62.02</v>
      </c>
    </row>
    <row r="954">
      <c r="A954" s="3">
        <v>43388.66666666667</v>
      </c>
      <c r="B954" s="2">
        <v>61.47</v>
      </c>
    </row>
    <row r="955">
      <c r="A955" s="3">
        <v>43389.66666666667</v>
      </c>
      <c r="B955" s="2">
        <v>63.08</v>
      </c>
    </row>
    <row r="956">
      <c r="A956" s="3">
        <v>43390.66666666667</v>
      </c>
      <c r="B956" s="2">
        <v>63.23</v>
      </c>
    </row>
    <row r="957">
      <c r="A957" s="3">
        <v>43391.66666666667</v>
      </c>
      <c r="B957" s="2">
        <v>63.07</v>
      </c>
    </row>
    <row r="958">
      <c r="A958" s="3">
        <v>43392.66666666667</v>
      </c>
      <c r="B958" s="2">
        <v>61.78</v>
      </c>
    </row>
    <row r="959">
      <c r="A959" s="3">
        <v>43395.66666666667</v>
      </c>
      <c r="B959" s="2">
        <v>61.94</v>
      </c>
    </row>
    <row r="960">
      <c r="A960" s="3">
        <v>43396.66666666667</v>
      </c>
      <c r="B960" s="2">
        <v>61.61</v>
      </c>
    </row>
    <row r="961">
      <c r="A961" s="3">
        <v>43397.66666666667</v>
      </c>
      <c r="B961" s="2">
        <v>58.49</v>
      </c>
    </row>
    <row r="962">
      <c r="A962" s="3">
        <v>43398.66666666667</v>
      </c>
      <c r="B962" s="2">
        <v>59.38</v>
      </c>
    </row>
    <row r="963">
      <c r="A963" s="3">
        <v>43399.66666666667</v>
      </c>
      <c r="B963" s="2">
        <v>58.53</v>
      </c>
    </row>
    <row r="964">
      <c r="A964" s="3">
        <v>43402.66666666667</v>
      </c>
      <c r="B964" s="2">
        <v>56.51</v>
      </c>
    </row>
    <row r="965">
      <c r="A965" s="3">
        <v>43403.66666666667</v>
      </c>
      <c r="B965" s="2">
        <v>57.13</v>
      </c>
    </row>
    <row r="966">
      <c r="A966" s="3">
        <v>43404.66666666667</v>
      </c>
      <c r="B966" s="2">
        <v>57.08</v>
      </c>
    </row>
    <row r="967">
      <c r="A967" s="3">
        <v>43405.66666666667</v>
      </c>
      <c r="B967" s="2">
        <v>57.56</v>
      </c>
    </row>
    <row r="968">
      <c r="A968" s="3">
        <v>43406.66666666667</v>
      </c>
      <c r="B968" s="2">
        <v>57.18</v>
      </c>
    </row>
    <row r="969">
      <c r="A969" s="3">
        <v>43409.66666666667</v>
      </c>
      <c r="B969" s="2">
        <v>58.34</v>
      </c>
    </row>
    <row r="970">
      <c r="A970" s="3">
        <v>43410.66666666667</v>
      </c>
      <c r="B970" s="2">
        <v>58.7</v>
      </c>
    </row>
    <row r="971">
      <c r="A971" s="3">
        <v>43411.66666666667</v>
      </c>
      <c r="B971" s="2">
        <v>60.67</v>
      </c>
    </row>
    <row r="972">
      <c r="A972" s="3">
        <v>43412.66666666667</v>
      </c>
      <c r="B972" s="2">
        <v>60.81</v>
      </c>
    </row>
    <row r="973">
      <c r="A973" s="3">
        <v>43413.66666666667</v>
      </c>
      <c r="B973" s="2">
        <v>59.19</v>
      </c>
    </row>
    <row r="974">
      <c r="A974" s="3">
        <v>43416.66666666667</v>
      </c>
      <c r="B974" s="2">
        <v>58.15</v>
      </c>
    </row>
    <row r="975">
      <c r="A975" s="3">
        <v>43417.66666666667</v>
      </c>
      <c r="B975" s="2">
        <v>57.85</v>
      </c>
    </row>
    <row r="976">
      <c r="A976" s="3">
        <v>43418.66666666667</v>
      </c>
      <c r="B976" s="2">
        <v>57.46</v>
      </c>
    </row>
    <row r="977">
      <c r="A977" s="3">
        <v>43419.66666666667</v>
      </c>
      <c r="B977" s="2">
        <v>58.73</v>
      </c>
    </row>
    <row r="978">
      <c r="A978" s="3">
        <v>43420.66666666667</v>
      </c>
      <c r="B978" s="2">
        <v>57.99</v>
      </c>
    </row>
    <row r="979">
      <c r="A979" s="3">
        <v>43423.66666666667</v>
      </c>
      <c r="B979" s="2">
        <v>55.57</v>
      </c>
    </row>
    <row r="980">
      <c r="A980" s="3">
        <v>43424.66666666667</v>
      </c>
      <c r="B980" s="2">
        <v>54.35</v>
      </c>
    </row>
    <row r="981">
      <c r="A981" s="3">
        <v>43425.66666666667</v>
      </c>
      <c r="B981" s="2">
        <v>57.33</v>
      </c>
    </row>
    <row r="982">
      <c r="A982" s="3">
        <v>43427.54166666667</v>
      </c>
      <c r="B982" s="2">
        <v>56.58</v>
      </c>
    </row>
    <row r="983">
      <c r="A983" s="3">
        <v>43430.66666666667</v>
      </c>
      <c r="B983" s="2">
        <v>58.53</v>
      </c>
    </row>
    <row r="984">
      <c r="A984" s="3">
        <v>43431.66666666667</v>
      </c>
      <c r="B984" s="2">
        <v>59.4</v>
      </c>
    </row>
    <row r="985">
      <c r="A985" s="3">
        <v>43432.66666666667</v>
      </c>
      <c r="B985" s="2">
        <v>61.5</v>
      </c>
    </row>
    <row r="986">
      <c r="A986" s="3">
        <v>43433.66666666667</v>
      </c>
      <c r="B986" s="2">
        <v>61.52</v>
      </c>
    </row>
    <row r="987">
      <c r="A987" s="3">
        <v>43434.66666666667</v>
      </c>
      <c r="B987" s="2">
        <v>61.82</v>
      </c>
    </row>
    <row r="988">
      <c r="A988" s="3">
        <v>43437.66666666667</v>
      </c>
      <c r="B988" s="2">
        <v>62.41</v>
      </c>
    </row>
    <row r="989">
      <c r="A989" s="3">
        <v>43438.66666666667</v>
      </c>
      <c r="B989" s="2">
        <v>60.98</v>
      </c>
    </row>
    <row r="990">
      <c r="A990" s="3">
        <v>43440.66666666667</v>
      </c>
      <c r="B990" s="2">
        <v>60.71</v>
      </c>
    </row>
    <row r="991">
      <c r="A991" s="3">
        <v>43441.66666666667</v>
      </c>
      <c r="B991" s="2">
        <v>58.68</v>
      </c>
    </row>
    <row r="992">
      <c r="A992" s="3">
        <v>43444.66666666667</v>
      </c>
      <c r="B992" s="2">
        <v>59.61</v>
      </c>
    </row>
    <row r="993">
      <c r="A993" s="3">
        <v>43445.66666666667</v>
      </c>
      <c r="B993" s="2">
        <v>59.53</v>
      </c>
    </row>
    <row r="994">
      <c r="A994" s="3">
        <v>43446.66666666667</v>
      </c>
      <c r="B994" s="2">
        <v>60.67</v>
      </c>
    </row>
    <row r="995">
      <c r="A995" s="3">
        <v>43447.66666666667</v>
      </c>
      <c r="B995" s="2">
        <v>60.62</v>
      </c>
    </row>
    <row r="996">
      <c r="A996" s="3">
        <v>43448.66666666667</v>
      </c>
      <c r="B996" s="2">
        <v>61.49</v>
      </c>
    </row>
    <row r="997">
      <c r="A997" s="3">
        <v>43451.66666666667</v>
      </c>
      <c r="B997" s="2">
        <v>59.9</v>
      </c>
    </row>
    <row r="998">
      <c r="A998" s="3">
        <v>43452.66666666667</v>
      </c>
      <c r="B998" s="2">
        <v>60.72</v>
      </c>
    </row>
    <row r="999">
      <c r="A999" s="3">
        <v>43453.66666666667</v>
      </c>
      <c r="B999" s="2">
        <v>60.07</v>
      </c>
    </row>
    <row r="1000">
      <c r="A1000" s="3">
        <v>43454.66666666667</v>
      </c>
      <c r="B1000" s="2">
        <v>58.57</v>
      </c>
    </row>
    <row r="1001">
      <c r="A1001" s="3">
        <v>43455.66666666667</v>
      </c>
      <c r="B1001" s="2">
        <v>57.13</v>
      </c>
    </row>
    <row r="1002">
      <c r="A1002" s="3">
        <v>43458.54166666667</v>
      </c>
      <c r="B1002" s="2">
        <v>56.04</v>
      </c>
    </row>
    <row r="1003">
      <c r="A1003" s="3">
        <v>43460.66666666667</v>
      </c>
      <c r="B1003" s="2">
        <v>58.7</v>
      </c>
    </row>
    <row r="1004">
      <c r="A1004" s="3">
        <v>43461.66666666667</v>
      </c>
      <c r="B1004" s="2">
        <v>59.45</v>
      </c>
    </row>
    <row r="1005">
      <c r="A1005" s="3">
        <v>43462.66666666667</v>
      </c>
      <c r="B1005" s="2">
        <v>60.13</v>
      </c>
    </row>
    <row r="1006">
      <c r="A1006" s="3">
        <v>43465.66666666667</v>
      </c>
      <c r="B1006" s="2">
        <v>62.08</v>
      </c>
    </row>
    <row r="1007">
      <c r="A1007" s="3">
        <v>43467.66666666667</v>
      </c>
      <c r="B1007" s="2">
        <v>61.42</v>
      </c>
    </row>
    <row r="1008">
      <c r="A1008" s="3">
        <v>43468.66666666667</v>
      </c>
      <c r="B1008" s="2">
        <v>58.32</v>
      </c>
    </row>
    <row r="1009">
      <c r="A1009" s="3">
        <v>43469.66666666667</v>
      </c>
      <c r="B1009" s="2">
        <v>61.95</v>
      </c>
    </row>
    <row r="1010">
      <c r="A1010" s="3">
        <v>43472.66666666667</v>
      </c>
      <c r="B1010" s="2">
        <v>64.49</v>
      </c>
    </row>
    <row r="1011">
      <c r="A1011" s="3">
        <v>43473.66666666667</v>
      </c>
      <c r="B1011" s="2">
        <v>65.65</v>
      </c>
    </row>
    <row r="1012">
      <c r="A1012" s="3">
        <v>43474.66666666667</v>
      </c>
      <c r="B1012" s="2">
        <v>67.07</v>
      </c>
    </row>
    <row r="1013">
      <c r="A1013" s="3">
        <v>43475.66666666667</v>
      </c>
      <c r="B1013" s="2">
        <v>67.26</v>
      </c>
    </row>
    <row r="1014">
      <c r="A1014" s="3">
        <v>43476.66666666667</v>
      </c>
      <c r="B1014" s="2">
        <v>67.24</v>
      </c>
    </row>
    <row r="1015">
      <c r="A1015" s="3">
        <v>43479.66666666667</v>
      </c>
      <c r="B1015" s="2">
        <v>67.31</v>
      </c>
    </row>
    <row r="1016">
      <c r="A1016" s="3">
        <v>43480.66666666667</v>
      </c>
      <c r="B1016" s="2">
        <v>68.51</v>
      </c>
    </row>
    <row r="1017">
      <c r="A1017" s="3">
        <v>43481.66666666667</v>
      </c>
      <c r="B1017" s="2">
        <v>69.05</v>
      </c>
    </row>
    <row r="1018">
      <c r="A1018" s="3">
        <v>43482.66666666667</v>
      </c>
      <c r="B1018" s="2">
        <v>69.22</v>
      </c>
    </row>
    <row r="1019">
      <c r="A1019" s="3">
        <v>43483.66666666667</v>
      </c>
      <c r="B1019" s="2">
        <v>69.58</v>
      </c>
    </row>
    <row r="1020">
      <c r="A1020" s="3">
        <v>43487.66666666667</v>
      </c>
      <c r="B1020" s="2">
        <v>67.8</v>
      </c>
    </row>
    <row r="1021">
      <c r="A1021" s="3">
        <v>43488.66666666667</v>
      </c>
      <c r="B1021" s="2">
        <v>67.62</v>
      </c>
    </row>
    <row r="1022">
      <c r="A1022" s="3">
        <v>43489.66666666667</v>
      </c>
      <c r="B1022" s="2">
        <v>70.65</v>
      </c>
    </row>
    <row r="1023">
      <c r="A1023" s="3">
        <v>43490.66666666667</v>
      </c>
      <c r="B1023" s="2">
        <v>71.07</v>
      </c>
    </row>
    <row r="1024">
      <c r="A1024" s="3">
        <v>43493.66666666667</v>
      </c>
      <c r="B1024" s="2">
        <v>72.29</v>
      </c>
    </row>
    <row r="1025">
      <c r="A1025" s="3">
        <v>43494.66666666667</v>
      </c>
      <c r="B1025" s="2">
        <v>71.65</v>
      </c>
    </row>
    <row r="1026">
      <c r="A1026" s="3">
        <v>43495.66666666667</v>
      </c>
      <c r="B1026" s="2">
        <v>73.3</v>
      </c>
    </row>
    <row r="1027">
      <c r="A1027" s="3">
        <v>43496.66666666667</v>
      </c>
      <c r="B1027" s="2">
        <v>74.02</v>
      </c>
    </row>
    <row r="1028">
      <c r="A1028" s="3">
        <v>43497.66666666667</v>
      </c>
      <c r="B1028" s="2">
        <v>75.18</v>
      </c>
    </row>
    <row r="1029">
      <c r="A1029" s="3">
        <v>43500.66666666667</v>
      </c>
      <c r="B1029" s="2">
        <v>75.39</v>
      </c>
    </row>
    <row r="1030">
      <c r="A1030" s="3">
        <v>43501.66666666667</v>
      </c>
      <c r="B1030" s="2">
        <v>75.64</v>
      </c>
    </row>
    <row r="1031">
      <c r="A1031" s="3">
        <v>43502.66666666667</v>
      </c>
      <c r="B1031" s="2">
        <v>77.05</v>
      </c>
    </row>
    <row r="1032">
      <c r="A1032" s="3">
        <v>43503.66666666667</v>
      </c>
      <c r="B1032" s="2">
        <v>76.3</v>
      </c>
    </row>
    <row r="1033">
      <c r="A1033" s="3">
        <v>43504.66666666667</v>
      </c>
      <c r="B1033" s="2">
        <v>76.86</v>
      </c>
    </row>
    <row r="1034">
      <c r="A1034" s="3">
        <v>43507.66666666667</v>
      </c>
      <c r="B1034" s="2">
        <v>78.01</v>
      </c>
    </row>
    <row r="1035">
      <c r="A1035" s="3">
        <v>43508.66666666667</v>
      </c>
      <c r="B1035" s="2">
        <v>78.32</v>
      </c>
    </row>
    <row r="1036">
      <c r="A1036" s="3">
        <v>43509.66666666667</v>
      </c>
      <c r="B1036" s="2">
        <v>78.9</v>
      </c>
    </row>
    <row r="1037">
      <c r="A1037" s="3">
        <v>43510.66666666667</v>
      </c>
      <c r="B1037" s="2">
        <v>79.02</v>
      </c>
    </row>
    <row r="1038">
      <c r="A1038" s="3">
        <v>43511.66666666667</v>
      </c>
      <c r="B1038" s="2">
        <v>80.38</v>
      </c>
    </row>
    <row r="1039">
      <c r="A1039" s="3">
        <v>43515.66666666667</v>
      </c>
      <c r="B1039" s="2">
        <v>80.66</v>
      </c>
    </row>
    <row r="1040">
      <c r="A1040" s="3">
        <v>43516.66666666667</v>
      </c>
      <c r="B1040" s="2">
        <v>81.08</v>
      </c>
    </row>
    <row r="1041">
      <c r="A1041" s="3">
        <v>43517.66666666667</v>
      </c>
      <c r="B1041" s="2">
        <v>81.75</v>
      </c>
    </row>
    <row r="1042">
      <c r="A1042" s="3">
        <v>43518.66666666667</v>
      </c>
      <c r="B1042" s="2">
        <v>82.46</v>
      </c>
    </row>
    <row r="1043">
      <c r="A1043" s="3">
        <v>43521.66666666667</v>
      </c>
      <c r="B1043" s="2">
        <v>83.08</v>
      </c>
    </row>
    <row r="1044">
      <c r="A1044" s="3">
        <v>43522.66666666667</v>
      </c>
      <c r="B1044" s="2">
        <v>84.64</v>
      </c>
    </row>
    <row r="1045">
      <c r="A1045" s="3">
        <v>43523.66666666667</v>
      </c>
      <c r="B1045" s="2">
        <v>84.82</v>
      </c>
    </row>
    <row r="1046">
      <c r="A1046" s="3">
        <v>43524.66666666667</v>
      </c>
      <c r="B1046" s="2">
        <v>84.41</v>
      </c>
    </row>
    <row r="1047">
      <c r="A1047" s="3">
        <v>43525.66666666667</v>
      </c>
      <c r="B1047" s="2">
        <v>85.9</v>
      </c>
    </row>
    <row r="1048">
      <c r="A1048" s="3">
        <v>43528.66666666667</v>
      </c>
      <c r="B1048" s="2">
        <v>85.23</v>
      </c>
    </row>
    <row r="1049">
      <c r="A1049" s="3">
        <v>43529.66666666667</v>
      </c>
      <c r="B1049" s="2">
        <v>85.26</v>
      </c>
    </row>
    <row r="1050">
      <c r="A1050" s="3">
        <v>43530.66666666667</v>
      </c>
      <c r="B1050" s="2">
        <v>85.25</v>
      </c>
    </row>
    <row r="1051">
      <c r="A1051" s="3">
        <v>43531.66666666667</v>
      </c>
      <c r="B1051" s="2">
        <v>84.58</v>
      </c>
    </row>
    <row r="1052">
      <c r="A1052" s="3">
        <v>43532.66666666667</v>
      </c>
      <c r="B1052" s="2">
        <v>83.99</v>
      </c>
    </row>
    <row r="1053">
      <c r="A1053" s="3">
        <v>43535.66666666667</v>
      </c>
      <c r="B1053" s="2">
        <v>85.0</v>
      </c>
    </row>
    <row r="1054">
      <c r="A1054" s="3">
        <v>43536.66666666667</v>
      </c>
      <c r="B1054" s="2">
        <v>84.89</v>
      </c>
    </row>
    <row r="1055">
      <c r="A1055" s="3">
        <v>43537.66666666667</v>
      </c>
      <c r="B1055" s="2">
        <v>84.21</v>
      </c>
    </row>
    <row r="1056">
      <c r="A1056" s="3">
        <v>43538.66666666667</v>
      </c>
      <c r="B1056" s="2">
        <v>85.33</v>
      </c>
    </row>
    <row r="1057">
      <c r="A1057" s="3">
        <v>43539.66666666667</v>
      </c>
      <c r="B1057" s="2">
        <v>85.98</v>
      </c>
    </row>
    <row r="1058">
      <c r="A1058" s="3">
        <v>43542.66666666667</v>
      </c>
      <c r="B1058" s="2">
        <v>85.74</v>
      </c>
    </row>
    <row r="1059">
      <c r="A1059" s="3">
        <v>43543.66666666667</v>
      </c>
      <c r="B1059" s="2">
        <v>86.29</v>
      </c>
    </row>
    <row r="1060">
      <c r="A1060" s="3">
        <v>43544.66666666667</v>
      </c>
      <c r="B1060" s="2">
        <v>86.36</v>
      </c>
    </row>
    <row r="1061">
      <c r="A1061" s="3">
        <v>43545.66666666667</v>
      </c>
      <c r="B1061" s="2">
        <v>87.53</v>
      </c>
    </row>
    <row r="1062">
      <c r="A1062" s="3">
        <v>43546.66666666667</v>
      </c>
      <c r="B1062" s="2">
        <v>84.76</v>
      </c>
    </row>
    <row r="1063">
      <c r="A1063" s="3">
        <v>43549.66666666667</v>
      </c>
      <c r="B1063" s="2">
        <v>84.78</v>
      </c>
    </row>
    <row r="1064">
      <c r="A1064" s="3">
        <v>43550.66666666667</v>
      </c>
      <c r="B1064" s="2">
        <v>85.36</v>
      </c>
    </row>
    <row r="1065">
      <c r="A1065" s="3">
        <v>43551.66666666667</v>
      </c>
      <c r="B1065" s="2">
        <v>85.32</v>
      </c>
    </row>
    <row r="1066">
      <c r="A1066" s="3">
        <v>43552.66666666667</v>
      </c>
      <c r="B1066" s="2">
        <v>86.51</v>
      </c>
    </row>
    <row r="1067">
      <c r="A1067" s="3">
        <v>43553.66666666667</v>
      </c>
      <c r="B1067" s="2">
        <v>87.2</v>
      </c>
    </row>
    <row r="1068">
      <c r="A1068" s="3">
        <v>43556.66666666667</v>
      </c>
      <c r="B1068" s="2">
        <v>89.14</v>
      </c>
    </row>
    <row r="1069">
      <c r="A1069" s="3">
        <v>43557.66666666667</v>
      </c>
      <c r="B1069" s="2">
        <v>89.29</v>
      </c>
    </row>
    <row r="1070">
      <c r="A1070" s="3">
        <v>43558.66666666667</v>
      </c>
      <c r="B1070" s="2">
        <v>89.99</v>
      </c>
    </row>
    <row r="1071">
      <c r="A1071" s="3">
        <v>43559.66666666667</v>
      </c>
      <c r="B1071" s="2">
        <v>88.97</v>
      </c>
    </row>
    <row r="1072">
      <c r="A1072" s="3">
        <v>43560.66666666667</v>
      </c>
      <c r="B1072" s="2">
        <v>89.44</v>
      </c>
    </row>
    <row r="1073">
      <c r="A1073" s="3">
        <v>43563.66666666667</v>
      </c>
      <c r="B1073" s="2">
        <v>89.85</v>
      </c>
    </row>
    <row r="1074">
      <c r="A1074" s="3">
        <v>43564.66666666667</v>
      </c>
      <c r="B1074" s="2">
        <v>90.12</v>
      </c>
    </row>
    <row r="1075">
      <c r="A1075" s="3">
        <v>43565.66666666667</v>
      </c>
      <c r="B1075" s="2">
        <v>90.62</v>
      </c>
    </row>
    <row r="1076">
      <c r="A1076" s="3">
        <v>43566.66666666667</v>
      </c>
      <c r="B1076" s="2">
        <v>91.37</v>
      </c>
    </row>
    <row r="1077">
      <c r="A1077" s="3">
        <v>43567.66666666667</v>
      </c>
      <c r="B1077" s="2">
        <v>91.84</v>
      </c>
    </row>
    <row r="1078">
      <c r="A1078" s="3">
        <v>43570.66666666667</v>
      </c>
      <c r="B1078" s="2">
        <v>91.7</v>
      </c>
    </row>
    <row r="1079">
      <c r="A1079" s="3">
        <v>43571.66666666667</v>
      </c>
      <c r="B1079" s="2">
        <v>90.52</v>
      </c>
    </row>
    <row r="1080">
      <c r="A1080" s="3">
        <v>43572.66666666667</v>
      </c>
      <c r="B1080" s="2">
        <v>88.3</v>
      </c>
    </row>
    <row r="1081">
      <c r="A1081" s="3">
        <v>43573.66666666667</v>
      </c>
      <c r="B1081" s="2">
        <v>89.84</v>
      </c>
    </row>
    <row r="1082">
      <c r="A1082" s="3">
        <v>43577.66666666667</v>
      </c>
      <c r="B1082" s="2">
        <v>90.59</v>
      </c>
    </row>
    <row r="1083">
      <c r="A1083" s="3">
        <v>43578.66666666667</v>
      </c>
      <c r="B1083" s="2">
        <v>92.27</v>
      </c>
    </row>
    <row r="1084">
      <c r="A1084" s="3">
        <v>43579.66666666667</v>
      </c>
      <c r="B1084" s="2">
        <v>92.79</v>
      </c>
    </row>
    <row r="1085">
      <c r="A1085" s="3">
        <v>43580.66666666667</v>
      </c>
      <c r="B1085" s="2">
        <v>87.74</v>
      </c>
    </row>
    <row r="1086">
      <c r="A1086" s="3">
        <v>43581.66666666667</v>
      </c>
      <c r="B1086" s="2">
        <v>85.88</v>
      </c>
    </row>
    <row r="1087">
      <c r="A1087" s="3">
        <v>43584.66666666667</v>
      </c>
      <c r="B1087" s="2">
        <v>86.73</v>
      </c>
    </row>
    <row r="1088">
      <c r="A1088" s="3">
        <v>43585.66666666667</v>
      </c>
      <c r="B1088" s="2">
        <v>87.03</v>
      </c>
    </row>
    <row r="1089">
      <c r="A1089" s="3">
        <v>43586.66666666667</v>
      </c>
      <c r="B1089" s="2">
        <v>85.86</v>
      </c>
    </row>
    <row r="1090">
      <c r="A1090" s="3">
        <v>43587.66666666667</v>
      </c>
      <c r="B1090" s="2">
        <v>87.35</v>
      </c>
    </row>
    <row r="1091">
      <c r="A1091" s="3">
        <v>43588.66666666667</v>
      </c>
      <c r="B1091" s="2">
        <v>88.18</v>
      </c>
    </row>
    <row r="1092">
      <c r="A1092" s="3">
        <v>43591.66666666667</v>
      </c>
      <c r="B1092" s="2">
        <v>88.14</v>
      </c>
    </row>
    <row r="1093">
      <c r="A1093" s="3">
        <v>43592.66666666667</v>
      </c>
      <c r="B1093" s="2">
        <v>86.42</v>
      </c>
    </row>
    <row r="1094">
      <c r="A1094" s="3">
        <v>43593.66666666667</v>
      </c>
      <c r="B1094" s="2">
        <v>86.75</v>
      </c>
    </row>
    <row r="1095">
      <c r="A1095" s="3">
        <v>43594.66666666667</v>
      </c>
      <c r="B1095" s="2">
        <v>86.3</v>
      </c>
    </row>
    <row r="1096">
      <c r="A1096" s="3">
        <v>43595.66666666667</v>
      </c>
      <c r="B1096" s="2">
        <v>85.83</v>
      </c>
    </row>
    <row r="1097">
      <c r="A1097" s="3">
        <v>43598.66666666667</v>
      </c>
      <c r="B1097" s="2">
        <v>82.62</v>
      </c>
    </row>
    <row r="1098">
      <c r="A1098" s="3">
        <v>43599.66666666667</v>
      </c>
      <c r="B1098" s="2">
        <v>83.79</v>
      </c>
    </row>
    <row r="1099">
      <c r="A1099" s="3">
        <v>43600.66666666667</v>
      </c>
      <c r="B1099" s="2">
        <v>84.41</v>
      </c>
    </row>
    <row r="1100">
      <c r="A1100" s="3">
        <v>43601.66666666667</v>
      </c>
      <c r="B1100" s="2">
        <v>85.19</v>
      </c>
    </row>
    <row r="1101">
      <c r="A1101" s="3">
        <v>43602.66666666667</v>
      </c>
      <c r="B1101" s="2">
        <v>81.86</v>
      </c>
    </row>
    <row r="1102">
      <c r="A1102" s="3">
        <v>43605.66666666667</v>
      </c>
      <c r="B1102" s="2">
        <v>74.56</v>
      </c>
    </row>
    <row r="1103">
      <c r="A1103" s="3">
        <v>43606.66666666667</v>
      </c>
      <c r="B1103" s="2">
        <v>75.36</v>
      </c>
    </row>
    <row r="1104">
      <c r="A1104" s="3">
        <v>43607.66666666667</v>
      </c>
      <c r="B1104" s="2">
        <v>75.76</v>
      </c>
    </row>
    <row r="1105">
      <c r="A1105" s="3">
        <v>43608.66666666667</v>
      </c>
      <c r="B1105" s="2">
        <v>73.56</v>
      </c>
    </row>
    <row r="1106">
      <c r="A1106" s="3">
        <v>43609.66666666667</v>
      </c>
      <c r="B1106" s="2">
        <v>73.69</v>
      </c>
    </row>
    <row r="1107">
      <c r="A1107" s="3">
        <v>43613.66666666667</v>
      </c>
      <c r="B1107" s="2">
        <v>73.13</v>
      </c>
    </row>
    <row r="1108">
      <c r="A1108" s="3">
        <v>43614.66666666667</v>
      </c>
      <c r="B1108" s="2">
        <v>71.42</v>
      </c>
    </row>
    <row r="1109">
      <c r="A1109" s="3">
        <v>43615.66666666667</v>
      </c>
      <c r="B1109" s="2">
        <v>79.49</v>
      </c>
    </row>
    <row r="1110">
      <c r="A1110" s="3">
        <v>43616.66666666667</v>
      </c>
      <c r="B1110" s="2">
        <v>75.13</v>
      </c>
    </row>
    <row r="1111">
      <c r="A1111" s="3">
        <v>43619.66666666667</v>
      </c>
      <c r="B1111" s="2">
        <v>74.21</v>
      </c>
    </row>
    <row r="1112">
      <c r="A1112" s="3">
        <v>43620.66666666667</v>
      </c>
      <c r="B1112" s="2">
        <v>78.16</v>
      </c>
    </row>
    <row r="1113">
      <c r="A1113" s="3">
        <v>43621.66666666667</v>
      </c>
      <c r="B1113" s="2">
        <v>79.08</v>
      </c>
    </row>
    <row r="1114">
      <c r="A1114" s="3">
        <v>43622.66666666667</v>
      </c>
      <c r="B1114" s="2">
        <v>79.92</v>
      </c>
    </row>
    <row r="1115">
      <c r="A1115" s="3">
        <v>43623.66666666667</v>
      </c>
      <c r="B1115" s="2">
        <v>82.13</v>
      </c>
    </row>
    <row r="1116">
      <c r="A1116" s="3">
        <v>43626.66666666667</v>
      </c>
      <c r="B1116" s="2">
        <v>82.36</v>
      </c>
    </row>
    <row r="1117">
      <c r="A1117" s="3">
        <v>43627.66666666667</v>
      </c>
      <c r="B1117" s="2">
        <v>83.67</v>
      </c>
    </row>
    <row r="1118">
      <c r="A1118" s="3">
        <v>43628.66666666667</v>
      </c>
      <c r="B1118" s="2">
        <v>84.36</v>
      </c>
    </row>
    <row r="1119">
      <c r="A1119" s="3">
        <v>43629.66666666667</v>
      </c>
      <c r="B1119" s="2">
        <v>84.83</v>
      </c>
    </row>
    <row r="1120">
      <c r="A1120" s="3">
        <v>43630.66666666667</v>
      </c>
      <c r="B1120" s="2">
        <v>83.83</v>
      </c>
    </row>
    <row r="1121">
      <c r="A1121" s="3">
        <v>43633.66666666667</v>
      </c>
      <c r="B1121" s="2">
        <v>83.34</v>
      </c>
    </row>
    <row r="1122">
      <c r="A1122" s="3">
        <v>43634.66666666667</v>
      </c>
      <c r="B1122" s="2">
        <v>86.0</v>
      </c>
    </row>
    <row r="1123">
      <c r="A1123" s="3">
        <v>43635.66666666667</v>
      </c>
      <c r="B1123" s="2">
        <v>86.79</v>
      </c>
    </row>
    <row r="1124">
      <c r="A1124" s="3">
        <v>43636.66666666667</v>
      </c>
      <c r="B1124" s="2">
        <v>88.4</v>
      </c>
    </row>
    <row r="1125">
      <c r="A1125" s="3">
        <v>43637.66666666667</v>
      </c>
      <c r="B1125" s="2">
        <v>86.42</v>
      </c>
    </row>
    <row r="1126">
      <c r="A1126" s="3">
        <v>43640.66666666667</v>
      </c>
      <c r="B1126" s="2">
        <v>86.45</v>
      </c>
    </row>
    <row r="1127">
      <c r="A1127" s="3">
        <v>43641.66666666667</v>
      </c>
      <c r="B1127" s="2">
        <v>85.22</v>
      </c>
    </row>
    <row r="1128">
      <c r="A1128" s="3">
        <v>43642.66666666667</v>
      </c>
      <c r="B1128" s="2">
        <v>87.23</v>
      </c>
    </row>
    <row r="1129">
      <c r="A1129" s="3">
        <v>43643.66666666667</v>
      </c>
      <c r="B1129" s="2">
        <v>87.12</v>
      </c>
    </row>
    <row r="1130">
      <c r="A1130" s="3">
        <v>43644.66666666667</v>
      </c>
      <c r="B1130" s="2">
        <v>89.81</v>
      </c>
    </row>
    <row r="1131">
      <c r="A1131" s="3">
        <v>43647.66666666667</v>
      </c>
      <c r="B1131" s="2">
        <v>92.83</v>
      </c>
    </row>
    <row r="1132">
      <c r="A1132" s="3">
        <v>43648.66666666667</v>
      </c>
      <c r="B1132" s="2">
        <v>90.85</v>
      </c>
    </row>
    <row r="1133">
      <c r="A1133" s="3">
        <v>43649.54166666667</v>
      </c>
      <c r="B1133" s="2">
        <v>91.36</v>
      </c>
    </row>
    <row r="1134">
      <c r="A1134" s="3">
        <v>43651.66666666667</v>
      </c>
      <c r="B1134" s="2">
        <v>91.47</v>
      </c>
    </row>
    <row r="1135">
      <c r="A1135" s="3">
        <v>43654.66666666667</v>
      </c>
      <c r="B1135" s="2">
        <v>89.83</v>
      </c>
    </row>
    <row r="1136">
      <c r="A1136" s="3">
        <v>43655.66666666667</v>
      </c>
      <c r="B1136" s="2">
        <v>90.05</v>
      </c>
    </row>
    <row r="1137">
      <c r="A1137" s="3">
        <v>43656.66666666667</v>
      </c>
      <c r="B1137" s="2">
        <v>88.95</v>
      </c>
    </row>
    <row r="1138">
      <c r="A1138" s="3">
        <v>43657.66666666667</v>
      </c>
      <c r="B1138" s="2">
        <v>89.76</v>
      </c>
    </row>
    <row r="1139">
      <c r="A1139" s="3">
        <v>43658.66666666667</v>
      </c>
      <c r="B1139" s="2">
        <v>91.37</v>
      </c>
    </row>
    <row r="1140">
      <c r="A1140" s="3">
        <v>43661.66666666667</v>
      </c>
      <c r="B1140" s="2">
        <v>91.01</v>
      </c>
    </row>
    <row r="1141">
      <c r="A1141" s="3">
        <v>43662.66666666667</v>
      </c>
      <c r="B1141" s="2">
        <v>89.42</v>
      </c>
    </row>
    <row r="1142">
      <c r="A1142" s="3">
        <v>43663.66666666667</v>
      </c>
      <c r="B1142" s="2">
        <v>88.22</v>
      </c>
    </row>
    <row r="1143">
      <c r="A1143" s="3">
        <v>43664.66666666667</v>
      </c>
      <c r="B1143" s="2">
        <v>87.38</v>
      </c>
    </row>
    <row r="1144">
      <c r="A1144" s="3">
        <v>43665.66666666667</v>
      </c>
      <c r="B1144" s="2">
        <v>87.46</v>
      </c>
    </row>
    <row r="1145">
      <c r="A1145" s="3">
        <v>43668.66666666667</v>
      </c>
      <c r="B1145" s="2">
        <v>87.43</v>
      </c>
    </row>
    <row r="1146">
      <c r="A1146" s="3">
        <v>43669.66666666667</v>
      </c>
      <c r="B1146" s="2">
        <v>88.78</v>
      </c>
    </row>
    <row r="1147">
      <c r="A1147" s="3">
        <v>43670.66666666667</v>
      </c>
      <c r="B1147" s="2">
        <v>93.71</v>
      </c>
    </row>
    <row r="1148">
      <c r="A1148" s="3">
        <v>43671.66666666667</v>
      </c>
      <c r="B1148" s="2">
        <v>90.75</v>
      </c>
    </row>
    <row r="1149">
      <c r="A1149" s="3">
        <v>43672.66666666667</v>
      </c>
      <c r="B1149" s="2">
        <v>90.8</v>
      </c>
    </row>
    <row r="1150">
      <c r="A1150" s="3">
        <v>43675.66666666667</v>
      </c>
      <c r="B1150" s="2">
        <v>90.26</v>
      </c>
    </row>
    <row r="1151">
      <c r="A1151" s="3">
        <v>43676.66666666667</v>
      </c>
      <c r="B1151" s="2">
        <v>91.21</v>
      </c>
    </row>
    <row r="1152">
      <c r="A1152" s="3">
        <v>43677.66666666667</v>
      </c>
      <c r="B1152" s="2">
        <v>89.52</v>
      </c>
    </row>
    <row r="1153">
      <c r="A1153" s="3">
        <v>43678.66666666667</v>
      </c>
      <c r="B1153" s="2">
        <v>89.59</v>
      </c>
    </row>
    <row r="1154">
      <c r="A1154" s="3">
        <v>43679.66666666667</v>
      </c>
      <c r="B1154" s="2">
        <v>88.1</v>
      </c>
    </row>
    <row r="1155">
      <c r="A1155" s="3">
        <v>43682.66666666667</v>
      </c>
      <c r="B1155" s="2">
        <v>83.54</v>
      </c>
    </row>
    <row r="1156">
      <c r="A1156" s="3">
        <v>43683.66666666667</v>
      </c>
      <c r="B1156" s="2">
        <v>85.88</v>
      </c>
    </row>
    <row r="1157">
      <c r="A1157" s="3">
        <v>43684.66666666667</v>
      </c>
      <c r="B1157" s="2">
        <v>85.23</v>
      </c>
    </row>
    <row r="1158">
      <c r="A1158" s="3">
        <v>43685.66666666667</v>
      </c>
      <c r="B1158" s="2">
        <v>89.26</v>
      </c>
    </row>
    <row r="1159">
      <c r="A1159" s="3">
        <v>43686.66666666667</v>
      </c>
      <c r="B1159" s="2">
        <v>87.39</v>
      </c>
    </row>
    <row r="1160">
      <c r="A1160" s="3">
        <v>43689.66666666667</v>
      </c>
      <c r="B1160" s="2">
        <v>86.26</v>
      </c>
    </row>
    <row r="1161">
      <c r="A1161" s="3">
        <v>43690.66666666667</v>
      </c>
      <c r="B1161" s="2">
        <v>88.47</v>
      </c>
    </row>
    <row r="1162">
      <c r="A1162" s="3">
        <v>43691.66666666667</v>
      </c>
      <c r="B1162" s="2">
        <v>84.01</v>
      </c>
    </row>
    <row r="1163">
      <c r="A1163" s="3">
        <v>43692.66666666667</v>
      </c>
      <c r="B1163" s="2">
        <v>83.34</v>
      </c>
    </row>
    <row r="1164">
      <c r="A1164" s="3">
        <v>43693.66666666667</v>
      </c>
      <c r="B1164" s="2">
        <v>85.69</v>
      </c>
    </row>
    <row r="1165">
      <c r="A1165" s="3">
        <v>43696.66666666667</v>
      </c>
      <c r="B1165" s="2">
        <v>87.37</v>
      </c>
    </row>
    <row r="1166">
      <c r="A1166" s="3">
        <v>43697.66666666667</v>
      </c>
      <c r="B1166" s="2">
        <v>87.3</v>
      </c>
    </row>
    <row r="1167">
      <c r="A1167" s="3">
        <v>43698.66666666667</v>
      </c>
      <c r="B1167" s="2">
        <v>89.14</v>
      </c>
    </row>
    <row r="1168">
      <c r="A1168" s="3">
        <v>43699.66666666667</v>
      </c>
      <c r="B1168" s="2">
        <v>100.35</v>
      </c>
    </row>
    <row r="1169">
      <c r="A1169" s="3">
        <v>43700.66666666667</v>
      </c>
      <c r="B1169" s="2">
        <v>93.18</v>
      </c>
    </row>
    <row r="1170">
      <c r="A1170" s="3">
        <v>43703.66666666667</v>
      </c>
      <c r="B1170" s="2">
        <v>95.17</v>
      </c>
    </row>
    <row r="1171">
      <c r="A1171" s="3">
        <v>43704.66666666667</v>
      </c>
      <c r="B1171" s="2">
        <v>94.51</v>
      </c>
    </row>
    <row r="1172">
      <c r="A1172" s="3">
        <v>43705.66666666667</v>
      </c>
      <c r="B1172" s="2">
        <v>96.09</v>
      </c>
    </row>
    <row r="1173">
      <c r="A1173" s="3">
        <v>43706.66666666667</v>
      </c>
      <c r="B1173" s="2">
        <v>96.82</v>
      </c>
    </row>
    <row r="1174">
      <c r="A1174" s="3">
        <v>43707.66666666667</v>
      </c>
      <c r="B1174" s="2">
        <v>96.86</v>
      </c>
    </row>
    <row r="1175">
      <c r="A1175" s="3">
        <v>43711.66666666667</v>
      </c>
      <c r="B1175" s="2">
        <v>94.79</v>
      </c>
    </row>
    <row r="1176">
      <c r="A1176" s="3">
        <v>43712.66666666667</v>
      </c>
      <c r="B1176" s="2">
        <v>95.84</v>
      </c>
    </row>
    <row r="1177">
      <c r="A1177" s="3">
        <v>43713.66666666667</v>
      </c>
      <c r="B1177" s="2">
        <v>99.3</v>
      </c>
    </row>
    <row r="1178">
      <c r="A1178" s="3">
        <v>43714.66666666667</v>
      </c>
      <c r="B1178" s="2">
        <v>98.05</v>
      </c>
    </row>
    <row r="1179">
      <c r="A1179" s="3">
        <v>43717.66666666667</v>
      </c>
      <c r="B1179" s="2">
        <v>98.63</v>
      </c>
    </row>
    <row r="1180">
      <c r="A1180" s="3">
        <v>43718.66666666667</v>
      </c>
      <c r="B1180" s="2">
        <v>98.44</v>
      </c>
    </row>
    <row r="1181">
      <c r="A1181" s="3">
        <v>43719.66666666667</v>
      </c>
      <c r="B1181" s="2">
        <v>98.53</v>
      </c>
    </row>
    <row r="1182">
      <c r="A1182" s="3">
        <v>43720.66666666667</v>
      </c>
      <c r="B1182" s="2">
        <v>99.04</v>
      </c>
    </row>
    <row r="1183">
      <c r="A1183" s="3">
        <v>43721.66666666667</v>
      </c>
      <c r="B1183" s="2">
        <v>99.58</v>
      </c>
    </row>
    <row r="1184">
      <c r="A1184" s="3">
        <v>43724.66666666667</v>
      </c>
      <c r="B1184" s="2">
        <v>98.98</v>
      </c>
    </row>
    <row r="1185">
      <c r="A1185" s="3">
        <v>43725.66666666667</v>
      </c>
      <c r="B1185" s="2">
        <v>101.38</v>
      </c>
    </row>
    <row r="1186">
      <c r="A1186" s="3">
        <v>43726.66666666667</v>
      </c>
      <c r="B1186" s="2">
        <v>101.34</v>
      </c>
    </row>
    <row r="1187">
      <c r="A1187" s="3">
        <v>43727.66666666667</v>
      </c>
      <c r="B1187" s="2">
        <v>100.01</v>
      </c>
    </row>
    <row r="1188">
      <c r="A1188" s="3">
        <v>43728.66666666667</v>
      </c>
      <c r="B1188" s="2">
        <v>98.77</v>
      </c>
    </row>
    <row r="1189">
      <c r="A1189" s="3">
        <v>43731.66666666667</v>
      </c>
      <c r="B1189" s="2">
        <v>99.87</v>
      </c>
    </row>
    <row r="1190">
      <c r="A1190" s="3">
        <v>43732.66666666667</v>
      </c>
      <c r="B1190" s="2">
        <v>98.1</v>
      </c>
    </row>
    <row r="1191">
      <c r="A1191" s="3">
        <v>43733.66666666667</v>
      </c>
      <c r="B1191" s="2">
        <v>99.6</v>
      </c>
    </row>
    <row r="1192">
      <c r="A1192" s="3">
        <v>43734.66666666667</v>
      </c>
      <c r="B1192" s="2">
        <v>99.28</v>
      </c>
    </row>
    <row r="1193">
      <c r="A1193" s="3">
        <v>43735.66666666667</v>
      </c>
      <c r="B1193" s="2">
        <v>96.29</v>
      </c>
    </row>
    <row r="1194">
      <c r="A1194" s="3">
        <v>43738.66666666667</v>
      </c>
      <c r="B1194" s="2">
        <v>97.25</v>
      </c>
    </row>
    <row r="1195">
      <c r="A1195" s="3">
        <v>43739.66666666667</v>
      </c>
      <c r="B1195" s="2">
        <v>95.92</v>
      </c>
    </row>
    <row r="1196">
      <c r="A1196" s="3">
        <v>43740.66666666667</v>
      </c>
      <c r="B1196" s="2">
        <v>94.8</v>
      </c>
    </row>
    <row r="1197">
      <c r="A1197" s="3">
        <v>43741.66666666667</v>
      </c>
      <c r="B1197" s="2">
        <v>95.46</v>
      </c>
    </row>
    <row r="1198">
      <c r="A1198" s="3">
        <v>43742.66666666667</v>
      </c>
      <c r="B1198" s="2">
        <v>96.58</v>
      </c>
    </row>
    <row r="1199">
      <c r="A1199" s="3">
        <v>43745.66666666667</v>
      </c>
      <c r="B1199" s="2">
        <v>96.21</v>
      </c>
    </row>
    <row r="1200">
      <c r="A1200" s="3">
        <v>43746.66666666667</v>
      </c>
      <c r="B1200" s="2">
        <v>91.42</v>
      </c>
    </row>
    <row r="1201">
      <c r="A1201" s="3">
        <v>43747.66666666667</v>
      </c>
      <c r="B1201" s="2">
        <v>94.61</v>
      </c>
    </row>
    <row r="1202">
      <c r="A1202" s="3">
        <v>43748.66666666667</v>
      </c>
      <c r="B1202" s="2">
        <v>94.43</v>
      </c>
    </row>
    <row r="1203">
      <c r="A1203" s="3">
        <v>43749.66666666667</v>
      </c>
      <c r="B1203" s="2">
        <v>95.0</v>
      </c>
    </row>
    <row r="1204">
      <c r="A1204" s="3">
        <v>43752.66666666667</v>
      </c>
      <c r="B1204" s="2">
        <v>95.48</v>
      </c>
    </row>
    <row r="1205">
      <c r="A1205" s="3">
        <v>43753.66666666667</v>
      </c>
      <c r="B1205" s="2">
        <v>97.73</v>
      </c>
    </row>
    <row r="1206">
      <c r="A1206" s="3">
        <v>43754.66666666667</v>
      </c>
      <c r="B1206" s="2">
        <v>95.59</v>
      </c>
    </row>
    <row r="1207">
      <c r="A1207" s="3">
        <v>43755.66666666667</v>
      </c>
      <c r="B1207" s="2">
        <v>97.04</v>
      </c>
    </row>
    <row r="1208">
      <c r="A1208" s="3">
        <v>43756.66666666667</v>
      </c>
      <c r="B1208" s="2">
        <v>98.26</v>
      </c>
    </row>
    <row r="1209">
      <c r="A1209" s="3">
        <v>43759.66666666667</v>
      </c>
      <c r="B1209" s="2">
        <v>102.97</v>
      </c>
    </row>
    <row r="1210">
      <c r="A1210" s="3">
        <v>43760.66666666667</v>
      </c>
      <c r="B1210" s="2">
        <v>102.5</v>
      </c>
    </row>
    <row r="1211">
      <c r="A1211" s="3">
        <v>43761.66666666667</v>
      </c>
      <c r="B1211" s="2">
        <v>103.43</v>
      </c>
    </row>
    <row r="1212">
      <c r="A1212" s="3">
        <v>43762.66666666667</v>
      </c>
      <c r="B1212" s="2">
        <v>100.73</v>
      </c>
    </row>
    <row r="1213">
      <c r="A1213" s="3">
        <v>43763.66666666667</v>
      </c>
      <c r="B1213" s="2">
        <v>101.28</v>
      </c>
    </row>
    <row r="1214">
      <c r="A1214" s="3">
        <v>43766.66666666667</v>
      </c>
      <c r="B1214" s="2">
        <v>102.43</v>
      </c>
    </row>
    <row r="1215">
      <c r="A1215" s="3">
        <v>43767.66666666667</v>
      </c>
      <c r="B1215" s="2">
        <v>104.39</v>
      </c>
    </row>
    <row r="1216">
      <c r="A1216" s="3">
        <v>43768.66666666667</v>
      </c>
      <c r="B1216" s="2">
        <v>103.28</v>
      </c>
    </row>
    <row r="1217">
      <c r="A1217" s="3">
        <v>43769.66666666667</v>
      </c>
      <c r="B1217" s="2">
        <v>100.91</v>
      </c>
    </row>
    <row r="1218">
      <c r="A1218" s="3">
        <v>43770.66666666667</v>
      </c>
      <c r="B1218" s="2">
        <v>101.9</v>
      </c>
    </row>
    <row r="1219">
      <c r="A1219" s="3">
        <v>43773.66666666667</v>
      </c>
      <c r="B1219" s="2">
        <v>104.3</v>
      </c>
    </row>
    <row r="1220">
      <c r="A1220" s="3">
        <v>43774.66666666667</v>
      </c>
      <c r="B1220" s="2">
        <v>104.12</v>
      </c>
    </row>
    <row r="1221">
      <c r="A1221" s="3">
        <v>43775.66666666667</v>
      </c>
      <c r="B1221" s="2">
        <v>103.38</v>
      </c>
    </row>
    <row r="1222">
      <c r="A1222" s="3">
        <v>43776.66666666667</v>
      </c>
      <c r="B1222" s="2">
        <v>103.72</v>
      </c>
    </row>
    <row r="1223">
      <c r="A1223" s="3">
        <v>43777.66666666667</v>
      </c>
      <c r="B1223" s="2">
        <v>105.25</v>
      </c>
    </row>
    <row r="1224">
      <c r="A1224" s="3">
        <v>43780.66666666667</v>
      </c>
      <c r="B1224" s="2">
        <v>105.62</v>
      </c>
    </row>
    <row r="1225">
      <c r="A1225" s="3">
        <v>43781.66666666667</v>
      </c>
      <c r="B1225" s="2">
        <v>107.06</v>
      </c>
    </row>
    <row r="1226">
      <c r="A1226" s="3">
        <v>43782.66666666667</v>
      </c>
      <c r="B1226" s="2">
        <v>106.65</v>
      </c>
    </row>
    <row r="1227">
      <c r="A1227" s="3">
        <v>43783.66666666667</v>
      </c>
      <c r="B1227" s="2">
        <v>106.83</v>
      </c>
    </row>
    <row r="1228">
      <c r="A1228" s="3">
        <v>43784.66666666667</v>
      </c>
      <c r="B1228" s="2">
        <v>109.08</v>
      </c>
    </row>
    <row r="1229">
      <c r="A1229" s="3">
        <v>43787.66666666667</v>
      </c>
      <c r="B1229" s="2">
        <v>107.37</v>
      </c>
    </row>
    <row r="1230">
      <c r="A1230" s="3">
        <v>43788.66666666667</v>
      </c>
      <c r="B1230" s="2">
        <v>108.13</v>
      </c>
    </row>
    <row r="1231">
      <c r="A1231" s="3">
        <v>43789.66666666667</v>
      </c>
      <c r="B1231" s="2">
        <v>107.51</v>
      </c>
    </row>
    <row r="1232">
      <c r="A1232" s="3">
        <v>43790.66666666667</v>
      </c>
      <c r="B1232" s="2">
        <v>105.75</v>
      </c>
    </row>
    <row r="1233">
      <c r="A1233" s="3">
        <v>43791.66666666667</v>
      </c>
      <c r="B1233" s="2">
        <v>103.66</v>
      </c>
    </row>
    <row r="1234">
      <c r="A1234" s="3">
        <v>43794.66666666667</v>
      </c>
      <c r="B1234" s="2">
        <v>106.3</v>
      </c>
    </row>
    <row r="1235">
      <c r="A1235" s="3">
        <v>43795.66666666667</v>
      </c>
      <c r="B1235" s="2">
        <v>105.73</v>
      </c>
    </row>
    <row r="1236">
      <c r="A1236" s="3">
        <v>43796.66666666667</v>
      </c>
      <c r="B1236" s="2">
        <v>108.04</v>
      </c>
    </row>
    <row r="1237">
      <c r="A1237" s="3">
        <v>43798.54166666667</v>
      </c>
      <c r="B1237" s="2">
        <v>107.03</v>
      </c>
    </row>
    <row r="1238">
      <c r="A1238" s="3">
        <v>43801.66666666667</v>
      </c>
      <c r="B1238" s="2">
        <v>103.29</v>
      </c>
    </row>
    <row r="1239">
      <c r="A1239" s="3">
        <v>43802.66666666667</v>
      </c>
      <c r="B1239" s="2">
        <v>101.74</v>
      </c>
    </row>
    <row r="1240">
      <c r="A1240" s="3">
        <v>43803.66666666667</v>
      </c>
      <c r="B1240" s="2">
        <v>103.16</v>
      </c>
    </row>
    <row r="1241">
      <c r="A1241" s="3">
        <v>43804.66666666667</v>
      </c>
      <c r="B1241" s="2">
        <v>100.77</v>
      </c>
    </row>
    <row r="1242">
      <c r="A1242" s="3">
        <v>43805.66666666667</v>
      </c>
      <c r="B1242" s="2">
        <v>103.2</v>
      </c>
    </row>
    <row r="1243">
      <c r="A1243" s="3">
        <v>43808.66666666667</v>
      </c>
      <c r="B1243" s="2">
        <v>101.72</v>
      </c>
    </row>
    <row r="1244">
      <c r="A1244" s="3">
        <v>43809.66666666667</v>
      </c>
      <c r="B1244" s="2">
        <v>101.6</v>
      </c>
    </row>
    <row r="1245">
      <c r="A1245" s="3">
        <v>43810.66666666667</v>
      </c>
      <c r="B1245" s="2">
        <v>103.24</v>
      </c>
    </row>
    <row r="1246">
      <c r="A1246" s="3">
        <v>43811.66666666667</v>
      </c>
      <c r="B1246" s="2">
        <v>107.3</v>
      </c>
    </row>
    <row r="1247">
      <c r="A1247" s="3">
        <v>43812.66666666667</v>
      </c>
      <c r="B1247" s="2">
        <v>107.81</v>
      </c>
    </row>
    <row r="1248">
      <c r="A1248" s="3">
        <v>43815.66666666667</v>
      </c>
      <c r="B1248" s="2">
        <v>105.17</v>
      </c>
    </row>
    <row r="1249">
      <c r="A1249" s="3">
        <v>43816.66666666667</v>
      </c>
      <c r="B1249" s="2">
        <v>103.94</v>
      </c>
    </row>
    <row r="1250">
      <c r="A1250" s="3">
        <v>43817.66666666667</v>
      </c>
      <c r="B1250" s="2">
        <v>103.93</v>
      </c>
    </row>
    <row r="1251">
      <c r="A1251" s="3">
        <v>43818.66666666667</v>
      </c>
      <c r="B1251" s="2">
        <v>103.86</v>
      </c>
    </row>
    <row r="1252">
      <c r="A1252" s="3">
        <v>43819.66666666667</v>
      </c>
      <c r="B1252" s="2">
        <v>103.12</v>
      </c>
    </row>
    <row r="1253">
      <c r="A1253" s="3">
        <v>43822.66666666667</v>
      </c>
      <c r="B1253" s="2">
        <v>103.96</v>
      </c>
    </row>
    <row r="1254">
      <c r="A1254" s="3">
        <v>43823.54166666667</v>
      </c>
      <c r="B1254" s="2">
        <v>103.22</v>
      </c>
    </row>
    <row r="1255">
      <c r="A1255" s="3">
        <v>43825.66666666667</v>
      </c>
      <c r="B1255" s="2">
        <v>103.65</v>
      </c>
    </row>
    <row r="1256">
      <c r="A1256" s="3">
        <v>43826.66666666667</v>
      </c>
      <c r="B1256" s="2">
        <v>103.23</v>
      </c>
    </row>
    <row r="1257">
      <c r="A1257" s="3">
        <v>43829.66666666667</v>
      </c>
      <c r="B1257" s="2">
        <v>102.18</v>
      </c>
    </row>
    <row r="1258">
      <c r="A1258" s="3">
        <v>43830.66666666667</v>
      </c>
      <c r="B1258" s="2">
        <v>102.63</v>
      </c>
    </row>
    <row r="1259">
      <c r="A1259" s="3">
        <v>43832.66666666667</v>
      </c>
      <c r="B1259" s="2">
        <v>104.19</v>
      </c>
    </row>
    <row r="1260">
      <c r="A1260" s="3">
        <v>43833.66666666667</v>
      </c>
      <c r="B1260" s="2">
        <v>101.88</v>
      </c>
    </row>
    <row r="1261">
      <c r="A1261" s="3">
        <v>43836.66666666667</v>
      </c>
      <c r="B1261" s="2">
        <v>100.14</v>
      </c>
    </row>
    <row r="1262">
      <c r="A1262" s="3">
        <v>43837.66666666667</v>
      </c>
      <c r="B1262" s="2">
        <v>100.78</v>
      </c>
    </row>
    <row r="1263">
      <c r="A1263" s="3">
        <v>43838.66666666667</v>
      </c>
      <c r="B1263" s="2">
        <v>101.07</v>
      </c>
    </row>
    <row r="1264">
      <c r="A1264" s="3">
        <v>43839.66666666667</v>
      </c>
      <c r="B1264" s="2">
        <v>101.61</v>
      </c>
    </row>
    <row r="1265">
      <c r="A1265" s="3">
        <v>43840.66666666667</v>
      </c>
      <c r="B1265" s="2">
        <v>100.36</v>
      </c>
    </row>
    <row r="1266">
      <c r="A1266" s="3">
        <v>43843.66666666667</v>
      </c>
      <c r="B1266" s="2">
        <v>101.8</v>
      </c>
    </row>
    <row r="1267">
      <c r="A1267" s="3">
        <v>43844.66666666667</v>
      </c>
      <c r="B1267" s="2">
        <v>101.39</v>
      </c>
    </row>
    <row r="1268">
      <c r="A1268" s="3">
        <v>43845.66666666667</v>
      </c>
      <c r="B1268" s="2">
        <v>101.06</v>
      </c>
    </row>
    <row r="1269">
      <c r="A1269" s="3">
        <v>43846.66666666667</v>
      </c>
      <c r="B1269" s="2">
        <v>103.37</v>
      </c>
    </row>
    <row r="1270">
      <c r="A1270" s="3">
        <v>43847.66666666667</v>
      </c>
      <c r="B1270" s="2">
        <v>105.37</v>
      </c>
    </row>
    <row r="1271">
      <c r="A1271" s="3">
        <v>43851.66666666667</v>
      </c>
      <c r="B1271" s="2">
        <v>104.87</v>
      </c>
    </row>
    <row r="1272">
      <c r="A1272" s="3">
        <v>43852.66666666667</v>
      </c>
      <c r="B1272" s="2">
        <v>105.51</v>
      </c>
    </row>
    <row r="1273">
      <c r="A1273" s="3">
        <v>43853.66666666667</v>
      </c>
      <c r="B1273" s="2">
        <v>104.16</v>
      </c>
    </row>
    <row r="1274">
      <c r="A1274" s="3">
        <v>43854.66666666667</v>
      </c>
      <c r="B1274" s="2">
        <v>102.98</v>
      </c>
    </row>
    <row r="1275">
      <c r="A1275" s="3">
        <v>43857.66666666667</v>
      </c>
      <c r="B1275" s="2">
        <v>100.01</v>
      </c>
    </row>
    <row r="1276">
      <c r="A1276" s="3">
        <v>43858.66666666667</v>
      </c>
      <c r="B1276" s="2">
        <v>102.14</v>
      </c>
    </row>
    <row r="1277">
      <c r="A1277" s="3">
        <v>43859.66666666667</v>
      </c>
      <c r="B1277" s="2">
        <v>95.66</v>
      </c>
    </row>
    <row r="1278">
      <c r="A1278" s="3">
        <v>43860.66666666667</v>
      </c>
      <c r="B1278" s="2">
        <v>95.29</v>
      </c>
    </row>
    <row r="1279">
      <c r="A1279" s="3">
        <v>43861.66666666667</v>
      </c>
      <c r="B1279" s="2">
        <v>92.99</v>
      </c>
    </row>
    <row r="1280">
      <c r="A1280" s="3">
        <v>43864.66666666667</v>
      </c>
      <c r="B1280" s="2">
        <v>93.21</v>
      </c>
    </row>
    <row r="1281">
      <c r="A1281" s="3">
        <v>43865.66666666667</v>
      </c>
      <c r="B1281" s="2">
        <v>94.67</v>
      </c>
    </row>
    <row r="1282">
      <c r="A1282" s="3">
        <v>43866.66666666667</v>
      </c>
      <c r="B1282" s="2">
        <v>95.4</v>
      </c>
    </row>
    <row r="1283">
      <c r="A1283" s="3">
        <v>43867.66666666667</v>
      </c>
      <c r="B1283" s="2">
        <v>96.49</v>
      </c>
    </row>
    <row r="1284">
      <c r="A1284" s="3">
        <v>43868.66666666667</v>
      </c>
      <c r="B1284" s="2">
        <v>94.5</v>
      </c>
    </row>
    <row r="1285">
      <c r="A1285" s="3">
        <v>43871.66666666667</v>
      </c>
      <c r="B1285" s="2">
        <v>94.55</v>
      </c>
    </row>
    <row r="1286">
      <c r="A1286" s="3">
        <v>43872.66666666667</v>
      </c>
      <c r="B1286" s="2">
        <v>96.15</v>
      </c>
    </row>
    <row r="1287">
      <c r="A1287" s="3">
        <v>43873.66666666667</v>
      </c>
      <c r="B1287" s="2">
        <v>98.47</v>
      </c>
    </row>
    <row r="1288">
      <c r="A1288" s="3">
        <v>43874.66666666667</v>
      </c>
      <c r="B1288" s="2">
        <v>96.61</v>
      </c>
    </row>
    <row r="1289">
      <c r="A1289" s="3">
        <v>43875.66666666667</v>
      </c>
      <c r="B1289" s="2">
        <v>98.16</v>
      </c>
    </row>
    <row r="1290">
      <c r="A1290" s="3">
        <v>43879.66666666667</v>
      </c>
      <c r="B1290" s="2">
        <v>97.6</v>
      </c>
    </row>
    <row r="1291">
      <c r="A1291" s="3">
        <v>43880.66666666667</v>
      </c>
      <c r="B1291" s="2">
        <v>98.48</v>
      </c>
    </row>
    <row r="1292">
      <c r="A1292" s="3">
        <v>43881.66666666667</v>
      </c>
      <c r="B1292" s="2">
        <v>98.46</v>
      </c>
    </row>
    <row r="1293">
      <c r="A1293" s="3">
        <v>43882.66666666667</v>
      </c>
      <c r="B1293" s="2">
        <v>96.18</v>
      </c>
    </row>
    <row r="1294">
      <c r="A1294" s="3">
        <v>43885.66666666667</v>
      </c>
      <c r="B1294" s="2">
        <v>90.89</v>
      </c>
    </row>
    <row r="1295">
      <c r="A1295" s="3">
        <v>43886.66666666667</v>
      </c>
      <c r="B1295" s="2">
        <v>93.66</v>
      </c>
    </row>
    <row r="1296">
      <c r="A1296" s="3">
        <v>43887.66666666667</v>
      </c>
      <c r="B1296" s="2">
        <v>94.07</v>
      </c>
    </row>
    <row r="1297">
      <c r="A1297" s="3">
        <v>43888.66666666667</v>
      </c>
      <c r="B1297" s="2">
        <v>92.4</v>
      </c>
    </row>
    <row r="1298">
      <c r="A1298" s="3">
        <v>43889.66666666667</v>
      </c>
      <c r="B1298" s="2">
        <v>94.76</v>
      </c>
    </row>
    <row r="1299">
      <c r="A1299" s="3">
        <v>43892.66666666667</v>
      </c>
      <c r="B1299" s="2">
        <v>97.42</v>
      </c>
    </row>
    <row r="1300">
      <c r="A1300" s="3">
        <v>43893.66666666667</v>
      </c>
      <c r="B1300" s="2">
        <v>93.51</v>
      </c>
    </row>
    <row r="1301">
      <c r="A1301" s="3">
        <v>43894.66666666667</v>
      </c>
      <c r="B1301" s="2">
        <v>97.93</v>
      </c>
    </row>
    <row r="1302">
      <c r="A1302" s="3">
        <v>43895.66666666667</v>
      </c>
      <c r="B1302" s="2">
        <v>98.6</v>
      </c>
    </row>
    <row r="1303">
      <c r="A1303" s="3">
        <v>43896.66666666667</v>
      </c>
      <c r="B1303" s="2">
        <v>96.01</v>
      </c>
    </row>
    <row r="1304">
      <c r="A1304" s="3">
        <v>43899.66666666667</v>
      </c>
      <c r="B1304" s="2">
        <v>89.2</v>
      </c>
    </row>
    <row r="1305">
      <c r="A1305" s="3">
        <v>43900.66666666667</v>
      </c>
      <c r="B1305" s="2">
        <v>94.83</v>
      </c>
    </row>
    <row r="1306">
      <c r="A1306" s="3">
        <v>43901.66666666667</v>
      </c>
      <c r="B1306" s="2">
        <v>91.8</v>
      </c>
    </row>
    <row r="1307">
      <c r="A1307" s="3">
        <v>43902.66666666667</v>
      </c>
      <c r="B1307" s="2">
        <v>82.36</v>
      </c>
    </row>
    <row r="1308">
      <c r="A1308" s="3">
        <v>43903.66666666667</v>
      </c>
      <c r="B1308" s="2">
        <v>92.03</v>
      </c>
    </row>
    <row r="1309">
      <c r="A1309" s="3">
        <v>43906.66666666667</v>
      </c>
      <c r="B1309" s="2">
        <v>83.78</v>
      </c>
    </row>
    <row r="1310">
      <c r="A1310" s="3">
        <v>43907.66666666667</v>
      </c>
      <c r="B1310" s="2">
        <v>94.19</v>
      </c>
    </row>
    <row r="1311">
      <c r="A1311" s="3">
        <v>43908.66666666667</v>
      </c>
      <c r="B1311" s="2">
        <v>86.0</v>
      </c>
    </row>
    <row r="1312">
      <c r="A1312" s="3">
        <v>43909.66666666667</v>
      </c>
      <c r="B1312" s="2">
        <v>85.97</v>
      </c>
    </row>
    <row r="1313">
      <c r="A1313" s="3">
        <v>43910.66666666667</v>
      </c>
      <c r="B1313" s="2">
        <v>83.09</v>
      </c>
    </row>
    <row r="1314">
      <c r="A1314" s="3">
        <v>43913.66666666667</v>
      </c>
      <c r="B1314" s="2">
        <v>81.17</v>
      </c>
    </row>
    <row r="1315">
      <c r="A1315" s="3">
        <v>43914.66666666667</v>
      </c>
      <c r="B1315" s="2">
        <v>85.06</v>
      </c>
    </row>
    <row r="1316">
      <c r="A1316" s="3">
        <v>43915.66666666667</v>
      </c>
      <c r="B1316" s="2">
        <v>81.96</v>
      </c>
    </row>
    <row r="1317">
      <c r="A1317" s="3">
        <v>43916.66666666667</v>
      </c>
      <c r="B1317" s="2">
        <v>84.21</v>
      </c>
    </row>
    <row r="1318">
      <c r="A1318" s="3">
        <v>43917.66666666667</v>
      </c>
      <c r="B1318" s="2">
        <v>78.28</v>
      </c>
    </row>
    <row r="1319">
      <c r="A1319" s="3">
        <v>43920.66666666667</v>
      </c>
      <c r="B1319" s="2">
        <v>85.66</v>
      </c>
    </row>
    <row r="1320">
      <c r="A1320" s="3">
        <v>43921.66666666667</v>
      </c>
      <c r="B1320" s="2">
        <v>83.68</v>
      </c>
    </row>
    <row r="1321">
      <c r="A1321" s="3">
        <v>43922.66666666667</v>
      </c>
      <c r="B1321" s="2">
        <v>80.89</v>
      </c>
    </row>
    <row r="1322">
      <c r="A1322" s="3">
        <v>43923.66666666667</v>
      </c>
      <c r="B1322" s="2">
        <v>83.75</v>
      </c>
    </row>
    <row r="1323">
      <c r="A1323" s="3">
        <v>43924.66666666667</v>
      </c>
      <c r="B1323" s="2">
        <v>82.52</v>
      </c>
    </row>
    <row r="1324">
      <c r="A1324" s="3">
        <v>43927.66666666667</v>
      </c>
      <c r="B1324" s="2">
        <v>90.73</v>
      </c>
    </row>
    <row r="1325">
      <c r="A1325" s="3">
        <v>43928.66666666667</v>
      </c>
      <c r="B1325" s="2">
        <v>89.21</v>
      </c>
    </row>
    <row r="1326">
      <c r="A1326" s="3">
        <v>43929.66666666667</v>
      </c>
      <c r="B1326" s="2">
        <v>91.0</v>
      </c>
    </row>
    <row r="1327">
      <c r="A1327" s="3">
        <v>43930.66666666667</v>
      </c>
      <c r="B1327" s="2">
        <v>92.1</v>
      </c>
    </row>
    <row r="1328">
      <c r="A1328" s="3">
        <v>43934.66666666667</v>
      </c>
      <c r="B1328" s="2">
        <v>92.55</v>
      </c>
    </row>
    <row r="1329">
      <c r="A1329" s="3">
        <v>43935.66666666667</v>
      </c>
      <c r="B1329" s="2">
        <v>94.86</v>
      </c>
    </row>
    <row r="1330">
      <c r="A1330" s="3">
        <v>43936.66666666667</v>
      </c>
      <c r="B1330" s="2">
        <v>92.97</v>
      </c>
    </row>
    <row r="1331">
      <c r="A1331" s="3">
        <v>43937.66666666667</v>
      </c>
      <c r="B1331" s="2">
        <v>96.58</v>
      </c>
    </row>
    <row r="1332">
      <c r="A1332" s="3">
        <v>43938.66666666667</v>
      </c>
      <c r="B1332" s="2">
        <v>95.84</v>
      </c>
    </row>
    <row r="1333">
      <c r="A1333" s="3">
        <v>43941.66666666667</v>
      </c>
      <c r="B1333" s="2">
        <v>95.31</v>
      </c>
    </row>
    <row r="1334">
      <c r="A1334" s="3">
        <v>43942.66666666667</v>
      </c>
      <c r="B1334" s="2">
        <v>91.6</v>
      </c>
    </row>
    <row r="1335">
      <c r="A1335" s="3">
        <v>43943.66666666667</v>
      </c>
      <c r="B1335" s="2">
        <v>95.27</v>
      </c>
    </row>
    <row r="1336">
      <c r="A1336" s="3">
        <v>43944.66666666667</v>
      </c>
      <c r="B1336" s="2">
        <v>95.76</v>
      </c>
    </row>
    <row r="1337">
      <c r="A1337" s="3">
        <v>43945.66666666667</v>
      </c>
      <c r="B1337" s="2">
        <v>97.54</v>
      </c>
    </row>
    <row r="1338">
      <c r="A1338" s="3">
        <v>43948.66666666667</v>
      </c>
      <c r="B1338" s="2">
        <v>96.33</v>
      </c>
    </row>
    <row r="1339">
      <c r="A1339" s="3">
        <v>43949.66666666667</v>
      </c>
      <c r="B1339" s="2">
        <v>95.93</v>
      </c>
    </row>
    <row r="1340">
      <c r="A1340" s="3">
        <v>43950.66666666667</v>
      </c>
      <c r="B1340" s="2">
        <v>98.91</v>
      </c>
    </row>
    <row r="1341">
      <c r="A1341" s="3">
        <v>43951.66666666667</v>
      </c>
      <c r="B1341" s="2">
        <v>96.77</v>
      </c>
    </row>
    <row r="1342">
      <c r="A1342" s="3">
        <v>43952.66666666667</v>
      </c>
      <c r="B1342" s="2">
        <v>93.84</v>
      </c>
    </row>
    <row r="1343">
      <c r="A1343" s="3">
        <v>43955.66666666667</v>
      </c>
      <c r="B1343" s="2">
        <v>93.49</v>
      </c>
    </row>
    <row r="1344">
      <c r="A1344" s="3">
        <v>43956.66666666667</v>
      </c>
      <c r="B1344" s="2">
        <v>96.02</v>
      </c>
    </row>
    <row r="1345">
      <c r="A1345" s="3">
        <v>43957.66666666667</v>
      </c>
      <c r="B1345" s="2">
        <v>98.89</v>
      </c>
    </row>
    <row r="1346">
      <c r="A1346" s="3">
        <v>43958.66666666667</v>
      </c>
      <c r="B1346" s="2">
        <v>96.99</v>
      </c>
    </row>
    <row r="1347">
      <c r="A1347" s="3">
        <v>43959.66666666667</v>
      </c>
      <c r="B1347" s="2">
        <v>100.69</v>
      </c>
    </row>
    <row r="1348">
      <c r="A1348" s="3">
        <v>43962.66666666667</v>
      </c>
      <c r="B1348" s="2">
        <v>101.07</v>
      </c>
    </row>
    <row r="1349">
      <c r="A1349" s="3">
        <v>43963.66666666667</v>
      </c>
      <c r="B1349" s="2">
        <v>99.01</v>
      </c>
    </row>
    <row r="1350">
      <c r="A1350" s="3">
        <v>43964.66666666667</v>
      </c>
      <c r="B1350" s="2">
        <v>97.56</v>
      </c>
    </row>
    <row r="1351">
      <c r="A1351" s="3">
        <v>43965.66666666667</v>
      </c>
      <c r="B1351" s="2">
        <v>98.7</v>
      </c>
    </row>
    <row r="1352">
      <c r="A1352" s="3">
        <v>43966.66666666667</v>
      </c>
      <c r="B1352" s="2">
        <v>94.78</v>
      </c>
    </row>
    <row r="1353">
      <c r="A1353" s="3">
        <v>43969.66666666667</v>
      </c>
      <c r="B1353" s="2">
        <v>96.85</v>
      </c>
    </row>
    <row r="1354">
      <c r="A1354" s="3">
        <v>43970.66666666667</v>
      </c>
      <c r="B1354" s="2">
        <v>96.0</v>
      </c>
    </row>
    <row r="1355">
      <c r="A1355" s="3">
        <v>43971.66666666667</v>
      </c>
      <c r="B1355" s="2">
        <v>102.92</v>
      </c>
    </row>
    <row r="1356">
      <c r="A1356" s="3">
        <v>43972.66666666667</v>
      </c>
      <c r="B1356" s="2">
        <v>99.99</v>
      </c>
    </row>
    <row r="1357">
      <c r="A1357" s="3">
        <v>43973.66666666667</v>
      </c>
      <c r="B1357" s="2">
        <v>102.06</v>
      </c>
    </row>
    <row r="1358">
      <c r="A1358" s="3">
        <v>43977.66666666667</v>
      </c>
      <c r="B1358" s="2">
        <v>103.4</v>
      </c>
    </row>
    <row r="1359">
      <c r="A1359" s="3">
        <v>43978.66666666667</v>
      </c>
      <c r="B1359" s="2">
        <v>101.74</v>
      </c>
    </row>
    <row r="1360">
      <c r="A1360" s="3">
        <v>43979.66666666667</v>
      </c>
      <c r="B1360" s="2">
        <v>103.64</v>
      </c>
    </row>
    <row r="1361">
      <c r="A1361" s="3">
        <v>43980.66666666667</v>
      </c>
      <c r="B1361" s="2">
        <v>108.13</v>
      </c>
    </row>
    <row r="1362">
      <c r="A1362" s="3">
        <v>43983.66666666667</v>
      </c>
      <c r="B1362" s="2">
        <v>106.93</v>
      </c>
    </row>
    <row r="1363">
      <c r="A1363" s="3">
        <v>43984.66666666667</v>
      </c>
      <c r="B1363" s="2">
        <v>106.31</v>
      </c>
    </row>
    <row r="1364">
      <c r="A1364" s="3">
        <v>43985.66666666667</v>
      </c>
      <c r="B1364" s="2">
        <v>106.54</v>
      </c>
    </row>
    <row r="1365">
      <c r="A1365" s="3">
        <v>43986.66666666667</v>
      </c>
      <c r="B1365" s="2">
        <v>102.38</v>
      </c>
    </row>
    <row r="1366">
      <c r="A1366" s="3">
        <v>43987.66666666667</v>
      </c>
      <c r="B1366" s="2">
        <v>106.41</v>
      </c>
    </row>
    <row r="1367">
      <c r="A1367" s="3">
        <v>43990.66666666667</v>
      </c>
      <c r="B1367" s="2">
        <v>102.87</v>
      </c>
    </row>
    <row r="1368">
      <c r="A1368" s="3">
        <v>43991.66666666667</v>
      </c>
      <c r="B1368" s="2">
        <v>103.11</v>
      </c>
    </row>
    <row r="1369">
      <c r="A1369" s="3">
        <v>43992.66666666667</v>
      </c>
      <c r="B1369" s="2">
        <v>103.49</v>
      </c>
    </row>
    <row r="1370">
      <c r="A1370" s="3">
        <v>43993.66666666667</v>
      </c>
      <c r="B1370" s="2">
        <v>97.82</v>
      </c>
    </row>
    <row r="1371">
      <c r="A1371" s="3">
        <v>43994.66666666667</v>
      </c>
      <c r="B1371" s="2">
        <v>95.67</v>
      </c>
    </row>
    <row r="1372">
      <c r="A1372" s="3">
        <v>43997.66666666667</v>
      </c>
      <c r="B1372" s="2">
        <v>98.54</v>
      </c>
    </row>
    <row r="1373">
      <c r="A1373" s="3">
        <v>43998.66666666667</v>
      </c>
      <c r="B1373" s="2">
        <v>101.45</v>
      </c>
    </row>
    <row r="1374">
      <c r="A1374" s="3">
        <v>43999.66666666667</v>
      </c>
      <c r="B1374" s="2">
        <v>104.31</v>
      </c>
    </row>
    <row r="1375">
      <c r="A1375" s="3">
        <v>44000.66666666667</v>
      </c>
      <c r="B1375" s="2">
        <v>102.59</v>
      </c>
    </row>
    <row r="1376">
      <c r="A1376" s="3">
        <v>44001.66666666667</v>
      </c>
      <c r="B1376" s="2">
        <v>106.44</v>
      </c>
    </row>
    <row r="1377">
      <c r="A1377" s="3">
        <v>44004.66666666667</v>
      </c>
      <c r="B1377" s="2">
        <v>104.82</v>
      </c>
    </row>
    <row r="1378">
      <c r="A1378" s="3">
        <v>44005.66666666667</v>
      </c>
      <c r="B1378" s="2">
        <v>104.34</v>
      </c>
    </row>
    <row r="1379">
      <c r="A1379" s="3">
        <v>44006.66666666667</v>
      </c>
      <c r="B1379" s="2">
        <v>101.23</v>
      </c>
    </row>
    <row r="1380">
      <c r="A1380" s="3">
        <v>44007.66666666667</v>
      </c>
      <c r="B1380" s="2">
        <v>100.39</v>
      </c>
    </row>
    <row r="1381">
      <c r="A1381" s="3">
        <v>44008.66666666667</v>
      </c>
      <c r="B1381" s="2">
        <v>97.56</v>
      </c>
    </row>
    <row r="1382">
      <c r="A1382" s="3">
        <v>44011.66666666667</v>
      </c>
      <c r="B1382" s="2">
        <v>98.13</v>
      </c>
    </row>
    <row r="1383">
      <c r="A1383" s="3">
        <v>44012.66666666667</v>
      </c>
      <c r="B1383" s="2">
        <v>100.78</v>
      </c>
    </row>
    <row r="1384">
      <c r="A1384" s="3">
        <v>44013.66666666667</v>
      </c>
      <c r="B1384" s="2">
        <v>99.71</v>
      </c>
    </row>
    <row r="1385">
      <c r="A1385" s="3">
        <v>44014.66666666667</v>
      </c>
      <c r="B1385" s="2">
        <v>100.73</v>
      </c>
    </row>
    <row r="1386">
      <c r="A1386" s="3">
        <v>44018.66666666667</v>
      </c>
      <c r="B1386" s="2">
        <v>101.82</v>
      </c>
    </row>
    <row r="1387">
      <c r="A1387" s="3">
        <v>44019.66666666667</v>
      </c>
      <c r="B1387" s="2">
        <v>99.88</v>
      </c>
    </row>
    <row r="1388">
      <c r="A1388" s="3">
        <v>44020.66666666667</v>
      </c>
      <c r="B1388" s="2">
        <v>99.14</v>
      </c>
    </row>
    <row r="1389">
      <c r="A1389" s="3">
        <v>44021.66666666667</v>
      </c>
      <c r="B1389" s="2">
        <v>99.83</v>
      </c>
    </row>
    <row r="1390">
      <c r="A1390" s="3">
        <v>44022.66666666667</v>
      </c>
      <c r="B1390" s="2">
        <v>97.64</v>
      </c>
    </row>
    <row r="1391">
      <c r="A1391" s="3">
        <v>44025.66666666667</v>
      </c>
      <c r="B1391" s="2">
        <v>94.77</v>
      </c>
    </row>
    <row r="1392">
      <c r="A1392" s="3">
        <v>44026.66666666667</v>
      </c>
      <c r="B1392" s="2">
        <v>95.83</v>
      </c>
    </row>
    <row r="1393">
      <c r="A1393" s="3">
        <v>44027.66666666667</v>
      </c>
      <c r="B1393" s="2">
        <v>96.78</v>
      </c>
    </row>
    <row r="1394">
      <c r="A1394" s="3">
        <v>44028.66666666667</v>
      </c>
      <c r="B1394" s="2">
        <v>96.38</v>
      </c>
    </row>
    <row r="1395">
      <c r="A1395" s="3">
        <v>44029.66666666667</v>
      </c>
      <c r="B1395" s="2">
        <v>97.78</v>
      </c>
    </row>
    <row r="1396">
      <c r="A1396" s="3">
        <v>44032.66666666667</v>
      </c>
      <c r="B1396" s="2">
        <v>97.87</v>
      </c>
    </row>
    <row r="1397">
      <c r="A1397" s="3">
        <v>44033.66666666667</v>
      </c>
      <c r="B1397" s="2">
        <v>98.43</v>
      </c>
    </row>
    <row r="1398">
      <c r="A1398" s="3">
        <v>44034.66666666667</v>
      </c>
      <c r="B1398" s="2">
        <v>98.37</v>
      </c>
    </row>
    <row r="1399">
      <c r="A1399" s="3">
        <v>44035.66666666667</v>
      </c>
      <c r="B1399" s="2">
        <v>99.18</v>
      </c>
    </row>
    <row r="1400">
      <c r="A1400" s="3">
        <v>44036.66666666667</v>
      </c>
      <c r="B1400" s="2">
        <v>96.85</v>
      </c>
    </row>
    <row r="1401">
      <c r="A1401" s="3">
        <v>44039.66666666667</v>
      </c>
      <c r="B1401" s="2">
        <v>98.2</v>
      </c>
    </row>
    <row r="1402">
      <c r="A1402" s="3">
        <v>44040.66666666667</v>
      </c>
      <c r="B1402" s="2">
        <v>95.68</v>
      </c>
    </row>
    <row r="1403">
      <c r="A1403" s="3">
        <v>44041.66666666667</v>
      </c>
      <c r="B1403" s="2">
        <v>96.21</v>
      </c>
    </row>
    <row r="1404">
      <c r="A1404" s="3">
        <v>44042.66666666667</v>
      </c>
      <c r="B1404" s="2">
        <v>98.98</v>
      </c>
    </row>
    <row r="1405">
      <c r="A1405" s="3">
        <v>44043.66666666667</v>
      </c>
      <c r="B1405" s="2">
        <v>99.89</v>
      </c>
    </row>
    <row r="1406">
      <c r="A1406" s="3">
        <v>44046.66666666667</v>
      </c>
      <c r="B1406" s="2">
        <v>100.77</v>
      </c>
    </row>
    <row r="1407">
      <c r="A1407" s="3">
        <v>44047.66666666667</v>
      </c>
      <c r="B1407" s="2">
        <v>100.3</v>
      </c>
    </row>
    <row r="1408">
      <c r="A1408" s="3">
        <v>44048.66666666667</v>
      </c>
      <c r="B1408" s="2">
        <v>100.35</v>
      </c>
    </row>
    <row r="1409">
      <c r="A1409" s="3">
        <v>44049.66666666667</v>
      </c>
      <c r="B1409" s="2">
        <v>99.98</v>
      </c>
    </row>
    <row r="1410">
      <c r="A1410" s="3">
        <v>44050.66666666667</v>
      </c>
      <c r="B1410" s="2">
        <v>98.14</v>
      </c>
    </row>
    <row r="1411">
      <c r="A1411" s="3">
        <v>44053.66666666667</v>
      </c>
      <c r="B1411" s="2">
        <v>97.77</v>
      </c>
    </row>
    <row r="1412">
      <c r="A1412" s="3">
        <v>44054.66666666667</v>
      </c>
      <c r="B1412" s="2">
        <v>98.81</v>
      </c>
    </row>
    <row r="1413">
      <c r="A1413" s="3">
        <v>44055.66666666667</v>
      </c>
      <c r="B1413" s="2">
        <v>99.57</v>
      </c>
    </row>
    <row r="1414">
      <c r="A1414" s="3">
        <v>44056.66666666667</v>
      </c>
      <c r="B1414" s="2">
        <v>103.2</v>
      </c>
    </row>
    <row r="1415">
      <c r="A1415" s="3">
        <v>44057.66666666667</v>
      </c>
      <c r="B1415" s="2">
        <v>102.95</v>
      </c>
    </row>
    <row r="1416">
      <c r="A1416" s="3">
        <v>44060.66666666667</v>
      </c>
      <c r="B1416" s="2">
        <v>102.6</v>
      </c>
    </row>
    <row r="1417">
      <c r="A1417" s="3">
        <v>44061.66666666667</v>
      </c>
      <c r="B1417" s="2">
        <v>102.69</v>
      </c>
    </row>
    <row r="1418">
      <c r="A1418" s="3">
        <v>44062.66666666667</v>
      </c>
      <c r="B1418" s="2">
        <v>104.0</v>
      </c>
    </row>
    <row r="1419">
      <c r="A1419" s="3">
        <v>44063.66666666667</v>
      </c>
      <c r="B1419" s="2">
        <v>102.82</v>
      </c>
    </row>
    <row r="1420">
      <c r="A1420" s="3">
        <v>44064.66666666667</v>
      </c>
      <c r="B1420" s="2">
        <v>95.88</v>
      </c>
    </row>
    <row r="1421">
      <c r="A1421" s="3">
        <v>44067.66666666667</v>
      </c>
      <c r="B1421" s="2">
        <v>96.29</v>
      </c>
    </row>
    <row r="1422">
      <c r="A1422" s="3">
        <v>44068.66666666667</v>
      </c>
      <c r="B1422" s="2">
        <v>97.58</v>
      </c>
    </row>
    <row r="1423">
      <c r="A1423" s="3">
        <v>44069.66666666667</v>
      </c>
      <c r="B1423" s="2">
        <v>98.07</v>
      </c>
    </row>
    <row r="1424">
      <c r="A1424" s="3">
        <v>44070.66666666667</v>
      </c>
      <c r="B1424" s="2">
        <v>95.61</v>
      </c>
    </row>
    <row r="1425">
      <c r="A1425" s="3">
        <v>44071.66666666667</v>
      </c>
      <c r="B1425" s="2">
        <v>97.33</v>
      </c>
    </row>
    <row r="1426">
      <c r="A1426" s="3">
        <v>44074.66666666667</v>
      </c>
      <c r="B1426" s="2">
        <v>98.52</v>
      </c>
    </row>
    <row r="1427">
      <c r="A1427" s="3">
        <v>44075.66666666667</v>
      </c>
      <c r="B1427" s="2">
        <v>99.74</v>
      </c>
    </row>
    <row r="1428">
      <c r="A1428" s="3">
        <v>44076.66666666667</v>
      </c>
      <c r="B1428" s="2">
        <v>102.5</v>
      </c>
    </row>
    <row r="1429">
      <c r="A1429" s="3">
        <v>44077.66666666667</v>
      </c>
      <c r="B1429" s="2">
        <v>97.89</v>
      </c>
    </row>
    <row r="1430">
      <c r="A1430" s="3">
        <v>44078.66666666667</v>
      </c>
      <c r="B1430" s="2">
        <v>94.95</v>
      </c>
    </row>
    <row r="1431">
      <c r="A1431" s="3">
        <v>44082.66666666667</v>
      </c>
      <c r="B1431" s="2">
        <v>93.39</v>
      </c>
    </row>
    <row r="1432">
      <c r="A1432" s="3">
        <v>44083.66666666667</v>
      </c>
      <c r="B1432" s="2">
        <v>92.89</v>
      </c>
    </row>
    <row r="1433">
      <c r="A1433" s="3">
        <v>44084.66666666667</v>
      </c>
      <c r="B1433" s="2">
        <v>90.69</v>
      </c>
    </row>
    <row r="1434">
      <c r="A1434" s="3">
        <v>44085.66666666667</v>
      </c>
      <c r="B1434" s="2">
        <v>92.35</v>
      </c>
    </row>
    <row r="1435">
      <c r="A1435" s="3">
        <v>44088.66666666667</v>
      </c>
      <c r="B1435" s="2">
        <v>94.23</v>
      </c>
    </row>
    <row r="1436">
      <c r="A1436" s="3">
        <v>44089.66666666667</v>
      </c>
      <c r="B1436" s="2">
        <v>96.21</v>
      </c>
    </row>
    <row r="1437">
      <c r="A1437" s="3">
        <v>44090.66666666667</v>
      </c>
      <c r="B1437" s="2">
        <v>97.97</v>
      </c>
    </row>
    <row r="1438">
      <c r="A1438" s="3">
        <v>44091.66666666667</v>
      </c>
      <c r="B1438" s="2">
        <v>98.25</v>
      </c>
    </row>
    <row r="1439">
      <c r="A1439" s="3">
        <v>44092.66666666667</v>
      </c>
      <c r="B1439" s="2">
        <v>97.1</v>
      </c>
    </row>
    <row r="1440">
      <c r="A1440" s="3">
        <v>44095.66666666667</v>
      </c>
      <c r="B1440" s="2">
        <v>97.8</v>
      </c>
    </row>
    <row r="1441">
      <c r="A1441" s="3">
        <v>44096.66666666667</v>
      </c>
      <c r="B1441" s="2">
        <v>97.42</v>
      </c>
    </row>
    <row r="1442">
      <c r="A1442" s="3">
        <v>44097.66666666667</v>
      </c>
      <c r="B1442" s="2">
        <v>96.36</v>
      </c>
    </row>
    <row r="1443">
      <c r="A1443" s="3">
        <v>44098.66666666667</v>
      </c>
      <c r="B1443" s="2">
        <v>96.6</v>
      </c>
    </row>
    <row r="1444">
      <c r="A1444" s="3">
        <v>44099.66666666667</v>
      </c>
      <c r="B1444" s="2">
        <v>98.12</v>
      </c>
    </row>
    <row r="1445">
      <c r="A1445" s="3">
        <v>44102.66666666667</v>
      </c>
      <c r="B1445" s="2">
        <v>100.25</v>
      </c>
    </row>
    <row r="1446">
      <c r="A1446" s="3">
        <v>44103.66666666667</v>
      </c>
      <c r="B1446" s="2">
        <v>99.6</v>
      </c>
    </row>
    <row r="1447">
      <c r="A1447" s="3">
        <v>44104.66666666667</v>
      </c>
      <c r="B1447" s="2">
        <v>98.78</v>
      </c>
    </row>
    <row r="1448">
      <c r="A1448" s="3">
        <v>44105.66666666667</v>
      </c>
      <c r="B1448" s="2">
        <v>97.48</v>
      </c>
    </row>
    <row r="1449">
      <c r="A1449" s="3">
        <v>44106.66666666667</v>
      </c>
      <c r="B1449" s="2">
        <v>98.27</v>
      </c>
    </row>
    <row r="1450">
      <c r="A1450" s="3">
        <v>44109.66666666667</v>
      </c>
      <c r="B1450" s="2">
        <v>99.69</v>
      </c>
    </row>
    <row r="1451">
      <c r="A1451" s="3">
        <v>44110.66666666667</v>
      </c>
      <c r="B1451" s="2">
        <v>99.49</v>
      </c>
    </row>
    <row r="1452">
      <c r="A1452" s="3">
        <v>44111.66666666667</v>
      </c>
      <c r="B1452" s="2">
        <v>101.16</v>
      </c>
    </row>
    <row r="1453">
      <c r="A1453" s="3">
        <v>44112.66666666667</v>
      </c>
      <c r="B1453" s="2">
        <v>103.18</v>
      </c>
    </row>
    <row r="1454">
      <c r="A1454" s="3">
        <v>44113.66666666667</v>
      </c>
      <c r="B1454" s="2">
        <v>105.26</v>
      </c>
    </row>
    <row r="1455">
      <c r="A1455" s="3">
        <v>44116.66666666667</v>
      </c>
      <c r="B1455" s="2">
        <v>105.72</v>
      </c>
    </row>
    <row r="1456">
      <c r="A1456" s="3">
        <v>44117.66666666667</v>
      </c>
      <c r="B1456" s="2">
        <v>104.49</v>
      </c>
    </row>
    <row r="1457">
      <c r="A1457" s="3">
        <v>44118.66666666667</v>
      </c>
      <c r="B1457" s="2">
        <v>104.98</v>
      </c>
    </row>
    <row r="1458">
      <c r="A1458" s="3">
        <v>44119.66666666667</v>
      </c>
      <c r="B1458" s="2">
        <v>105.68</v>
      </c>
    </row>
    <row r="1459">
      <c r="A1459" s="3">
        <v>44120.66666666667</v>
      </c>
      <c r="B1459" s="2">
        <v>104.91</v>
      </c>
    </row>
    <row r="1460">
      <c r="A1460" s="3">
        <v>44123.66666666667</v>
      </c>
      <c r="B1460" s="2">
        <v>106.68</v>
      </c>
    </row>
    <row r="1461">
      <c r="A1461" s="3">
        <v>44124.66666666667</v>
      </c>
      <c r="B1461" s="2">
        <v>105.45</v>
      </c>
    </row>
    <row r="1462">
      <c r="A1462" s="3">
        <v>44125.66666666667</v>
      </c>
      <c r="B1462" s="2">
        <v>105.7</v>
      </c>
    </row>
    <row r="1463">
      <c r="A1463" s="3">
        <v>44126.66666666667</v>
      </c>
      <c r="B1463" s="2">
        <v>106.26</v>
      </c>
    </row>
    <row r="1464">
      <c r="A1464" s="3">
        <v>44127.66666666667</v>
      </c>
      <c r="B1464" s="2">
        <v>107.88</v>
      </c>
    </row>
    <row r="1465">
      <c r="A1465" s="3">
        <v>44130.66666666667</v>
      </c>
      <c r="B1465" s="2">
        <v>105.85</v>
      </c>
    </row>
    <row r="1466">
      <c r="A1466" s="3">
        <v>44131.66666666667</v>
      </c>
      <c r="B1466" s="2">
        <v>106.9</v>
      </c>
    </row>
    <row r="1467">
      <c r="A1467" s="3">
        <v>44132.66666666667</v>
      </c>
      <c r="B1467" s="2">
        <v>104.3</v>
      </c>
    </row>
    <row r="1468">
      <c r="A1468" s="3">
        <v>44133.66666666667</v>
      </c>
      <c r="B1468" s="2">
        <v>104.54</v>
      </c>
    </row>
    <row r="1469">
      <c r="A1469" s="3">
        <v>44134.66666666667</v>
      </c>
      <c r="B1469" s="2">
        <v>104.87</v>
      </c>
    </row>
    <row r="1470">
      <c r="A1470" s="3">
        <v>44137.66666666667</v>
      </c>
      <c r="B1470" s="2">
        <v>104.74</v>
      </c>
    </row>
    <row r="1471">
      <c r="A1471" s="3">
        <v>44138.66666666667</v>
      </c>
      <c r="B1471" s="2">
        <v>107.72</v>
      </c>
    </row>
    <row r="1472">
      <c r="A1472" s="3">
        <v>44139.66666666667</v>
      </c>
      <c r="B1472" s="2">
        <v>107.8</v>
      </c>
    </row>
    <row r="1473">
      <c r="A1473" s="3">
        <v>44140.66666666667</v>
      </c>
      <c r="B1473" s="2">
        <v>111.13</v>
      </c>
    </row>
    <row r="1474">
      <c r="A1474" s="3">
        <v>44141.66666666667</v>
      </c>
      <c r="B1474" s="2">
        <v>112.97</v>
      </c>
    </row>
    <row r="1475">
      <c r="A1475" s="3">
        <v>44144.66666666667</v>
      </c>
      <c r="B1475" s="2">
        <v>115.56</v>
      </c>
    </row>
    <row r="1476">
      <c r="A1476" s="3">
        <v>44145.66666666667</v>
      </c>
      <c r="B1476" s="2">
        <v>112.0</v>
      </c>
    </row>
    <row r="1477">
      <c r="A1477" s="3">
        <v>44146.66666666667</v>
      </c>
      <c r="B1477" s="2">
        <v>115.44</v>
      </c>
    </row>
    <row r="1478">
      <c r="A1478" s="3">
        <v>44147.66666666667</v>
      </c>
      <c r="B1478" s="2">
        <v>114.02</v>
      </c>
    </row>
    <row r="1479">
      <c r="A1479" s="3">
        <v>44148.66666666667</v>
      </c>
      <c r="B1479" s="2">
        <v>116.1</v>
      </c>
    </row>
    <row r="1480">
      <c r="A1480" s="3">
        <v>44151.66666666667</v>
      </c>
      <c r="B1480" s="2">
        <v>117.67</v>
      </c>
    </row>
    <row r="1481">
      <c r="A1481" s="3">
        <v>44152.66666666667</v>
      </c>
      <c r="B1481" s="2">
        <v>117.56</v>
      </c>
    </row>
    <row r="1482">
      <c r="A1482" s="3">
        <v>44153.66666666667</v>
      </c>
      <c r="B1482" s="2">
        <v>115.14</v>
      </c>
    </row>
    <row r="1483">
      <c r="A1483" s="3">
        <v>44154.66666666667</v>
      </c>
      <c r="B1483" s="2">
        <v>117.96</v>
      </c>
    </row>
    <row r="1484">
      <c r="A1484" s="3">
        <v>44155.66666666667</v>
      </c>
      <c r="B1484" s="2">
        <v>116.17</v>
      </c>
    </row>
    <row r="1485">
      <c r="A1485" s="3">
        <v>44158.66666666667</v>
      </c>
      <c r="B1485" s="2">
        <v>117.15</v>
      </c>
    </row>
    <row r="1486">
      <c r="A1486" s="3">
        <v>44159.66666666667</v>
      </c>
      <c r="B1486" s="2">
        <v>118.12</v>
      </c>
    </row>
    <row r="1487">
      <c r="A1487" s="3">
        <v>44160.66666666667</v>
      </c>
      <c r="B1487" s="2">
        <v>118.52</v>
      </c>
    </row>
    <row r="1488">
      <c r="A1488" s="3">
        <v>44162.54166666667</v>
      </c>
      <c r="B1488" s="2">
        <v>119.07</v>
      </c>
    </row>
    <row r="1489">
      <c r="A1489" s="3">
        <v>44165.66666666667</v>
      </c>
      <c r="B1489" s="2">
        <v>120.04</v>
      </c>
    </row>
    <row r="1490">
      <c r="A1490" s="3">
        <v>44166.66666666667</v>
      </c>
      <c r="B1490" s="2">
        <v>121.84</v>
      </c>
    </row>
    <row r="1491">
      <c r="A1491" s="3">
        <v>44167.66666666667</v>
      </c>
      <c r="B1491" s="2">
        <v>121.88</v>
      </c>
    </row>
    <row r="1492">
      <c r="A1492" s="3">
        <v>44168.66666666667</v>
      </c>
      <c r="B1492" s="2">
        <v>122.64</v>
      </c>
    </row>
    <row r="1493">
      <c r="A1493" s="3">
        <v>44169.66666666667</v>
      </c>
      <c r="B1493" s="2">
        <v>123.21</v>
      </c>
    </row>
    <row r="1494">
      <c r="A1494" s="3">
        <v>44172.66666666667</v>
      </c>
      <c r="B1494" s="2">
        <v>124.91</v>
      </c>
    </row>
    <row r="1495">
      <c r="A1495" s="3">
        <v>44173.66666666667</v>
      </c>
      <c r="B1495" s="2">
        <v>127.13</v>
      </c>
    </row>
    <row r="1496">
      <c r="A1496" s="3">
        <v>44174.66666666667</v>
      </c>
      <c r="B1496" s="2">
        <v>124.67</v>
      </c>
    </row>
    <row r="1497">
      <c r="A1497" s="3">
        <v>44175.66666666667</v>
      </c>
      <c r="B1497" s="2">
        <v>124.76</v>
      </c>
    </row>
    <row r="1498">
      <c r="A1498" s="3">
        <v>44176.66666666667</v>
      </c>
      <c r="B1498" s="2">
        <v>126.3</v>
      </c>
    </row>
    <row r="1499">
      <c r="A1499" s="3">
        <v>44179.66666666667</v>
      </c>
      <c r="B1499" s="2">
        <v>123.72</v>
      </c>
    </row>
    <row r="1500">
      <c r="A1500" s="3">
        <v>44180.66666666667</v>
      </c>
      <c r="B1500" s="2">
        <v>123.37</v>
      </c>
    </row>
    <row r="1501">
      <c r="A1501" s="3">
        <v>44181.66666666667</v>
      </c>
      <c r="B1501" s="2">
        <v>123.91</v>
      </c>
    </row>
    <row r="1502">
      <c r="A1502" s="3">
        <v>44182.66666666667</v>
      </c>
      <c r="B1502" s="2">
        <v>126.86</v>
      </c>
    </row>
    <row r="1503">
      <c r="A1503" s="3">
        <v>44183.66666666667</v>
      </c>
      <c r="B1503" s="2">
        <v>128.26</v>
      </c>
    </row>
    <row r="1504">
      <c r="A1504" s="3">
        <v>44186.66666666667</v>
      </c>
      <c r="B1504" s="2">
        <v>126.97</v>
      </c>
    </row>
    <row r="1505">
      <c r="A1505" s="3">
        <v>44187.66666666667</v>
      </c>
      <c r="B1505" s="2">
        <v>128.69</v>
      </c>
    </row>
    <row r="1506">
      <c r="A1506" s="3">
        <v>44188.66666666667</v>
      </c>
      <c r="B1506" s="2">
        <v>130.42</v>
      </c>
    </row>
    <row r="1507">
      <c r="A1507" s="3">
        <v>44189.54166666667</v>
      </c>
      <c r="B1507" s="2">
        <v>130.95</v>
      </c>
    </row>
    <row r="1508">
      <c r="A1508" s="3">
        <v>44193.66666666667</v>
      </c>
      <c r="B1508" s="2">
        <v>131.82</v>
      </c>
    </row>
    <row r="1509">
      <c r="A1509" s="3">
        <v>44194.66666666667</v>
      </c>
      <c r="B1509" s="2">
        <v>130.01</v>
      </c>
    </row>
    <row r="1510">
      <c r="A1510" s="3">
        <v>44195.66666666667</v>
      </c>
      <c r="B1510" s="2">
        <v>131.24</v>
      </c>
    </row>
    <row r="1511">
      <c r="A1511" s="3">
        <v>44196.66666666667</v>
      </c>
      <c r="B1511" s="2">
        <v>132.09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>
        <v>42006.66666666667</v>
      </c>
      <c r="B1" s="2">
        <v>5.03</v>
      </c>
    </row>
    <row r="2">
      <c r="A2" s="3">
        <v>42009.66666666667</v>
      </c>
      <c r="B2" s="2">
        <v>4.95</v>
      </c>
    </row>
    <row r="3">
      <c r="A3" s="3">
        <v>42010.66666666667</v>
      </c>
      <c r="B3" s="2">
        <v>4.8</v>
      </c>
    </row>
    <row r="4">
      <c r="A4" s="3">
        <v>42011.66666666667</v>
      </c>
      <c r="B4" s="2">
        <v>4.78</v>
      </c>
    </row>
    <row r="5">
      <c r="A5" s="3">
        <v>42012.66666666667</v>
      </c>
      <c r="B5" s="2">
        <v>4.97</v>
      </c>
    </row>
    <row r="6">
      <c r="A6" s="3">
        <v>42013.66666666667</v>
      </c>
      <c r="B6" s="2">
        <v>4.99</v>
      </c>
    </row>
    <row r="7">
      <c r="A7" s="3">
        <v>42016.66666666667</v>
      </c>
      <c r="B7" s="2">
        <v>4.92</v>
      </c>
    </row>
    <row r="8">
      <c r="A8" s="3">
        <v>42017.66666666667</v>
      </c>
      <c r="B8" s="2">
        <v>4.91</v>
      </c>
    </row>
    <row r="9">
      <c r="A9" s="3">
        <v>42018.66666666667</v>
      </c>
      <c r="B9" s="2">
        <v>4.93</v>
      </c>
    </row>
    <row r="10">
      <c r="A10" s="3">
        <v>42019.66666666667</v>
      </c>
      <c r="B10" s="2">
        <v>4.9</v>
      </c>
    </row>
    <row r="11">
      <c r="A11" s="3">
        <v>42020.66666666667</v>
      </c>
      <c r="B11" s="2">
        <v>4.99</v>
      </c>
    </row>
    <row r="12">
      <c r="A12" s="3">
        <v>42024.66666666667</v>
      </c>
      <c r="B12" s="2">
        <v>5.01</v>
      </c>
    </row>
    <row r="13">
      <c r="A13" s="3">
        <v>42025.66666666667</v>
      </c>
      <c r="B13" s="2">
        <v>5.08</v>
      </c>
    </row>
    <row r="14">
      <c r="A14" s="3">
        <v>42026.66666666667</v>
      </c>
      <c r="B14" s="2">
        <v>5.16</v>
      </c>
    </row>
    <row r="15">
      <c r="A15" s="3">
        <v>42027.66666666667</v>
      </c>
      <c r="B15" s="2">
        <v>5.18</v>
      </c>
    </row>
    <row r="16">
      <c r="A16" s="3">
        <v>42030.66666666667</v>
      </c>
      <c r="B16" s="2">
        <v>5.15</v>
      </c>
    </row>
    <row r="17">
      <c r="A17" s="3">
        <v>42031.66666666667</v>
      </c>
      <c r="B17" s="2">
        <v>4.91</v>
      </c>
    </row>
    <row r="18">
      <c r="A18" s="3">
        <v>42032.66666666667</v>
      </c>
      <c r="B18" s="2">
        <v>4.83</v>
      </c>
    </row>
    <row r="19">
      <c r="A19" s="3">
        <v>42033.66666666667</v>
      </c>
      <c r="B19" s="2">
        <v>4.95</v>
      </c>
    </row>
    <row r="20">
      <c r="A20" s="3">
        <v>42034.66666666667</v>
      </c>
      <c r="B20" s="2">
        <v>4.8</v>
      </c>
    </row>
    <row r="21">
      <c r="A21" s="3">
        <v>42037.66666666667</v>
      </c>
      <c r="B21" s="2">
        <v>4.91</v>
      </c>
    </row>
    <row r="22">
      <c r="A22" s="3">
        <v>42038.66666666667</v>
      </c>
      <c r="B22" s="2">
        <v>5.03</v>
      </c>
    </row>
    <row r="23">
      <c r="A23" s="3">
        <v>42039.66666666667</v>
      </c>
      <c r="B23" s="2">
        <v>5.04</v>
      </c>
    </row>
    <row r="24">
      <c r="A24" s="3">
        <v>42040.66666666667</v>
      </c>
      <c r="B24" s="2">
        <v>5.12</v>
      </c>
    </row>
    <row r="25">
      <c r="A25" s="3">
        <v>42041.66666666667</v>
      </c>
      <c r="B25" s="2">
        <v>5.1</v>
      </c>
    </row>
    <row r="26">
      <c r="A26" s="3">
        <v>42044.66666666667</v>
      </c>
      <c r="B26" s="2">
        <v>5.1</v>
      </c>
    </row>
    <row r="27">
      <c r="A27" s="3">
        <v>42045.66666666667</v>
      </c>
      <c r="B27" s="2">
        <v>5.24</v>
      </c>
    </row>
    <row r="28">
      <c r="A28" s="3">
        <v>42046.66666666667</v>
      </c>
      <c r="B28" s="2">
        <v>5.2</v>
      </c>
    </row>
    <row r="29">
      <c r="A29" s="3">
        <v>42047.66666666667</v>
      </c>
      <c r="B29" s="2">
        <v>5.58</v>
      </c>
    </row>
    <row r="30">
      <c r="A30" s="3">
        <v>42048.66666666667</v>
      </c>
      <c r="B30" s="2">
        <v>5.58</v>
      </c>
    </row>
    <row r="31">
      <c r="A31" s="3">
        <v>42052.66666666667</v>
      </c>
      <c r="B31" s="2">
        <v>5.59</v>
      </c>
    </row>
    <row r="32">
      <c r="A32" s="3">
        <v>42053.66666666667</v>
      </c>
      <c r="B32" s="2">
        <v>5.53</v>
      </c>
    </row>
    <row r="33">
      <c r="A33" s="3">
        <v>42054.66666666667</v>
      </c>
      <c r="B33" s="2">
        <v>5.54</v>
      </c>
    </row>
    <row r="34">
      <c r="A34" s="3">
        <v>42055.66666666667</v>
      </c>
      <c r="B34" s="2">
        <v>5.58</v>
      </c>
    </row>
    <row r="35">
      <c r="A35" s="3">
        <v>42058.66666666667</v>
      </c>
      <c r="B35" s="2">
        <v>5.54</v>
      </c>
    </row>
    <row r="36">
      <c r="A36" s="3">
        <v>42059.66666666667</v>
      </c>
      <c r="B36" s="2">
        <v>5.58</v>
      </c>
    </row>
    <row r="37">
      <c r="A37" s="3">
        <v>42060.66666666667</v>
      </c>
      <c r="B37" s="2">
        <v>5.54</v>
      </c>
    </row>
    <row r="38">
      <c r="A38" s="3">
        <v>42061.66666666667</v>
      </c>
      <c r="B38" s="2">
        <v>5.55</v>
      </c>
    </row>
    <row r="39">
      <c r="A39" s="3">
        <v>42062.66666666667</v>
      </c>
      <c r="B39" s="2">
        <v>5.52</v>
      </c>
    </row>
    <row r="40">
      <c r="A40" s="3">
        <v>42065.66666666667</v>
      </c>
      <c r="B40" s="2">
        <v>5.65</v>
      </c>
    </row>
    <row r="41">
      <c r="A41" s="3">
        <v>42066.66666666667</v>
      </c>
      <c r="B41" s="2">
        <v>5.55</v>
      </c>
    </row>
    <row r="42">
      <c r="A42" s="3">
        <v>42067.66666666667</v>
      </c>
      <c r="B42" s="2">
        <v>5.61</v>
      </c>
    </row>
    <row r="43">
      <c r="A43" s="3">
        <v>42068.66666666667</v>
      </c>
      <c r="B43" s="2">
        <v>5.72</v>
      </c>
    </row>
    <row r="44">
      <c r="A44" s="3">
        <v>42069.66666666667</v>
      </c>
      <c r="B44" s="2">
        <v>5.64</v>
      </c>
    </row>
    <row r="45">
      <c r="A45" s="3">
        <v>42072.66666666667</v>
      </c>
      <c r="B45" s="2">
        <v>5.65</v>
      </c>
    </row>
    <row r="46">
      <c r="A46" s="3">
        <v>42073.66666666667</v>
      </c>
      <c r="B46" s="2">
        <v>5.75</v>
      </c>
    </row>
    <row r="47">
      <c r="A47" s="3">
        <v>42074.66666666667</v>
      </c>
      <c r="B47" s="2">
        <v>5.72</v>
      </c>
    </row>
    <row r="48">
      <c r="A48" s="3">
        <v>42075.66666666667</v>
      </c>
      <c r="B48" s="2">
        <v>5.67</v>
      </c>
    </row>
    <row r="49">
      <c r="A49" s="3">
        <v>42076.66666666667</v>
      </c>
      <c r="B49" s="2">
        <v>5.68</v>
      </c>
    </row>
    <row r="50">
      <c r="A50" s="3">
        <v>42079.66666666667</v>
      </c>
      <c r="B50" s="2">
        <v>5.74</v>
      </c>
    </row>
    <row r="51">
      <c r="A51" s="3">
        <v>42080.66666666667</v>
      </c>
      <c r="B51" s="2">
        <v>5.81</v>
      </c>
    </row>
    <row r="52">
      <c r="A52" s="3">
        <v>42081.66666666667</v>
      </c>
      <c r="B52" s="2">
        <v>5.72</v>
      </c>
    </row>
    <row r="53">
      <c r="A53" s="3">
        <v>42082.66666666667</v>
      </c>
      <c r="B53" s="2">
        <v>5.8</v>
      </c>
    </row>
    <row r="54">
      <c r="A54" s="3">
        <v>42083.66666666667</v>
      </c>
      <c r="B54" s="2">
        <v>5.87</v>
      </c>
    </row>
    <row r="55">
      <c r="A55" s="3">
        <v>42086.66666666667</v>
      </c>
      <c r="B55" s="2">
        <v>5.68</v>
      </c>
    </row>
    <row r="56">
      <c r="A56" s="3">
        <v>42087.66666666667</v>
      </c>
      <c r="B56" s="2">
        <v>5.6</v>
      </c>
    </row>
    <row r="57">
      <c r="A57" s="3">
        <v>42088.66666666667</v>
      </c>
      <c r="B57" s="2">
        <v>5.26</v>
      </c>
    </row>
    <row r="58">
      <c r="A58" s="3">
        <v>42089.66666666667</v>
      </c>
      <c r="B58" s="2">
        <v>5.24</v>
      </c>
    </row>
    <row r="59">
      <c r="A59" s="3">
        <v>42090.66666666667</v>
      </c>
      <c r="B59" s="2">
        <v>5.35</v>
      </c>
    </row>
    <row r="60">
      <c r="A60" s="3">
        <v>42093.66666666667</v>
      </c>
      <c r="B60" s="2">
        <v>5.37</v>
      </c>
    </row>
    <row r="61">
      <c r="A61" s="3">
        <v>42094.66666666667</v>
      </c>
      <c r="B61" s="2">
        <v>5.23</v>
      </c>
    </row>
    <row r="62">
      <c r="A62" s="3">
        <v>42095.66666666667</v>
      </c>
      <c r="B62" s="2">
        <v>5.25</v>
      </c>
    </row>
    <row r="63">
      <c r="A63" s="3">
        <v>42096.66666666667</v>
      </c>
      <c r="B63" s="2">
        <v>5.27</v>
      </c>
    </row>
    <row r="64">
      <c r="A64" s="3">
        <v>42100.66666666667</v>
      </c>
      <c r="B64" s="2">
        <v>5.42</v>
      </c>
    </row>
    <row r="65">
      <c r="A65" s="3">
        <v>42101.66666666667</v>
      </c>
      <c r="B65" s="2">
        <v>5.47</v>
      </c>
    </row>
    <row r="66">
      <c r="A66" s="3">
        <v>42102.66666666667</v>
      </c>
      <c r="B66" s="2">
        <v>5.51</v>
      </c>
    </row>
    <row r="67">
      <c r="A67" s="3">
        <v>42103.66666666667</v>
      </c>
      <c r="B67" s="2">
        <v>5.63</v>
      </c>
    </row>
    <row r="68">
      <c r="A68" s="3">
        <v>42104.66666666667</v>
      </c>
      <c r="B68" s="2">
        <v>5.69</v>
      </c>
    </row>
    <row r="69">
      <c r="A69" s="3">
        <v>42107.66666666667</v>
      </c>
      <c r="B69" s="2">
        <v>5.64</v>
      </c>
    </row>
    <row r="70">
      <c r="A70" s="3">
        <v>42108.66666666667</v>
      </c>
      <c r="B70" s="2">
        <v>5.59</v>
      </c>
    </row>
    <row r="71">
      <c r="A71" s="3">
        <v>42109.66666666667</v>
      </c>
      <c r="B71" s="2">
        <v>5.66</v>
      </c>
    </row>
    <row r="72">
      <c r="A72" s="3">
        <v>42110.66666666667</v>
      </c>
      <c r="B72" s="2">
        <v>5.62</v>
      </c>
    </row>
    <row r="73">
      <c r="A73" s="3">
        <v>42111.66666666667</v>
      </c>
      <c r="B73" s="2">
        <v>5.55</v>
      </c>
    </row>
    <row r="74">
      <c r="A74" s="3">
        <v>42114.66666666667</v>
      </c>
      <c r="B74" s="2">
        <v>5.52</v>
      </c>
    </row>
    <row r="75">
      <c r="A75" s="3">
        <v>42115.66666666667</v>
      </c>
      <c r="B75" s="2">
        <v>5.51</v>
      </c>
    </row>
    <row r="76">
      <c r="A76" s="3">
        <v>42116.66666666667</v>
      </c>
      <c r="B76" s="2">
        <v>5.58</v>
      </c>
    </row>
    <row r="77">
      <c r="A77" s="3">
        <v>42117.66666666667</v>
      </c>
      <c r="B77" s="2">
        <v>5.56</v>
      </c>
    </row>
    <row r="78">
      <c r="A78" s="3">
        <v>42118.66666666667</v>
      </c>
      <c r="B78" s="2">
        <v>5.51</v>
      </c>
    </row>
    <row r="79">
      <c r="A79" s="3">
        <v>42121.66666666667</v>
      </c>
      <c r="B79" s="2">
        <v>5.55</v>
      </c>
    </row>
    <row r="80">
      <c r="A80" s="3">
        <v>42122.66666666667</v>
      </c>
      <c r="B80" s="2">
        <v>5.58</v>
      </c>
    </row>
    <row r="81">
      <c r="A81" s="3">
        <v>42123.66666666667</v>
      </c>
      <c r="B81" s="2">
        <v>5.54</v>
      </c>
    </row>
    <row r="82">
      <c r="A82" s="3">
        <v>42124.66666666667</v>
      </c>
      <c r="B82" s="2">
        <v>5.55</v>
      </c>
    </row>
    <row r="83">
      <c r="A83" s="3">
        <v>42125.66666666667</v>
      </c>
      <c r="B83" s="2">
        <v>5.69</v>
      </c>
    </row>
    <row r="84">
      <c r="A84" s="3">
        <v>42128.66666666667</v>
      </c>
      <c r="B84" s="2">
        <v>5.65</v>
      </c>
    </row>
    <row r="85">
      <c r="A85" s="3">
        <v>42129.66666666667</v>
      </c>
      <c r="B85" s="2">
        <v>5.51</v>
      </c>
    </row>
    <row r="86">
      <c r="A86" s="3">
        <v>42130.66666666667</v>
      </c>
      <c r="B86" s="2">
        <v>5.53</v>
      </c>
    </row>
    <row r="87">
      <c r="A87" s="3">
        <v>42131.66666666667</v>
      </c>
      <c r="B87" s="2">
        <v>5.62</v>
      </c>
    </row>
    <row r="88">
      <c r="A88" s="3">
        <v>42132.66666666667</v>
      </c>
      <c r="B88" s="2">
        <v>5.21</v>
      </c>
    </row>
    <row r="89">
      <c r="A89" s="3">
        <v>42135.66666666667</v>
      </c>
      <c r="B89" s="2">
        <v>5.16</v>
      </c>
    </row>
    <row r="90">
      <c r="A90" s="3">
        <v>42136.66666666667</v>
      </c>
      <c r="B90" s="2">
        <v>5.21</v>
      </c>
    </row>
    <row r="91">
      <c r="A91" s="3">
        <v>42137.66666666667</v>
      </c>
      <c r="B91" s="2">
        <v>5.24</v>
      </c>
    </row>
    <row r="92">
      <c r="A92" s="3">
        <v>42138.66666666667</v>
      </c>
      <c r="B92" s="2">
        <v>5.32</v>
      </c>
    </row>
    <row r="93">
      <c r="A93" s="3">
        <v>42139.66666666667</v>
      </c>
      <c r="B93" s="2">
        <v>5.33</v>
      </c>
    </row>
    <row r="94">
      <c r="A94" s="3">
        <v>42142.66666666667</v>
      </c>
      <c r="B94" s="2">
        <v>5.32</v>
      </c>
    </row>
    <row r="95">
      <c r="A95" s="3">
        <v>42143.66666666667</v>
      </c>
      <c r="B95" s="2">
        <v>5.26</v>
      </c>
    </row>
    <row r="96">
      <c r="A96" s="3">
        <v>42144.66666666667</v>
      </c>
      <c r="B96" s="2">
        <v>5.26</v>
      </c>
    </row>
    <row r="97">
      <c r="A97" s="3">
        <v>42145.66666666667</v>
      </c>
      <c r="B97" s="2">
        <v>5.22</v>
      </c>
    </row>
    <row r="98">
      <c r="A98" s="3">
        <v>42146.66666666667</v>
      </c>
      <c r="B98" s="2">
        <v>5.22</v>
      </c>
    </row>
    <row r="99">
      <c r="A99" s="3">
        <v>42150.66666666667</v>
      </c>
      <c r="B99" s="2">
        <v>5.18</v>
      </c>
    </row>
    <row r="100">
      <c r="A100" s="3">
        <v>42151.66666666667</v>
      </c>
      <c r="B100" s="2">
        <v>5.46</v>
      </c>
    </row>
    <row r="101">
      <c r="A101" s="3">
        <v>42152.66666666667</v>
      </c>
      <c r="B101" s="2">
        <v>5.54</v>
      </c>
    </row>
    <row r="102">
      <c r="A102" s="3">
        <v>42153.66666666667</v>
      </c>
      <c r="B102" s="2">
        <v>5.53</v>
      </c>
    </row>
    <row r="103">
      <c r="A103" s="3">
        <v>42156.66666666667</v>
      </c>
      <c r="B103" s="2">
        <v>5.6</v>
      </c>
    </row>
    <row r="104">
      <c r="A104" s="3">
        <v>42157.66666666667</v>
      </c>
      <c r="B104" s="2">
        <v>5.48</v>
      </c>
    </row>
    <row r="105">
      <c r="A105" s="3">
        <v>42158.66666666667</v>
      </c>
      <c r="B105" s="2">
        <v>5.43</v>
      </c>
    </row>
    <row r="106">
      <c r="A106" s="3">
        <v>42159.66666666667</v>
      </c>
      <c r="B106" s="2">
        <v>5.52</v>
      </c>
    </row>
    <row r="107">
      <c r="A107" s="3">
        <v>42160.66666666667</v>
      </c>
      <c r="B107" s="2">
        <v>5.57</v>
      </c>
    </row>
    <row r="108">
      <c r="A108" s="3">
        <v>42163.66666666667</v>
      </c>
      <c r="B108" s="2">
        <v>5.44</v>
      </c>
    </row>
    <row r="109">
      <c r="A109" s="3">
        <v>42164.66666666667</v>
      </c>
      <c r="B109" s="2">
        <v>5.47</v>
      </c>
    </row>
    <row r="110">
      <c r="A110" s="3">
        <v>42165.66666666667</v>
      </c>
      <c r="B110" s="2">
        <v>5.37</v>
      </c>
    </row>
    <row r="111">
      <c r="A111" s="3">
        <v>42166.66666666667</v>
      </c>
      <c r="B111" s="2">
        <v>5.43</v>
      </c>
    </row>
    <row r="112">
      <c r="A112" s="3">
        <v>42167.66666666667</v>
      </c>
      <c r="B112" s="2">
        <v>5.28</v>
      </c>
    </row>
    <row r="113">
      <c r="A113" s="3">
        <v>42170.66666666667</v>
      </c>
      <c r="B113" s="2">
        <v>5.27</v>
      </c>
    </row>
    <row r="114">
      <c r="A114" s="3">
        <v>42171.66666666667</v>
      </c>
      <c r="B114" s="2">
        <v>5.33</v>
      </c>
    </row>
    <row r="115">
      <c r="A115" s="3">
        <v>42172.66666666667</v>
      </c>
      <c r="B115" s="2">
        <v>5.4</v>
      </c>
    </row>
    <row r="116">
      <c r="A116" s="3">
        <v>42173.66666666667</v>
      </c>
      <c r="B116" s="2">
        <v>5.49</v>
      </c>
    </row>
    <row r="117">
      <c r="A117" s="3">
        <v>42174.66666666667</v>
      </c>
      <c r="B117" s="2">
        <v>5.47</v>
      </c>
    </row>
    <row r="118">
      <c r="A118" s="3">
        <v>42177.66666666667</v>
      </c>
      <c r="B118" s="2">
        <v>5.44</v>
      </c>
    </row>
    <row r="119">
      <c r="A119" s="3">
        <v>42178.66666666667</v>
      </c>
      <c r="B119" s="2">
        <v>5.31</v>
      </c>
    </row>
    <row r="120">
      <c r="A120" s="3">
        <v>42179.66666666667</v>
      </c>
      <c r="B120" s="2">
        <v>5.25</v>
      </c>
    </row>
    <row r="121">
      <c r="A121" s="3">
        <v>42180.66666666667</v>
      </c>
      <c r="B121" s="2">
        <v>5.29</v>
      </c>
    </row>
    <row r="122">
      <c r="A122" s="3">
        <v>42181.66666666667</v>
      </c>
      <c r="B122" s="2">
        <v>5.19</v>
      </c>
    </row>
    <row r="123">
      <c r="A123" s="3">
        <v>42184.66666666667</v>
      </c>
      <c r="B123" s="2">
        <v>5.03</v>
      </c>
    </row>
    <row r="124">
      <c r="A124" s="3">
        <v>42185.66666666667</v>
      </c>
      <c r="B124" s="2">
        <v>5.03</v>
      </c>
    </row>
    <row r="125">
      <c r="A125" s="3">
        <v>42186.66666666667</v>
      </c>
      <c r="B125" s="2">
        <v>5.1</v>
      </c>
    </row>
    <row r="126">
      <c r="A126" s="3">
        <v>42187.66666666667</v>
      </c>
      <c r="B126" s="2">
        <v>5.11</v>
      </c>
    </row>
    <row r="127">
      <c r="A127" s="3">
        <v>42191.66666666667</v>
      </c>
      <c r="B127" s="2">
        <v>5.04</v>
      </c>
    </row>
    <row r="128">
      <c r="A128" s="3">
        <v>42192.66666666667</v>
      </c>
      <c r="B128" s="2">
        <v>4.95</v>
      </c>
    </row>
    <row r="129">
      <c r="A129" s="3">
        <v>42193.66666666667</v>
      </c>
      <c r="B129" s="2">
        <v>4.91</v>
      </c>
    </row>
    <row r="130">
      <c r="A130" s="3">
        <v>42194.66666666667</v>
      </c>
      <c r="B130" s="2">
        <v>4.85</v>
      </c>
    </row>
    <row r="131">
      <c r="A131" s="3">
        <v>42195.66666666667</v>
      </c>
      <c r="B131" s="2">
        <v>4.94</v>
      </c>
    </row>
    <row r="132">
      <c r="A132" s="3">
        <v>42198.66666666667</v>
      </c>
      <c r="B132" s="2">
        <v>4.97</v>
      </c>
    </row>
    <row r="133">
      <c r="A133" s="3">
        <v>42199.66666666667</v>
      </c>
      <c r="B133" s="2">
        <v>4.97</v>
      </c>
    </row>
    <row r="134">
      <c r="A134" s="3">
        <v>42200.66666666667</v>
      </c>
      <c r="B134" s="2">
        <v>4.94</v>
      </c>
    </row>
    <row r="135">
      <c r="A135" s="3">
        <v>42201.66666666667</v>
      </c>
      <c r="B135" s="2">
        <v>5.05</v>
      </c>
    </row>
    <row r="136">
      <c r="A136" s="3">
        <v>42202.66666666667</v>
      </c>
      <c r="B136" s="2">
        <v>5.02</v>
      </c>
    </row>
    <row r="137">
      <c r="A137" s="3">
        <v>42205.66666666667</v>
      </c>
      <c r="B137" s="2">
        <v>4.93</v>
      </c>
    </row>
    <row r="138">
      <c r="A138" s="3">
        <v>42206.66666666667</v>
      </c>
      <c r="B138" s="2">
        <v>4.95</v>
      </c>
    </row>
    <row r="139">
      <c r="A139" s="3">
        <v>42207.66666666667</v>
      </c>
      <c r="B139" s="2">
        <v>4.85</v>
      </c>
    </row>
    <row r="140">
      <c r="A140" s="3">
        <v>42208.66666666667</v>
      </c>
      <c r="B140" s="2">
        <v>4.91</v>
      </c>
    </row>
    <row r="141">
      <c r="A141" s="3">
        <v>42209.66666666667</v>
      </c>
      <c r="B141" s="2">
        <v>4.86</v>
      </c>
    </row>
    <row r="142">
      <c r="A142" s="3">
        <v>42212.66666666667</v>
      </c>
      <c r="B142" s="2">
        <v>4.83</v>
      </c>
    </row>
    <row r="143">
      <c r="A143" s="3">
        <v>42213.66666666667</v>
      </c>
      <c r="B143" s="2">
        <v>4.93</v>
      </c>
    </row>
    <row r="144">
      <c r="A144" s="3">
        <v>42214.66666666667</v>
      </c>
      <c r="B144" s="2">
        <v>4.99</v>
      </c>
    </row>
    <row r="145">
      <c r="A145" s="3">
        <v>42215.66666666667</v>
      </c>
      <c r="B145" s="2">
        <v>5.01</v>
      </c>
    </row>
    <row r="146">
      <c r="A146" s="3">
        <v>42216.66666666667</v>
      </c>
      <c r="B146" s="2">
        <v>4.99</v>
      </c>
    </row>
    <row r="147">
      <c r="A147" s="3">
        <v>42219.66666666667</v>
      </c>
      <c r="B147" s="2">
        <v>5.07</v>
      </c>
    </row>
    <row r="148">
      <c r="A148" s="3">
        <v>42220.66666666667</v>
      </c>
      <c r="B148" s="2">
        <v>5.09</v>
      </c>
    </row>
    <row r="149">
      <c r="A149" s="3">
        <v>42221.66666666667</v>
      </c>
      <c r="B149" s="2">
        <v>5.15</v>
      </c>
    </row>
    <row r="150">
      <c r="A150" s="3">
        <v>42222.66666666667</v>
      </c>
      <c r="B150" s="2">
        <v>5.11</v>
      </c>
    </row>
    <row r="151">
      <c r="A151" s="3">
        <v>42223.66666666667</v>
      </c>
      <c r="B151" s="2">
        <v>5.75</v>
      </c>
    </row>
    <row r="152">
      <c r="A152" s="3">
        <v>42226.66666666667</v>
      </c>
      <c r="B152" s="2">
        <v>5.95</v>
      </c>
    </row>
    <row r="153">
      <c r="A153" s="3">
        <v>42227.66666666667</v>
      </c>
      <c r="B153" s="2">
        <v>5.92</v>
      </c>
    </row>
    <row r="154">
      <c r="A154" s="3">
        <v>42228.66666666667</v>
      </c>
      <c r="B154" s="2">
        <v>5.93</v>
      </c>
    </row>
    <row r="155">
      <c r="A155" s="3">
        <v>42229.66666666667</v>
      </c>
      <c r="B155" s="2">
        <v>5.88</v>
      </c>
    </row>
    <row r="156">
      <c r="A156" s="3">
        <v>42230.66666666667</v>
      </c>
      <c r="B156" s="2">
        <v>5.89</v>
      </c>
    </row>
    <row r="157">
      <c r="A157" s="3">
        <v>42233.66666666667</v>
      </c>
      <c r="B157" s="2">
        <v>5.85</v>
      </c>
    </row>
    <row r="158">
      <c r="A158" s="3">
        <v>42234.66666666667</v>
      </c>
      <c r="B158" s="2">
        <v>5.77</v>
      </c>
    </row>
    <row r="159">
      <c r="A159" s="3">
        <v>42235.66666666667</v>
      </c>
      <c r="B159" s="2">
        <v>5.75</v>
      </c>
    </row>
    <row r="160">
      <c r="A160" s="3">
        <v>42236.66666666667</v>
      </c>
      <c r="B160" s="2">
        <v>5.54</v>
      </c>
    </row>
    <row r="161">
      <c r="A161" s="3">
        <v>42237.66666666667</v>
      </c>
      <c r="B161" s="2">
        <v>5.37</v>
      </c>
    </row>
    <row r="162">
      <c r="A162" s="3">
        <v>42240.66666666667</v>
      </c>
      <c r="B162" s="2">
        <v>5.18</v>
      </c>
    </row>
    <row r="163">
      <c r="A163" s="3">
        <v>42241.66666666667</v>
      </c>
      <c r="B163" s="2">
        <v>5.07</v>
      </c>
    </row>
    <row r="164">
      <c r="A164" s="3">
        <v>42242.66666666667</v>
      </c>
      <c r="B164" s="2">
        <v>5.45</v>
      </c>
    </row>
    <row r="165">
      <c r="A165" s="3">
        <v>42243.66666666667</v>
      </c>
      <c r="B165" s="2">
        <v>5.66</v>
      </c>
    </row>
    <row r="166">
      <c r="A166" s="3">
        <v>42244.66666666667</v>
      </c>
      <c r="B166" s="2">
        <v>5.68</v>
      </c>
    </row>
    <row r="167">
      <c r="A167" s="3">
        <v>42247.66666666667</v>
      </c>
      <c r="B167" s="2">
        <v>5.62</v>
      </c>
    </row>
    <row r="168">
      <c r="A168" s="3">
        <v>42248.66666666667</v>
      </c>
      <c r="B168" s="2">
        <v>5.39</v>
      </c>
    </row>
    <row r="169">
      <c r="A169" s="3">
        <v>42249.66666666667</v>
      </c>
      <c r="B169" s="2">
        <v>5.55</v>
      </c>
    </row>
    <row r="170">
      <c r="A170" s="3">
        <v>42250.66666666667</v>
      </c>
      <c r="B170" s="2">
        <v>5.57</v>
      </c>
    </row>
    <row r="171">
      <c r="A171" s="3">
        <v>42251.66666666667</v>
      </c>
      <c r="B171" s="2">
        <v>5.44</v>
      </c>
    </row>
    <row r="172">
      <c r="A172" s="3">
        <v>42255.66666666667</v>
      </c>
      <c r="B172" s="2">
        <v>5.67</v>
      </c>
    </row>
    <row r="173">
      <c r="A173" s="3">
        <v>42256.66666666667</v>
      </c>
      <c r="B173" s="2">
        <v>5.56</v>
      </c>
    </row>
    <row r="174">
      <c r="A174" s="3">
        <v>42257.66666666667</v>
      </c>
      <c r="B174" s="2">
        <v>5.65</v>
      </c>
    </row>
    <row r="175">
      <c r="A175" s="3">
        <v>42258.66666666667</v>
      </c>
      <c r="B175" s="2">
        <v>5.66</v>
      </c>
    </row>
    <row r="176">
      <c r="A176" s="3">
        <v>42261.66666666667</v>
      </c>
      <c r="B176" s="2">
        <v>5.67</v>
      </c>
    </row>
    <row r="177">
      <c r="A177" s="3">
        <v>42262.66666666667</v>
      </c>
      <c r="B177" s="2">
        <v>5.74</v>
      </c>
    </row>
    <row r="178">
      <c r="A178" s="3">
        <v>42263.66666666667</v>
      </c>
      <c r="B178" s="2">
        <v>5.78</v>
      </c>
    </row>
    <row r="179">
      <c r="A179" s="3">
        <v>42264.66666666667</v>
      </c>
      <c r="B179" s="2">
        <v>5.83</v>
      </c>
    </row>
    <row r="180">
      <c r="A180" s="3">
        <v>42265.66666666667</v>
      </c>
      <c r="B180" s="2">
        <v>5.82</v>
      </c>
    </row>
    <row r="181">
      <c r="A181" s="3">
        <v>42268.66666666667</v>
      </c>
      <c r="B181" s="2">
        <v>5.88</v>
      </c>
    </row>
    <row r="182">
      <c r="A182" s="3">
        <v>42269.66666666667</v>
      </c>
      <c r="B182" s="2">
        <v>5.72</v>
      </c>
    </row>
    <row r="183">
      <c r="A183" s="3">
        <v>42270.66666666667</v>
      </c>
      <c r="B183" s="2">
        <v>5.75</v>
      </c>
    </row>
    <row r="184">
      <c r="A184" s="3">
        <v>42271.66666666667</v>
      </c>
      <c r="B184" s="2">
        <v>5.86</v>
      </c>
    </row>
    <row r="185">
      <c r="A185" s="3">
        <v>42272.66666666667</v>
      </c>
      <c r="B185" s="2">
        <v>5.9</v>
      </c>
    </row>
    <row r="186">
      <c r="A186" s="3">
        <v>42275.66666666667</v>
      </c>
      <c r="B186" s="2">
        <v>5.83</v>
      </c>
    </row>
    <row r="187">
      <c r="A187" s="3">
        <v>42276.66666666667</v>
      </c>
      <c r="B187" s="2">
        <v>5.93</v>
      </c>
    </row>
    <row r="188">
      <c r="A188" s="3">
        <v>42277.66666666667</v>
      </c>
      <c r="B188" s="2">
        <v>6.16</v>
      </c>
    </row>
    <row r="189">
      <c r="A189" s="3">
        <v>42278.66666666667</v>
      </c>
      <c r="B189" s="2">
        <v>6.04</v>
      </c>
    </row>
    <row r="190">
      <c r="A190" s="3">
        <v>42279.66666666667</v>
      </c>
      <c r="B190" s="2">
        <v>6.2</v>
      </c>
    </row>
    <row r="191">
      <c r="A191" s="3">
        <v>42282.66666666667</v>
      </c>
      <c r="B191" s="2">
        <v>6.36</v>
      </c>
    </row>
    <row r="192">
      <c r="A192" s="3">
        <v>42283.66666666667</v>
      </c>
      <c r="B192" s="2">
        <v>6.44</v>
      </c>
    </row>
    <row r="193">
      <c r="A193" s="3">
        <v>42284.66666666667</v>
      </c>
      <c r="B193" s="2">
        <v>6.51</v>
      </c>
    </row>
    <row r="194">
      <c r="A194" s="3">
        <v>42285.66666666667</v>
      </c>
      <c r="B194" s="2">
        <v>6.54</v>
      </c>
    </row>
    <row r="195">
      <c r="A195" s="3">
        <v>42286.66666666667</v>
      </c>
      <c r="B195" s="2">
        <v>6.52</v>
      </c>
    </row>
    <row r="196">
      <c r="A196" s="3">
        <v>42289.66666666667</v>
      </c>
      <c r="B196" s="2">
        <v>6.59</v>
      </c>
    </row>
    <row r="197">
      <c r="A197" s="3">
        <v>42290.66666666667</v>
      </c>
      <c r="B197" s="2">
        <v>6.6</v>
      </c>
    </row>
    <row r="198">
      <c r="A198" s="3">
        <v>42291.66666666667</v>
      </c>
      <c r="B198" s="2">
        <v>6.84</v>
      </c>
    </row>
    <row r="199">
      <c r="A199" s="3">
        <v>42292.66666666667</v>
      </c>
      <c r="B199" s="2">
        <v>6.86</v>
      </c>
    </row>
    <row r="200">
      <c r="A200" s="3">
        <v>42293.66666666667</v>
      </c>
      <c r="B200" s="2">
        <v>6.97</v>
      </c>
    </row>
    <row r="201">
      <c r="A201" s="3">
        <v>42296.66666666667</v>
      </c>
      <c r="B201" s="2">
        <v>6.95</v>
      </c>
    </row>
    <row r="202">
      <c r="A202" s="3">
        <v>42297.66666666667</v>
      </c>
      <c r="B202" s="2">
        <v>6.94</v>
      </c>
    </row>
    <row r="203">
      <c r="A203" s="3">
        <v>42298.66666666667</v>
      </c>
      <c r="B203" s="2">
        <v>6.85</v>
      </c>
    </row>
    <row r="204">
      <c r="A204" s="3">
        <v>42299.66666666667</v>
      </c>
      <c r="B204" s="2">
        <v>7.1</v>
      </c>
    </row>
    <row r="205">
      <c r="A205" s="3">
        <v>42300.66666666667</v>
      </c>
      <c r="B205" s="2">
        <v>7.15</v>
      </c>
    </row>
    <row r="206">
      <c r="A206" s="3">
        <v>42303.66666666667</v>
      </c>
      <c r="B206" s="2">
        <v>7.12</v>
      </c>
    </row>
    <row r="207">
      <c r="A207" s="3">
        <v>42304.66666666667</v>
      </c>
      <c r="B207" s="2">
        <v>7.11</v>
      </c>
    </row>
    <row r="208">
      <c r="A208" s="3">
        <v>42305.66666666667</v>
      </c>
      <c r="B208" s="2">
        <v>7.17</v>
      </c>
    </row>
    <row r="209">
      <c r="A209" s="3">
        <v>42306.66666666667</v>
      </c>
      <c r="B209" s="2">
        <v>6.92</v>
      </c>
    </row>
    <row r="210">
      <c r="A210" s="3">
        <v>42307.66666666667</v>
      </c>
      <c r="B210" s="2">
        <v>7.09</v>
      </c>
    </row>
    <row r="211">
      <c r="A211" s="3">
        <v>42310.66666666667</v>
      </c>
      <c r="B211" s="2">
        <v>7.18</v>
      </c>
    </row>
    <row r="212">
      <c r="A212" s="3">
        <v>42311.66666666667</v>
      </c>
      <c r="B212" s="2">
        <v>7.13</v>
      </c>
    </row>
    <row r="213">
      <c r="A213" s="3">
        <v>42312.66666666667</v>
      </c>
      <c r="B213" s="2">
        <v>7.01</v>
      </c>
    </row>
    <row r="214">
      <c r="A214" s="3">
        <v>42313.66666666667</v>
      </c>
      <c r="B214" s="2">
        <v>6.93</v>
      </c>
    </row>
    <row r="215">
      <c r="A215" s="3">
        <v>42314.66666666667</v>
      </c>
      <c r="B215" s="2">
        <v>7.89</v>
      </c>
    </row>
    <row r="216">
      <c r="A216" s="3">
        <v>42317.66666666667</v>
      </c>
      <c r="B216" s="2">
        <v>7.85</v>
      </c>
    </row>
    <row r="217">
      <c r="A217" s="3">
        <v>42318.66666666667</v>
      </c>
      <c r="B217" s="2">
        <v>7.7</v>
      </c>
    </row>
    <row r="218">
      <c r="A218" s="3">
        <v>42319.66666666667</v>
      </c>
      <c r="B218" s="2">
        <v>7.63</v>
      </c>
    </row>
    <row r="219">
      <c r="A219" s="3">
        <v>42320.66666666667</v>
      </c>
      <c r="B219" s="2">
        <v>7.6</v>
      </c>
    </row>
    <row r="220">
      <c r="A220" s="3">
        <v>42321.66666666667</v>
      </c>
      <c r="B220" s="2">
        <v>7.45</v>
      </c>
    </row>
    <row r="221">
      <c r="A221" s="3">
        <v>42324.66666666667</v>
      </c>
      <c r="B221" s="2">
        <v>7.6</v>
      </c>
    </row>
    <row r="222">
      <c r="A222" s="3">
        <v>42325.66666666667</v>
      </c>
      <c r="B222" s="2">
        <v>7.6</v>
      </c>
    </row>
    <row r="223">
      <c r="A223" s="3">
        <v>42326.66666666667</v>
      </c>
      <c r="B223" s="2">
        <v>7.76</v>
      </c>
    </row>
    <row r="224">
      <c r="A224" s="3">
        <v>42327.66666666667</v>
      </c>
      <c r="B224" s="2">
        <v>7.78</v>
      </c>
    </row>
    <row r="225">
      <c r="A225" s="3">
        <v>42328.66666666667</v>
      </c>
      <c r="B225" s="2">
        <v>7.85</v>
      </c>
    </row>
    <row r="226">
      <c r="A226" s="3">
        <v>42331.66666666667</v>
      </c>
      <c r="B226" s="2">
        <v>7.73</v>
      </c>
    </row>
    <row r="227">
      <c r="A227" s="3">
        <v>42332.66666666667</v>
      </c>
      <c r="B227" s="2">
        <v>7.79</v>
      </c>
    </row>
    <row r="228">
      <c r="A228" s="3">
        <v>42333.66666666667</v>
      </c>
      <c r="B228" s="2">
        <v>7.78</v>
      </c>
    </row>
    <row r="229">
      <c r="A229" s="3">
        <v>42335.66666666667</v>
      </c>
      <c r="B229" s="2">
        <v>7.85</v>
      </c>
    </row>
    <row r="230">
      <c r="A230" s="3">
        <v>42338.66666666667</v>
      </c>
      <c r="B230" s="2">
        <v>7.93</v>
      </c>
    </row>
    <row r="231">
      <c r="A231" s="3">
        <v>42339.66666666667</v>
      </c>
      <c r="B231" s="2">
        <v>8.19</v>
      </c>
    </row>
    <row r="232">
      <c r="A232" s="3">
        <v>42340.66666666667</v>
      </c>
      <c r="B232" s="2">
        <v>8.13</v>
      </c>
    </row>
    <row r="233">
      <c r="A233" s="3">
        <v>42341.66666666667</v>
      </c>
      <c r="B233" s="2">
        <v>8.11</v>
      </c>
    </row>
    <row r="234">
      <c r="A234" s="3">
        <v>42342.66666666667</v>
      </c>
      <c r="B234" s="2">
        <v>8.44</v>
      </c>
    </row>
    <row r="235">
      <c r="A235" s="3">
        <v>42345.66666666667</v>
      </c>
      <c r="B235" s="2">
        <v>8.28</v>
      </c>
    </row>
    <row r="236">
      <c r="A236" s="3">
        <v>42346.66666666667</v>
      </c>
      <c r="B236" s="2">
        <v>8.39</v>
      </c>
    </row>
    <row r="237">
      <c r="A237" s="3">
        <v>42347.66666666667</v>
      </c>
      <c r="B237" s="2">
        <v>8.18</v>
      </c>
    </row>
    <row r="238">
      <c r="A238" s="3">
        <v>42348.66666666667</v>
      </c>
      <c r="B238" s="2">
        <v>8.24</v>
      </c>
    </row>
    <row r="239">
      <c r="A239" s="3">
        <v>42349.66666666667</v>
      </c>
      <c r="B239" s="2">
        <v>8.12</v>
      </c>
    </row>
    <row r="240">
      <c r="A240" s="3">
        <v>42352.66666666667</v>
      </c>
      <c r="B240" s="2">
        <v>8.14</v>
      </c>
    </row>
    <row r="241">
      <c r="A241" s="3">
        <v>42353.66666666667</v>
      </c>
      <c r="B241" s="2">
        <v>8.24</v>
      </c>
    </row>
    <row r="242">
      <c r="A242" s="3">
        <v>42354.66666666667</v>
      </c>
      <c r="B242" s="2">
        <v>8.29</v>
      </c>
    </row>
    <row r="243">
      <c r="A243" s="3">
        <v>42355.66666666667</v>
      </c>
      <c r="B243" s="2">
        <v>8.17</v>
      </c>
    </row>
    <row r="244">
      <c r="A244" s="3">
        <v>42356.66666666667</v>
      </c>
      <c r="B244" s="2">
        <v>8.04</v>
      </c>
    </row>
    <row r="245">
      <c r="A245" s="3">
        <v>42359.66666666667</v>
      </c>
      <c r="B245" s="2">
        <v>8.22</v>
      </c>
    </row>
    <row r="246">
      <c r="A246" s="3">
        <v>42360.66666666667</v>
      </c>
      <c r="B246" s="2">
        <v>8.23</v>
      </c>
    </row>
    <row r="247">
      <c r="A247" s="3">
        <v>42361.66666666667</v>
      </c>
      <c r="B247" s="2">
        <v>8.26</v>
      </c>
    </row>
    <row r="248">
      <c r="A248" s="3">
        <v>42362.66666666667</v>
      </c>
      <c r="B248" s="2">
        <v>8.29</v>
      </c>
    </row>
    <row r="249">
      <c r="A249" s="3">
        <v>42366.66666666667</v>
      </c>
      <c r="B249" s="2">
        <v>8.29</v>
      </c>
    </row>
    <row r="250">
      <c r="A250" s="3">
        <v>42367.66666666667</v>
      </c>
      <c r="B250" s="2">
        <v>8.42</v>
      </c>
    </row>
    <row r="251">
      <c r="A251" s="3">
        <v>42368.66666666667</v>
      </c>
      <c r="B251" s="2">
        <v>8.35</v>
      </c>
    </row>
    <row r="252">
      <c r="A252" s="3">
        <v>42369.66666666667</v>
      </c>
      <c r="B252" s="2">
        <v>8.24</v>
      </c>
    </row>
    <row r="253">
      <c r="A253" s="3">
        <v>42373.66666666667</v>
      </c>
      <c r="B253" s="2">
        <v>8.09</v>
      </c>
    </row>
    <row r="254">
      <c r="A254" s="3">
        <v>42374.66666666667</v>
      </c>
      <c r="B254" s="2">
        <v>8.22</v>
      </c>
    </row>
    <row r="255">
      <c r="A255" s="3">
        <v>42375.66666666667</v>
      </c>
      <c r="B255" s="2">
        <v>7.88</v>
      </c>
    </row>
    <row r="256">
      <c r="A256" s="3">
        <v>42376.66666666667</v>
      </c>
      <c r="B256" s="2">
        <v>7.57</v>
      </c>
    </row>
    <row r="257">
      <c r="A257" s="3">
        <v>42377.66666666667</v>
      </c>
      <c r="B257" s="2">
        <v>7.41</v>
      </c>
    </row>
    <row r="258">
      <c r="A258" s="3">
        <v>42380.66666666667</v>
      </c>
      <c r="B258" s="2">
        <v>7.42</v>
      </c>
    </row>
    <row r="259">
      <c r="A259" s="3">
        <v>42381.66666666667</v>
      </c>
      <c r="B259" s="2">
        <v>7.55</v>
      </c>
    </row>
    <row r="260">
      <c r="A260" s="3">
        <v>42382.66666666667</v>
      </c>
      <c r="B260" s="2">
        <v>7.32</v>
      </c>
    </row>
    <row r="261">
      <c r="A261" s="3">
        <v>42383.66666666667</v>
      </c>
      <c r="B261" s="2">
        <v>7.17</v>
      </c>
    </row>
    <row r="262">
      <c r="A262" s="3">
        <v>42384.66666666667</v>
      </c>
      <c r="B262" s="2">
        <v>6.78</v>
      </c>
    </row>
    <row r="263">
      <c r="A263" s="3">
        <v>42388.66666666667</v>
      </c>
      <c r="B263" s="2">
        <v>6.83</v>
      </c>
    </row>
    <row r="264">
      <c r="A264" s="3">
        <v>42389.66666666667</v>
      </c>
      <c r="B264" s="2">
        <v>6.87</v>
      </c>
    </row>
    <row r="265">
      <c r="A265" s="3">
        <v>42390.66666666667</v>
      </c>
      <c r="B265" s="2">
        <v>6.95</v>
      </c>
    </row>
    <row r="266">
      <c r="A266" s="3">
        <v>42391.66666666667</v>
      </c>
      <c r="B266" s="2">
        <v>7.11</v>
      </c>
    </row>
    <row r="267">
      <c r="A267" s="3">
        <v>42394.66666666667</v>
      </c>
      <c r="B267" s="2">
        <v>7.11</v>
      </c>
    </row>
    <row r="268">
      <c r="A268" s="3">
        <v>42395.66666666667</v>
      </c>
      <c r="B268" s="2">
        <v>7.18</v>
      </c>
    </row>
    <row r="269">
      <c r="A269" s="3">
        <v>42396.66666666667</v>
      </c>
      <c r="B269" s="2">
        <v>7.09</v>
      </c>
    </row>
    <row r="270">
      <c r="A270" s="3">
        <v>42397.66666666667</v>
      </c>
      <c r="B270" s="2">
        <v>7.01</v>
      </c>
    </row>
    <row r="271">
      <c r="A271" s="3">
        <v>42398.66666666667</v>
      </c>
      <c r="B271" s="2">
        <v>7.32</v>
      </c>
    </row>
    <row r="272">
      <c r="A272" s="3">
        <v>42401.66666666667</v>
      </c>
      <c r="B272" s="2">
        <v>7.33</v>
      </c>
    </row>
    <row r="273">
      <c r="A273" s="3">
        <v>42402.66666666667</v>
      </c>
      <c r="B273" s="2">
        <v>7.02</v>
      </c>
    </row>
    <row r="274">
      <c r="A274" s="3">
        <v>42403.66666666667</v>
      </c>
      <c r="B274" s="2">
        <v>7.05</v>
      </c>
    </row>
    <row r="275">
      <c r="A275" s="3">
        <v>42404.66666666667</v>
      </c>
      <c r="B275" s="2">
        <v>7.05</v>
      </c>
    </row>
    <row r="276">
      <c r="A276" s="3">
        <v>42405.66666666667</v>
      </c>
      <c r="B276" s="2">
        <v>6.61</v>
      </c>
    </row>
    <row r="277">
      <c r="A277" s="3">
        <v>42408.66666666667</v>
      </c>
      <c r="B277" s="2">
        <v>6.31</v>
      </c>
    </row>
    <row r="278">
      <c r="A278" s="3">
        <v>42409.66666666667</v>
      </c>
      <c r="B278" s="2">
        <v>6.37</v>
      </c>
    </row>
    <row r="279">
      <c r="A279" s="3">
        <v>42410.66666666667</v>
      </c>
      <c r="B279" s="2">
        <v>6.36</v>
      </c>
    </row>
    <row r="280">
      <c r="A280" s="3">
        <v>42411.66666666667</v>
      </c>
      <c r="B280" s="2">
        <v>6.33</v>
      </c>
    </row>
    <row r="281">
      <c r="A281" s="3">
        <v>42412.66666666667</v>
      </c>
      <c r="B281" s="2">
        <v>6.43</v>
      </c>
    </row>
    <row r="282">
      <c r="A282" s="3">
        <v>42416.66666666667</v>
      </c>
      <c r="B282" s="2">
        <v>6.75</v>
      </c>
    </row>
    <row r="283">
      <c r="A283" s="3">
        <v>42417.66666666667</v>
      </c>
      <c r="B283" s="2">
        <v>6.92</v>
      </c>
    </row>
    <row r="284">
      <c r="A284" s="3">
        <v>42418.66666666667</v>
      </c>
      <c r="B284" s="2">
        <v>7.51</v>
      </c>
    </row>
    <row r="285">
      <c r="A285" s="3">
        <v>42419.66666666667</v>
      </c>
      <c r="B285" s="2">
        <v>7.61</v>
      </c>
    </row>
    <row r="286">
      <c r="A286" s="3">
        <v>42422.66666666667</v>
      </c>
      <c r="B286" s="2">
        <v>7.88</v>
      </c>
    </row>
    <row r="287">
      <c r="A287" s="3">
        <v>42423.66666666667</v>
      </c>
      <c r="B287" s="2">
        <v>7.9</v>
      </c>
    </row>
    <row r="288">
      <c r="A288" s="3">
        <v>42424.66666666667</v>
      </c>
      <c r="B288" s="2">
        <v>7.96</v>
      </c>
    </row>
    <row r="289">
      <c r="A289" s="3">
        <v>42425.66666666667</v>
      </c>
      <c r="B289" s="2">
        <v>7.97</v>
      </c>
    </row>
    <row r="290">
      <c r="A290" s="3">
        <v>42426.66666666667</v>
      </c>
      <c r="B290" s="2">
        <v>7.92</v>
      </c>
    </row>
    <row r="291">
      <c r="A291" s="3">
        <v>42429.66666666667</v>
      </c>
      <c r="B291" s="2">
        <v>7.84</v>
      </c>
    </row>
    <row r="292">
      <c r="A292" s="3">
        <v>42430.66666666667</v>
      </c>
      <c r="B292" s="2">
        <v>8.19</v>
      </c>
    </row>
    <row r="293">
      <c r="A293" s="3">
        <v>42431.66666666667</v>
      </c>
      <c r="B293" s="2">
        <v>8.24</v>
      </c>
    </row>
    <row r="294">
      <c r="A294" s="3">
        <v>42432.66666666667</v>
      </c>
      <c r="B294" s="2">
        <v>8.16</v>
      </c>
    </row>
    <row r="295">
      <c r="A295" s="3">
        <v>42433.66666666667</v>
      </c>
      <c r="B295" s="2">
        <v>8.14</v>
      </c>
    </row>
    <row r="296">
      <c r="A296" s="3">
        <v>42436.66666666667</v>
      </c>
      <c r="B296" s="2">
        <v>8.09</v>
      </c>
    </row>
    <row r="297">
      <c r="A297" s="3">
        <v>42437.66666666667</v>
      </c>
      <c r="B297" s="2">
        <v>7.94</v>
      </c>
    </row>
    <row r="298">
      <c r="A298" s="3">
        <v>42438.66666666667</v>
      </c>
      <c r="B298" s="2">
        <v>7.93</v>
      </c>
    </row>
    <row r="299">
      <c r="A299" s="3">
        <v>42439.66666666667</v>
      </c>
      <c r="B299" s="2">
        <v>7.92</v>
      </c>
    </row>
    <row r="300">
      <c r="A300" s="3">
        <v>42440.66666666667</v>
      </c>
      <c r="B300" s="2">
        <v>8.06</v>
      </c>
    </row>
    <row r="301">
      <c r="A301" s="3">
        <v>42443.66666666667</v>
      </c>
      <c r="B301" s="2">
        <v>8.07</v>
      </c>
    </row>
    <row r="302">
      <c r="A302" s="3">
        <v>42444.66666666667</v>
      </c>
      <c r="B302" s="2">
        <v>8.04</v>
      </c>
    </row>
    <row r="303">
      <c r="A303" s="3">
        <v>42445.66666666667</v>
      </c>
      <c r="B303" s="2">
        <v>8.28</v>
      </c>
    </row>
    <row r="304">
      <c r="A304" s="3">
        <v>42446.66666666667</v>
      </c>
      <c r="B304" s="2">
        <v>8.21</v>
      </c>
    </row>
    <row r="305">
      <c r="A305" s="3">
        <v>42447.66666666667</v>
      </c>
      <c r="B305" s="2">
        <v>8.45</v>
      </c>
    </row>
    <row r="306">
      <c r="A306" s="3">
        <v>42450.66666666667</v>
      </c>
      <c r="B306" s="2">
        <v>8.48</v>
      </c>
    </row>
    <row r="307">
      <c r="A307" s="3">
        <v>42451.66666666667</v>
      </c>
      <c r="B307" s="2">
        <v>8.46</v>
      </c>
    </row>
    <row r="308">
      <c r="A308" s="3">
        <v>42452.66666666667</v>
      </c>
      <c r="B308" s="2">
        <v>8.61</v>
      </c>
    </row>
    <row r="309">
      <c r="A309" s="3">
        <v>42453.66666666667</v>
      </c>
      <c r="B309" s="2">
        <v>8.62</v>
      </c>
    </row>
    <row r="310">
      <c r="A310" s="3">
        <v>42457.66666666667</v>
      </c>
      <c r="B310" s="2">
        <v>8.71</v>
      </c>
    </row>
    <row r="311">
      <c r="A311" s="3">
        <v>42458.66666666667</v>
      </c>
      <c r="B311" s="2">
        <v>8.85</v>
      </c>
    </row>
    <row r="312">
      <c r="A312" s="3">
        <v>42459.66666666667</v>
      </c>
      <c r="B312" s="2">
        <v>8.94</v>
      </c>
    </row>
    <row r="313">
      <c r="A313" s="3">
        <v>42460.66666666667</v>
      </c>
      <c r="B313" s="2">
        <v>8.91</v>
      </c>
    </row>
    <row r="314">
      <c r="A314" s="3">
        <v>42461.66666666667</v>
      </c>
      <c r="B314" s="2">
        <v>9.04</v>
      </c>
    </row>
    <row r="315">
      <c r="A315" s="3">
        <v>42464.66666666667</v>
      </c>
      <c r="B315" s="2">
        <v>8.95</v>
      </c>
    </row>
    <row r="316">
      <c r="A316" s="3">
        <v>42465.66666666667</v>
      </c>
      <c r="B316" s="2">
        <v>8.94</v>
      </c>
    </row>
    <row r="317">
      <c r="A317" s="3">
        <v>42466.66666666667</v>
      </c>
      <c r="B317" s="2">
        <v>8.95</v>
      </c>
    </row>
    <row r="318">
      <c r="A318" s="3">
        <v>42467.66666666667</v>
      </c>
      <c r="B318" s="2">
        <v>8.86</v>
      </c>
    </row>
    <row r="319">
      <c r="A319" s="3">
        <v>42468.66666666667</v>
      </c>
      <c r="B319" s="2">
        <v>8.91</v>
      </c>
    </row>
    <row r="320">
      <c r="A320" s="3">
        <v>42471.66666666667</v>
      </c>
      <c r="B320" s="2">
        <v>8.97</v>
      </c>
    </row>
    <row r="321">
      <c r="A321" s="3">
        <v>42472.66666666667</v>
      </c>
      <c r="B321" s="2">
        <v>8.96</v>
      </c>
    </row>
    <row r="322">
      <c r="A322" s="3">
        <v>42473.66666666667</v>
      </c>
      <c r="B322" s="2">
        <v>9.19</v>
      </c>
    </row>
    <row r="323">
      <c r="A323" s="3">
        <v>42474.66666666667</v>
      </c>
      <c r="B323" s="2">
        <v>9.21</v>
      </c>
    </row>
    <row r="324">
      <c r="A324" s="3">
        <v>42475.66666666667</v>
      </c>
      <c r="B324" s="2">
        <v>9.28</v>
      </c>
    </row>
    <row r="325">
      <c r="A325" s="3">
        <v>42478.66666666667</v>
      </c>
      <c r="B325" s="2">
        <v>9.24</v>
      </c>
    </row>
    <row r="326">
      <c r="A326" s="3">
        <v>42479.66666666667</v>
      </c>
      <c r="B326" s="2">
        <v>9.08</v>
      </c>
    </row>
    <row r="327">
      <c r="A327" s="3">
        <v>42480.66666666667</v>
      </c>
      <c r="B327" s="2">
        <v>9.11</v>
      </c>
    </row>
    <row r="328">
      <c r="A328" s="3">
        <v>42481.66666666667</v>
      </c>
      <c r="B328" s="2">
        <v>9.1</v>
      </c>
    </row>
    <row r="329">
      <c r="A329" s="3">
        <v>42482.66666666667</v>
      </c>
      <c r="B329" s="2">
        <v>9.07</v>
      </c>
    </row>
    <row r="330">
      <c r="A330" s="3">
        <v>42485.66666666667</v>
      </c>
      <c r="B330" s="2">
        <v>9.11</v>
      </c>
    </row>
    <row r="331">
      <c r="A331" s="3">
        <v>42486.66666666667</v>
      </c>
      <c r="B331" s="2">
        <v>9.12</v>
      </c>
    </row>
    <row r="332">
      <c r="A332" s="3">
        <v>42487.66666666667</v>
      </c>
      <c r="B332" s="2">
        <v>9.33</v>
      </c>
    </row>
    <row r="333">
      <c r="A333" s="3">
        <v>42488.66666666667</v>
      </c>
      <c r="B333" s="2">
        <v>9.05</v>
      </c>
    </row>
    <row r="334">
      <c r="A334" s="3">
        <v>42489.66666666667</v>
      </c>
      <c r="B334" s="2">
        <v>8.88</v>
      </c>
    </row>
    <row r="335">
      <c r="A335" s="3">
        <v>42492.66666666667</v>
      </c>
      <c r="B335" s="2">
        <v>9.0</v>
      </c>
    </row>
    <row r="336">
      <c r="A336" s="3">
        <v>42493.66666666667</v>
      </c>
      <c r="B336" s="2">
        <v>8.89</v>
      </c>
    </row>
    <row r="337">
      <c r="A337" s="3">
        <v>42494.66666666667</v>
      </c>
      <c r="B337" s="2">
        <v>8.69</v>
      </c>
    </row>
    <row r="338">
      <c r="A338" s="3">
        <v>42495.66666666667</v>
      </c>
      <c r="B338" s="2">
        <v>8.74</v>
      </c>
    </row>
    <row r="339">
      <c r="A339" s="3">
        <v>42496.66666666667</v>
      </c>
      <c r="B339" s="2">
        <v>8.83</v>
      </c>
    </row>
    <row r="340">
      <c r="A340" s="3">
        <v>42499.66666666667</v>
      </c>
      <c r="B340" s="2">
        <v>8.82</v>
      </c>
    </row>
    <row r="341">
      <c r="A341" s="3">
        <v>42500.66666666667</v>
      </c>
      <c r="B341" s="2">
        <v>8.99</v>
      </c>
    </row>
    <row r="342">
      <c r="A342" s="3">
        <v>42501.66666666667</v>
      </c>
      <c r="B342" s="2">
        <v>9.02</v>
      </c>
    </row>
    <row r="343">
      <c r="A343" s="3">
        <v>42502.66666666667</v>
      </c>
      <c r="B343" s="2">
        <v>8.89</v>
      </c>
    </row>
    <row r="344">
      <c r="A344" s="3">
        <v>42503.66666666667</v>
      </c>
      <c r="B344" s="2">
        <v>10.25</v>
      </c>
    </row>
    <row r="345">
      <c r="A345" s="3">
        <v>42506.66666666667</v>
      </c>
      <c r="B345" s="2">
        <v>10.55</v>
      </c>
    </row>
    <row r="346">
      <c r="A346" s="3">
        <v>42507.66666666667</v>
      </c>
      <c r="B346" s="2">
        <v>10.57</v>
      </c>
    </row>
    <row r="347">
      <c r="A347" s="3">
        <v>42508.66666666667</v>
      </c>
      <c r="B347" s="2">
        <v>10.84</v>
      </c>
    </row>
    <row r="348">
      <c r="A348" s="3">
        <v>42509.66666666667</v>
      </c>
      <c r="B348" s="2">
        <v>10.89</v>
      </c>
    </row>
    <row r="349">
      <c r="A349" s="3">
        <v>42510.66666666667</v>
      </c>
      <c r="B349" s="2">
        <v>11.08</v>
      </c>
    </row>
    <row r="350">
      <c r="A350" s="3">
        <v>42513.66666666667</v>
      </c>
      <c r="B350" s="2">
        <v>11.1</v>
      </c>
    </row>
    <row r="351">
      <c r="A351" s="3">
        <v>42514.66666666667</v>
      </c>
      <c r="B351" s="2">
        <v>11.34</v>
      </c>
    </row>
    <row r="352">
      <c r="A352" s="3">
        <v>42515.66666666667</v>
      </c>
      <c r="B352" s="2">
        <v>11.29</v>
      </c>
    </row>
    <row r="353">
      <c r="A353" s="3">
        <v>42516.66666666667</v>
      </c>
      <c r="B353" s="2">
        <v>11.41</v>
      </c>
    </row>
    <row r="354">
      <c r="A354" s="3">
        <v>42517.66666666667</v>
      </c>
      <c r="B354" s="2">
        <v>11.48</v>
      </c>
    </row>
    <row r="355">
      <c r="A355" s="3">
        <v>42521.66666666667</v>
      </c>
      <c r="B355" s="2">
        <v>11.68</v>
      </c>
    </row>
    <row r="356">
      <c r="A356" s="3">
        <v>42522.66666666667</v>
      </c>
      <c r="B356" s="2">
        <v>11.7</v>
      </c>
    </row>
    <row r="357">
      <c r="A357" s="3">
        <v>42523.66666666667</v>
      </c>
      <c r="B357" s="2">
        <v>11.79</v>
      </c>
    </row>
    <row r="358">
      <c r="A358" s="3">
        <v>42524.66666666667</v>
      </c>
      <c r="B358" s="2">
        <v>11.62</v>
      </c>
    </row>
    <row r="359">
      <c r="A359" s="3">
        <v>42527.66666666667</v>
      </c>
      <c r="B359" s="2">
        <v>11.56</v>
      </c>
    </row>
    <row r="360">
      <c r="A360" s="3">
        <v>42528.66666666667</v>
      </c>
      <c r="B360" s="2">
        <v>11.58</v>
      </c>
    </row>
    <row r="361">
      <c r="A361" s="3">
        <v>42529.66666666667</v>
      </c>
      <c r="B361" s="2">
        <v>11.55</v>
      </c>
    </row>
    <row r="362">
      <c r="A362" s="3">
        <v>42530.66666666667</v>
      </c>
      <c r="B362" s="2">
        <v>11.85</v>
      </c>
    </row>
    <row r="363">
      <c r="A363" s="3">
        <v>42531.66666666667</v>
      </c>
      <c r="B363" s="2">
        <v>11.55</v>
      </c>
    </row>
    <row r="364">
      <c r="A364" s="3">
        <v>42534.66666666667</v>
      </c>
      <c r="B364" s="2">
        <v>11.7</v>
      </c>
    </row>
    <row r="365">
      <c r="A365" s="3">
        <v>42535.66666666667</v>
      </c>
      <c r="B365" s="2">
        <v>11.72</v>
      </c>
    </row>
    <row r="366">
      <c r="A366" s="3">
        <v>42536.66666666667</v>
      </c>
      <c r="B366" s="2">
        <v>11.84</v>
      </c>
    </row>
    <row r="367">
      <c r="A367" s="3">
        <v>42537.66666666667</v>
      </c>
      <c r="B367" s="2">
        <v>11.89</v>
      </c>
    </row>
    <row r="368">
      <c r="A368" s="3">
        <v>42538.66666666667</v>
      </c>
      <c r="B368" s="2">
        <v>11.68</v>
      </c>
    </row>
    <row r="369">
      <c r="A369" s="3">
        <v>42541.66666666667</v>
      </c>
      <c r="B369" s="2">
        <v>11.89</v>
      </c>
    </row>
    <row r="370">
      <c r="A370" s="3">
        <v>42542.66666666667</v>
      </c>
      <c r="B370" s="2">
        <v>11.82</v>
      </c>
    </row>
    <row r="371">
      <c r="A371" s="3">
        <v>42543.66666666667</v>
      </c>
      <c r="B371" s="2">
        <v>11.81</v>
      </c>
    </row>
    <row r="372">
      <c r="A372" s="3">
        <v>42544.66666666667</v>
      </c>
      <c r="B372" s="2">
        <v>12.12</v>
      </c>
    </row>
    <row r="373">
      <c r="A373" s="3">
        <v>42545.66666666667</v>
      </c>
      <c r="B373" s="2">
        <v>11.43</v>
      </c>
    </row>
    <row r="374">
      <c r="A374" s="3">
        <v>42548.66666666667</v>
      </c>
      <c r="B374" s="2">
        <v>11.31</v>
      </c>
    </row>
    <row r="375">
      <c r="A375" s="3">
        <v>42549.66666666667</v>
      </c>
      <c r="B375" s="2">
        <v>11.48</v>
      </c>
    </row>
    <row r="376">
      <c r="A376" s="3">
        <v>42550.66666666667</v>
      </c>
      <c r="B376" s="2">
        <v>11.66</v>
      </c>
    </row>
    <row r="377">
      <c r="A377" s="3">
        <v>42551.66666666667</v>
      </c>
      <c r="B377" s="2">
        <v>11.75</v>
      </c>
    </row>
    <row r="378">
      <c r="A378" s="3">
        <v>42552.66666666667</v>
      </c>
      <c r="B378" s="2">
        <v>11.67</v>
      </c>
    </row>
    <row r="379">
      <c r="A379" s="3">
        <v>42556.66666666667</v>
      </c>
      <c r="B379" s="2">
        <v>11.84</v>
      </c>
    </row>
    <row r="380">
      <c r="A380" s="3">
        <v>42557.66666666667</v>
      </c>
      <c r="B380" s="2">
        <v>11.91</v>
      </c>
    </row>
    <row r="381">
      <c r="A381" s="3">
        <v>42558.66666666667</v>
      </c>
      <c r="B381" s="2">
        <v>12.22</v>
      </c>
    </row>
    <row r="382">
      <c r="A382" s="3">
        <v>42559.66666666667</v>
      </c>
      <c r="B382" s="2">
        <v>12.71</v>
      </c>
    </row>
    <row r="383">
      <c r="A383" s="3">
        <v>42562.66666666667</v>
      </c>
      <c r="B383" s="2">
        <v>13.01</v>
      </c>
    </row>
    <row r="384">
      <c r="A384" s="3">
        <v>42563.66666666667</v>
      </c>
      <c r="B384" s="2">
        <v>13.2</v>
      </c>
    </row>
    <row r="385">
      <c r="A385" s="3">
        <v>42564.66666666667</v>
      </c>
      <c r="B385" s="2">
        <v>13.2</v>
      </c>
    </row>
    <row r="386">
      <c r="A386" s="3">
        <v>42565.66666666667</v>
      </c>
      <c r="B386" s="2">
        <v>13.33</v>
      </c>
    </row>
    <row r="387">
      <c r="A387" s="3">
        <v>42566.66666666667</v>
      </c>
      <c r="B387" s="2">
        <v>13.18</v>
      </c>
    </row>
    <row r="388">
      <c r="A388" s="3">
        <v>42569.66666666667</v>
      </c>
      <c r="B388" s="2">
        <v>13.24</v>
      </c>
    </row>
    <row r="389">
      <c r="A389" s="3">
        <v>42570.66666666667</v>
      </c>
      <c r="B389" s="2">
        <v>13.38</v>
      </c>
    </row>
    <row r="390">
      <c r="A390" s="3">
        <v>42571.66666666667</v>
      </c>
      <c r="B390" s="2">
        <v>13.56</v>
      </c>
    </row>
    <row r="391">
      <c r="A391" s="3">
        <v>42572.66666666667</v>
      </c>
      <c r="B391" s="2">
        <v>13.31</v>
      </c>
    </row>
    <row r="392">
      <c r="A392" s="3">
        <v>42573.66666666667</v>
      </c>
      <c r="B392" s="2">
        <v>13.67</v>
      </c>
    </row>
    <row r="393">
      <c r="A393" s="3">
        <v>42576.66666666667</v>
      </c>
      <c r="B393" s="2">
        <v>13.92</v>
      </c>
    </row>
    <row r="394">
      <c r="A394" s="3">
        <v>42577.66666666667</v>
      </c>
      <c r="B394" s="2">
        <v>14.16</v>
      </c>
    </row>
    <row r="395">
      <c r="A395" s="3">
        <v>42578.66666666667</v>
      </c>
      <c r="B395" s="2">
        <v>14.02</v>
      </c>
    </row>
    <row r="396">
      <c r="A396" s="3">
        <v>42579.66666666667</v>
      </c>
      <c r="B396" s="2">
        <v>14.05</v>
      </c>
    </row>
    <row r="397">
      <c r="A397" s="3">
        <v>42580.66666666667</v>
      </c>
      <c r="B397" s="2">
        <v>14.28</v>
      </c>
    </row>
    <row r="398">
      <c r="A398" s="3">
        <v>42583.66666666667</v>
      </c>
      <c r="B398" s="2">
        <v>14.18</v>
      </c>
    </row>
    <row r="399">
      <c r="A399" s="3">
        <v>42584.66666666667</v>
      </c>
      <c r="B399" s="2">
        <v>14.01</v>
      </c>
    </row>
    <row r="400">
      <c r="A400" s="3">
        <v>42585.66666666667</v>
      </c>
      <c r="B400" s="2">
        <v>14.05</v>
      </c>
    </row>
    <row r="401">
      <c r="A401" s="3">
        <v>42586.66666666667</v>
      </c>
      <c r="B401" s="2">
        <v>14.31</v>
      </c>
    </row>
    <row r="402">
      <c r="A402" s="3">
        <v>42587.66666666667</v>
      </c>
      <c r="B402" s="2">
        <v>14.55</v>
      </c>
    </row>
    <row r="403">
      <c r="A403" s="3">
        <v>42590.66666666667</v>
      </c>
      <c r="B403" s="2">
        <v>14.69</v>
      </c>
    </row>
    <row r="404">
      <c r="A404" s="3">
        <v>42591.66666666667</v>
      </c>
      <c r="B404" s="2">
        <v>14.72</v>
      </c>
    </row>
    <row r="405">
      <c r="A405" s="3">
        <v>42592.66666666667</v>
      </c>
      <c r="B405" s="2">
        <v>14.63</v>
      </c>
    </row>
    <row r="406">
      <c r="A406" s="3">
        <v>42593.66666666667</v>
      </c>
      <c r="B406" s="2">
        <v>14.93</v>
      </c>
    </row>
    <row r="407">
      <c r="A407" s="3">
        <v>42594.66666666667</v>
      </c>
      <c r="B407" s="2">
        <v>15.76</v>
      </c>
    </row>
    <row r="408">
      <c r="A408" s="3">
        <v>42597.66666666667</v>
      </c>
      <c r="B408" s="2">
        <v>15.75</v>
      </c>
    </row>
    <row r="409">
      <c r="A409" s="3">
        <v>42598.66666666667</v>
      </c>
      <c r="B409" s="2">
        <v>15.65</v>
      </c>
    </row>
    <row r="410">
      <c r="A410" s="3">
        <v>42599.66666666667</v>
      </c>
      <c r="B410" s="2">
        <v>15.29</v>
      </c>
    </row>
    <row r="411">
      <c r="A411" s="3">
        <v>42600.66666666667</v>
      </c>
      <c r="B411" s="2">
        <v>15.53</v>
      </c>
    </row>
    <row r="412">
      <c r="A412" s="3">
        <v>42601.66666666667</v>
      </c>
      <c r="B412" s="2">
        <v>15.57</v>
      </c>
    </row>
    <row r="413">
      <c r="A413" s="3">
        <v>42604.66666666667</v>
      </c>
      <c r="B413" s="2">
        <v>15.63</v>
      </c>
    </row>
    <row r="414">
      <c r="A414" s="3">
        <v>42605.66666666667</v>
      </c>
      <c r="B414" s="2">
        <v>15.73</v>
      </c>
    </row>
    <row r="415">
      <c r="A415" s="3">
        <v>42606.66666666667</v>
      </c>
      <c r="B415" s="2">
        <v>15.49</v>
      </c>
    </row>
    <row r="416">
      <c r="A416" s="3">
        <v>42607.66666666667</v>
      </c>
      <c r="B416" s="2">
        <v>15.38</v>
      </c>
    </row>
    <row r="417">
      <c r="A417" s="3">
        <v>42608.66666666667</v>
      </c>
      <c r="B417" s="2">
        <v>15.51</v>
      </c>
    </row>
    <row r="418">
      <c r="A418" s="3">
        <v>42611.66666666667</v>
      </c>
      <c r="B418" s="2">
        <v>15.5</v>
      </c>
    </row>
    <row r="419">
      <c r="A419" s="3">
        <v>42612.66666666667</v>
      </c>
      <c r="B419" s="2">
        <v>15.41</v>
      </c>
    </row>
    <row r="420">
      <c r="A420" s="3">
        <v>42613.66666666667</v>
      </c>
      <c r="B420" s="2">
        <v>15.34</v>
      </c>
    </row>
    <row r="421">
      <c r="A421" s="3">
        <v>42614.66666666667</v>
      </c>
      <c r="B421" s="2">
        <v>15.79</v>
      </c>
    </row>
    <row r="422">
      <c r="A422" s="3">
        <v>42615.66666666667</v>
      </c>
      <c r="B422" s="2">
        <v>15.63</v>
      </c>
    </row>
    <row r="423">
      <c r="A423" s="3">
        <v>42619.66666666667</v>
      </c>
      <c r="B423" s="2">
        <v>15.78</v>
      </c>
    </row>
    <row r="424">
      <c r="A424" s="3">
        <v>42620.66666666667</v>
      </c>
      <c r="B424" s="2">
        <v>15.55</v>
      </c>
    </row>
    <row r="425">
      <c r="A425" s="3">
        <v>42621.66666666667</v>
      </c>
      <c r="B425" s="2">
        <v>15.66</v>
      </c>
    </row>
    <row r="426">
      <c r="A426" s="3">
        <v>42622.66666666667</v>
      </c>
      <c r="B426" s="2">
        <v>14.88</v>
      </c>
    </row>
    <row r="427">
      <c r="A427" s="3">
        <v>42625.66666666667</v>
      </c>
      <c r="B427" s="2">
        <v>15.19</v>
      </c>
    </row>
    <row r="428">
      <c r="A428" s="3">
        <v>42626.66666666667</v>
      </c>
      <c r="B428" s="2">
        <v>14.97</v>
      </c>
    </row>
    <row r="429">
      <c r="A429" s="3">
        <v>42627.66666666667</v>
      </c>
      <c r="B429" s="2">
        <v>15.1</v>
      </c>
    </row>
    <row r="430">
      <c r="A430" s="3">
        <v>42628.66666666667</v>
      </c>
      <c r="B430" s="2">
        <v>15.67</v>
      </c>
    </row>
    <row r="431">
      <c r="A431" s="3">
        <v>42629.66666666667</v>
      </c>
      <c r="B431" s="2">
        <v>15.71</v>
      </c>
    </row>
    <row r="432">
      <c r="A432" s="3">
        <v>42632.66666666667</v>
      </c>
      <c r="B432" s="2">
        <v>15.92</v>
      </c>
    </row>
    <row r="433">
      <c r="A433" s="3">
        <v>42633.66666666667</v>
      </c>
      <c r="B433" s="2">
        <v>15.77</v>
      </c>
    </row>
    <row r="434">
      <c r="A434" s="3">
        <v>42634.66666666667</v>
      </c>
      <c r="B434" s="2">
        <v>16.22</v>
      </c>
    </row>
    <row r="435">
      <c r="A435" s="3">
        <v>42635.66666666667</v>
      </c>
      <c r="B435" s="2">
        <v>16.26</v>
      </c>
    </row>
    <row r="436">
      <c r="A436" s="3">
        <v>42636.66666666667</v>
      </c>
      <c r="B436" s="2">
        <v>16.24</v>
      </c>
    </row>
    <row r="437">
      <c r="A437" s="3">
        <v>42639.66666666667</v>
      </c>
      <c r="B437" s="2">
        <v>16.09</v>
      </c>
    </row>
    <row r="438">
      <c r="A438" s="3">
        <v>42640.66666666667</v>
      </c>
      <c r="B438" s="2">
        <v>16.64</v>
      </c>
    </row>
    <row r="439">
      <c r="A439" s="3">
        <v>42641.66666666667</v>
      </c>
      <c r="B439" s="2">
        <v>16.7</v>
      </c>
    </row>
    <row r="440">
      <c r="A440" s="3">
        <v>42642.66666666667</v>
      </c>
      <c r="B440" s="2">
        <v>16.85</v>
      </c>
    </row>
    <row r="441">
      <c r="A441" s="3">
        <v>42643.66666666667</v>
      </c>
      <c r="B441" s="2">
        <v>17.13</v>
      </c>
    </row>
    <row r="442">
      <c r="A442" s="3">
        <v>42646.66666666667</v>
      </c>
      <c r="B442" s="2">
        <v>17.11</v>
      </c>
    </row>
    <row r="443">
      <c r="A443" s="3">
        <v>42647.66666666667</v>
      </c>
      <c r="B443" s="2">
        <v>17.08</v>
      </c>
    </row>
    <row r="444">
      <c r="A444" s="3">
        <v>42648.66666666667</v>
      </c>
      <c r="B444" s="2">
        <v>17.06</v>
      </c>
    </row>
    <row r="445">
      <c r="A445" s="3">
        <v>42649.66666666667</v>
      </c>
      <c r="B445" s="2">
        <v>16.84</v>
      </c>
    </row>
    <row r="446">
      <c r="A446" s="3">
        <v>42650.66666666667</v>
      </c>
      <c r="B446" s="2">
        <v>16.71</v>
      </c>
    </row>
    <row r="447">
      <c r="A447" s="3">
        <v>42653.66666666667</v>
      </c>
      <c r="B447" s="2">
        <v>16.77</v>
      </c>
    </row>
    <row r="448">
      <c r="A448" s="3">
        <v>42654.66666666667</v>
      </c>
      <c r="B448" s="2">
        <v>16.53</v>
      </c>
    </row>
    <row r="449">
      <c r="A449" s="3">
        <v>42655.66666666667</v>
      </c>
      <c r="B449" s="2">
        <v>16.61</v>
      </c>
    </row>
    <row r="450">
      <c r="A450" s="3">
        <v>42656.66666666667</v>
      </c>
      <c r="B450" s="2">
        <v>16.34</v>
      </c>
    </row>
    <row r="451">
      <c r="A451" s="3">
        <v>42657.66666666667</v>
      </c>
      <c r="B451" s="2">
        <v>16.5</v>
      </c>
    </row>
    <row r="452">
      <c r="A452" s="3">
        <v>42660.66666666667</v>
      </c>
      <c r="B452" s="2">
        <v>16.4</v>
      </c>
    </row>
    <row r="453">
      <c r="A453" s="3">
        <v>42661.66666666667</v>
      </c>
      <c r="B453" s="2">
        <v>16.65</v>
      </c>
    </row>
    <row r="454">
      <c r="A454" s="3">
        <v>42662.66666666667</v>
      </c>
      <c r="B454" s="2">
        <v>16.62</v>
      </c>
    </row>
    <row r="455">
      <c r="A455" s="3">
        <v>42663.66666666667</v>
      </c>
      <c r="B455" s="2">
        <v>16.93</v>
      </c>
    </row>
    <row r="456">
      <c r="A456" s="3">
        <v>42664.66666666667</v>
      </c>
      <c r="B456" s="2">
        <v>16.89</v>
      </c>
    </row>
    <row r="457">
      <c r="A457" s="3">
        <v>42667.66666666667</v>
      </c>
      <c r="B457" s="2">
        <v>17.68</v>
      </c>
    </row>
    <row r="458">
      <c r="A458" s="3">
        <v>42668.66666666667</v>
      </c>
      <c r="B458" s="2">
        <v>17.97</v>
      </c>
    </row>
    <row r="459">
      <c r="A459" s="3">
        <v>42669.66666666667</v>
      </c>
      <c r="B459" s="2">
        <v>18.04</v>
      </c>
    </row>
    <row r="460">
      <c r="A460" s="3">
        <v>42670.66666666667</v>
      </c>
      <c r="B460" s="2">
        <v>17.67</v>
      </c>
    </row>
    <row r="461">
      <c r="A461" s="3">
        <v>42671.66666666667</v>
      </c>
      <c r="B461" s="2">
        <v>17.64</v>
      </c>
    </row>
    <row r="462">
      <c r="A462" s="3">
        <v>42674.66666666667</v>
      </c>
      <c r="B462" s="2">
        <v>17.79</v>
      </c>
    </row>
    <row r="463">
      <c r="A463" s="3">
        <v>42675.66666666667</v>
      </c>
      <c r="B463" s="2">
        <v>17.26</v>
      </c>
    </row>
    <row r="464">
      <c r="A464" s="3">
        <v>42676.66666666667</v>
      </c>
      <c r="B464" s="2">
        <v>17.19</v>
      </c>
    </row>
    <row r="465">
      <c r="A465" s="3">
        <v>42677.66666666667</v>
      </c>
      <c r="B465" s="2">
        <v>16.99</v>
      </c>
    </row>
    <row r="466">
      <c r="A466" s="3">
        <v>42678.66666666667</v>
      </c>
      <c r="B466" s="2">
        <v>16.89</v>
      </c>
    </row>
    <row r="467">
      <c r="A467" s="3">
        <v>42681.66666666667</v>
      </c>
      <c r="B467" s="2">
        <v>17.82</v>
      </c>
    </row>
    <row r="468">
      <c r="A468" s="3">
        <v>42682.66666666667</v>
      </c>
      <c r="B468" s="2">
        <v>17.79</v>
      </c>
    </row>
    <row r="469">
      <c r="A469" s="3">
        <v>42683.66666666667</v>
      </c>
      <c r="B469" s="2">
        <v>17.49</v>
      </c>
    </row>
    <row r="470">
      <c r="A470" s="3">
        <v>42684.66666666667</v>
      </c>
      <c r="B470" s="2">
        <v>16.94</v>
      </c>
    </row>
    <row r="471">
      <c r="A471" s="3">
        <v>42685.66666666667</v>
      </c>
      <c r="B471" s="2">
        <v>21.99</v>
      </c>
    </row>
    <row r="472">
      <c r="A472" s="3">
        <v>42688.66666666667</v>
      </c>
      <c r="B472" s="2">
        <v>20.91</v>
      </c>
    </row>
    <row r="473">
      <c r="A473" s="3">
        <v>42689.66666666667</v>
      </c>
      <c r="B473" s="2">
        <v>21.55</v>
      </c>
    </row>
    <row r="474">
      <c r="A474" s="3">
        <v>42690.66666666667</v>
      </c>
      <c r="B474" s="2">
        <v>22.91</v>
      </c>
    </row>
    <row r="475">
      <c r="A475" s="3">
        <v>42691.66666666667</v>
      </c>
      <c r="B475" s="2">
        <v>23.1</v>
      </c>
    </row>
    <row r="476">
      <c r="A476" s="3">
        <v>42692.66666666667</v>
      </c>
      <c r="B476" s="2">
        <v>23.34</v>
      </c>
    </row>
    <row r="477">
      <c r="A477" s="3">
        <v>42695.66666666667</v>
      </c>
      <c r="B477" s="2">
        <v>23.25</v>
      </c>
    </row>
    <row r="478">
      <c r="A478" s="3">
        <v>42696.66666666667</v>
      </c>
      <c r="B478" s="2">
        <v>23.41</v>
      </c>
    </row>
    <row r="479">
      <c r="A479" s="3">
        <v>42697.66666666667</v>
      </c>
      <c r="B479" s="2">
        <v>23.49</v>
      </c>
    </row>
    <row r="480">
      <c r="A480" s="3">
        <v>42699.66666666667</v>
      </c>
      <c r="B480" s="2">
        <v>23.54</v>
      </c>
    </row>
    <row r="481">
      <c r="A481" s="3">
        <v>42702.66666666667</v>
      </c>
      <c r="B481" s="2">
        <v>23.53</v>
      </c>
    </row>
    <row r="482">
      <c r="A482" s="3">
        <v>42703.66666666667</v>
      </c>
      <c r="B482" s="2">
        <v>23.31</v>
      </c>
    </row>
    <row r="483">
      <c r="A483" s="3">
        <v>42704.66666666667</v>
      </c>
      <c r="B483" s="2">
        <v>23.05</v>
      </c>
    </row>
    <row r="484">
      <c r="A484" s="3">
        <v>42705.66666666667</v>
      </c>
      <c r="B484" s="2">
        <v>21.91</v>
      </c>
    </row>
    <row r="485">
      <c r="A485" s="3">
        <v>42706.66666666667</v>
      </c>
      <c r="B485" s="2">
        <v>22.11</v>
      </c>
    </row>
    <row r="486">
      <c r="A486" s="3">
        <v>42709.66666666667</v>
      </c>
      <c r="B486" s="2">
        <v>22.97</v>
      </c>
    </row>
    <row r="487">
      <c r="A487" s="3">
        <v>42710.66666666667</v>
      </c>
      <c r="B487" s="2">
        <v>23.35</v>
      </c>
    </row>
    <row r="488">
      <c r="A488" s="3">
        <v>42711.66666666667</v>
      </c>
      <c r="B488" s="2">
        <v>23.77</v>
      </c>
    </row>
    <row r="489">
      <c r="A489" s="3">
        <v>42712.66666666667</v>
      </c>
      <c r="B489" s="2">
        <v>23.37</v>
      </c>
    </row>
    <row r="490">
      <c r="A490" s="3">
        <v>42713.66666666667</v>
      </c>
      <c r="B490" s="2">
        <v>22.96</v>
      </c>
    </row>
    <row r="491">
      <c r="A491" s="3">
        <v>42716.66666666667</v>
      </c>
      <c r="B491" s="2">
        <v>22.4</v>
      </c>
    </row>
    <row r="492">
      <c r="A492" s="3">
        <v>42717.66666666667</v>
      </c>
      <c r="B492" s="2">
        <v>22.79</v>
      </c>
    </row>
    <row r="493">
      <c r="A493" s="3">
        <v>42718.66666666667</v>
      </c>
      <c r="B493" s="2">
        <v>24.11</v>
      </c>
    </row>
    <row r="494">
      <c r="A494" s="3">
        <v>42719.66666666667</v>
      </c>
      <c r="B494" s="2">
        <v>24.68</v>
      </c>
    </row>
    <row r="495">
      <c r="A495" s="3">
        <v>42720.66666666667</v>
      </c>
      <c r="B495" s="2">
        <v>25.1</v>
      </c>
    </row>
    <row r="496">
      <c r="A496" s="3">
        <v>42723.66666666667</v>
      </c>
      <c r="B496" s="2">
        <v>25.41</v>
      </c>
    </row>
    <row r="497">
      <c r="A497" s="3">
        <v>42724.66666666667</v>
      </c>
      <c r="B497" s="2">
        <v>26.29</v>
      </c>
    </row>
    <row r="498">
      <c r="A498" s="3">
        <v>42725.66666666667</v>
      </c>
      <c r="B498" s="2">
        <v>26.46</v>
      </c>
    </row>
    <row r="499">
      <c r="A499" s="3">
        <v>42726.66666666667</v>
      </c>
      <c r="B499" s="2">
        <v>26.78</v>
      </c>
    </row>
    <row r="500">
      <c r="A500" s="3">
        <v>42727.66666666667</v>
      </c>
      <c r="B500" s="2">
        <v>27.45</v>
      </c>
    </row>
    <row r="501">
      <c r="A501" s="3">
        <v>42731.66666666667</v>
      </c>
      <c r="B501" s="2">
        <v>29.33</v>
      </c>
    </row>
    <row r="502">
      <c r="A502" s="3">
        <v>42732.66666666667</v>
      </c>
      <c r="B502" s="2">
        <v>27.31</v>
      </c>
    </row>
    <row r="503">
      <c r="A503" s="3">
        <v>42733.66666666667</v>
      </c>
      <c r="B503" s="2">
        <v>27.86</v>
      </c>
    </row>
    <row r="504">
      <c r="A504" s="3">
        <v>42734.66666666667</v>
      </c>
      <c r="B504" s="2">
        <v>26.69</v>
      </c>
    </row>
    <row r="505">
      <c r="A505" s="3">
        <v>42738.66666666667</v>
      </c>
      <c r="B505" s="2">
        <v>25.5</v>
      </c>
    </row>
    <row r="506">
      <c r="A506" s="3">
        <v>42739.66666666667</v>
      </c>
      <c r="B506" s="2">
        <v>26.1</v>
      </c>
    </row>
    <row r="507">
      <c r="A507" s="3">
        <v>42740.66666666667</v>
      </c>
      <c r="B507" s="2">
        <v>25.44</v>
      </c>
    </row>
    <row r="508">
      <c r="A508" s="3">
        <v>42741.66666666667</v>
      </c>
      <c r="B508" s="2">
        <v>25.78</v>
      </c>
    </row>
    <row r="509">
      <c r="A509" s="3">
        <v>42744.66666666667</v>
      </c>
      <c r="B509" s="2">
        <v>26.82</v>
      </c>
    </row>
    <row r="510">
      <c r="A510" s="3">
        <v>42745.66666666667</v>
      </c>
      <c r="B510" s="2">
        <v>26.62</v>
      </c>
    </row>
    <row r="511">
      <c r="A511" s="3">
        <v>42746.66666666667</v>
      </c>
      <c r="B511" s="2">
        <v>26.29</v>
      </c>
    </row>
    <row r="512">
      <c r="A512" s="3">
        <v>42747.66666666667</v>
      </c>
      <c r="B512" s="2">
        <v>25.86</v>
      </c>
    </row>
    <row r="513">
      <c r="A513" s="3">
        <v>42748.66666666667</v>
      </c>
      <c r="B513" s="2">
        <v>25.86</v>
      </c>
    </row>
    <row r="514">
      <c r="A514" s="3">
        <v>42752.66666666667</v>
      </c>
      <c r="B514" s="2">
        <v>25.28</v>
      </c>
    </row>
    <row r="515">
      <c r="A515" s="3">
        <v>42753.66666666667</v>
      </c>
      <c r="B515" s="2">
        <v>25.74</v>
      </c>
    </row>
    <row r="516">
      <c r="A516" s="3">
        <v>42754.66666666667</v>
      </c>
      <c r="B516" s="2">
        <v>26.29</v>
      </c>
    </row>
    <row r="517">
      <c r="A517" s="3">
        <v>42755.66666666667</v>
      </c>
      <c r="B517" s="2">
        <v>26.0</v>
      </c>
    </row>
    <row r="518">
      <c r="A518" s="3">
        <v>42758.66666666667</v>
      </c>
      <c r="B518" s="2">
        <v>26.27</v>
      </c>
    </row>
    <row r="519">
      <c r="A519" s="3">
        <v>42759.66666666667</v>
      </c>
      <c r="B519" s="2">
        <v>26.83</v>
      </c>
    </row>
    <row r="520">
      <c r="A520" s="3">
        <v>42760.66666666667</v>
      </c>
      <c r="B520" s="2">
        <v>26.95</v>
      </c>
    </row>
    <row r="521">
      <c r="A521" s="3">
        <v>42761.66666666667</v>
      </c>
      <c r="B521" s="2">
        <v>27.41</v>
      </c>
    </row>
    <row r="522">
      <c r="A522" s="3">
        <v>42762.66666666667</v>
      </c>
      <c r="B522" s="2">
        <v>27.94</v>
      </c>
    </row>
    <row r="523">
      <c r="A523" s="3">
        <v>42765.66666666667</v>
      </c>
      <c r="B523" s="2">
        <v>27.51</v>
      </c>
    </row>
    <row r="524">
      <c r="A524" s="3">
        <v>42766.66666666667</v>
      </c>
      <c r="B524" s="2">
        <v>27.3</v>
      </c>
    </row>
    <row r="525">
      <c r="A525" s="3">
        <v>42767.66666666667</v>
      </c>
      <c r="B525" s="2">
        <v>28.49</v>
      </c>
    </row>
    <row r="526">
      <c r="A526" s="3">
        <v>42768.66666666667</v>
      </c>
      <c r="B526" s="2">
        <v>28.85</v>
      </c>
    </row>
    <row r="527">
      <c r="A527" s="3">
        <v>42769.66666666667</v>
      </c>
      <c r="B527" s="2">
        <v>28.6</v>
      </c>
    </row>
    <row r="528">
      <c r="A528" s="3">
        <v>42772.66666666667</v>
      </c>
      <c r="B528" s="2">
        <v>29.33</v>
      </c>
    </row>
    <row r="529">
      <c r="A529" s="3">
        <v>42773.66666666667</v>
      </c>
      <c r="B529" s="2">
        <v>29.78</v>
      </c>
    </row>
    <row r="530">
      <c r="A530" s="3">
        <v>42774.66666666667</v>
      </c>
      <c r="B530" s="2">
        <v>29.65</v>
      </c>
    </row>
    <row r="531">
      <c r="A531" s="3">
        <v>42775.66666666667</v>
      </c>
      <c r="B531" s="2">
        <v>29.1</v>
      </c>
    </row>
    <row r="532">
      <c r="A532" s="3">
        <v>42776.66666666667</v>
      </c>
      <c r="B532" s="2">
        <v>28.41</v>
      </c>
    </row>
    <row r="533">
      <c r="A533" s="3">
        <v>42779.66666666667</v>
      </c>
      <c r="B533" s="2">
        <v>27.1</v>
      </c>
    </row>
    <row r="534">
      <c r="A534" s="3">
        <v>42780.66666666667</v>
      </c>
      <c r="B534" s="2">
        <v>27.2</v>
      </c>
    </row>
    <row r="535">
      <c r="A535" s="3">
        <v>42781.66666666667</v>
      </c>
      <c r="B535" s="2">
        <v>27.25</v>
      </c>
    </row>
    <row r="536">
      <c r="A536" s="3">
        <v>42782.66666666667</v>
      </c>
      <c r="B536" s="2">
        <v>26.81</v>
      </c>
    </row>
    <row r="537">
      <c r="A537" s="3">
        <v>42783.66666666667</v>
      </c>
      <c r="B537" s="2">
        <v>26.81</v>
      </c>
    </row>
    <row r="538">
      <c r="A538" s="3">
        <v>42787.66666666667</v>
      </c>
      <c r="B538" s="2">
        <v>27.77</v>
      </c>
    </row>
    <row r="539">
      <c r="A539" s="3">
        <v>42788.66666666667</v>
      </c>
      <c r="B539" s="2">
        <v>27.69</v>
      </c>
    </row>
    <row r="540">
      <c r="A540" s="3">
        <v>42789.66666666667</v>
      </c>
      <c r="B540" s="2">
        <v>25.12</v>
      </c>
    </row>
    <row r="541">
      <c r="A541" s="3">
        <v>42790.66666666667</v>
      </c>
      <c r="B541" s="2">
        <v>25.37</v>
      </c>
    </row>
    <row r="542">
      <c r="A542" s="3">
        <v>42793.66666666667</v>
      </c>
      <c r="B542" s="2">
        <v>26.1</v>
      </c>
    </row>
    <row r="543">
      <c r="A543" s="3">
        <v>42794.66666666667</v>
      </c>
      <c r="B543" s="2">
        <v>25.37</v>
      </c>
    </row>
    <row r="544">
      <c r="A544" s="3">
        <v>42795.66666666667</v>
      </c>
      <c r="B544" s="2">
        <v>25.7</v>
      </c>
    </row>
    <row r="545">
      <c r="A545" s="3">
        <v>42796.66666666667</v>
      </c>
      <c r="B545" s="2">
        <v>24.75</v>
      </c>
    </row>
    <row r="546">
      <c r="A546" s="3">
        <v>42797.66666666667</v>
      </c>
      <c r="B546" s="2">
        <v>24.61</v>
      </c>
    </row>
    <row r="547">
      <c r="A547" s="3">
        <v>42800.66666666667</v>
      </c>
      <c r="B547" s="2">
        <v>24.42</v>
      </c>
    </row>
    <row r="548">
      <c r="A548" s="3">
        <v>42801.66666666667</v>
      </c>
      <c r="B548" s="2">
        <v>24.69</v>
      </c>
    </row>
    <row r="549">
      <c r="A549" s="3">
        <v>42802.66666666667</v>
      </c>
      <c r="B549" s="2">
        <v>24.64</v>
      </c>
    </row>
    <row r="550">
      <c r="A550" s="3">
        <v>42803.66666666667</v>
      </c>
      <c r="B550" s="2">
        <v>24.64</v>
      </c>
    </row>
    <row r="551">
      <c r="A551" s="3">
        <v>42804.66666666667</v>
      </c>
      <c r="B551" s="2">
        <v>24.78</v>
      </c>
    </row>
    <row r="552">
      <c r="A552" s="3">
        <v>42807.66666666667</v>
      </c>
      <c r="B552" s="2">
        <v>25.46</v>
      </c>
    </row>
    <row r="553">
      <c r="A553" s="3">
        <v>42808.66666666667</v>
      </c>
      <c r="B553" s="2">
        <v>25.45</v>
      </c>
    </row>
    <row r="554">
      <c r="A554" s="3">
        <v>42809.66666666667</v>
      </c>
      <c r="B554" s="2">
        <v>25.64</v>
      </c>
    </row>
    <row r="555">
      <c r="A555" s="3">
        <v>42810.66666666667</v>
      </c>
      <c r="B555" s="2">
        <v>25.95</v>
      </c>
    </row>
    <row r="556">
      <c r="A556" s="3">
        <v>42811.66666666667</v>
      </c>
      <c r="B556" s="2">
        <v>26.52</v>
      </c>
    </row>
    <row r="557">
      <c r="A557" s="3">
        <v>42814.66666666667</v>
      </c>
      <c r="B557" s="2">
        <v>27.36</v>
      </c>
    </row>
    <row r="558">
      <c r="A558" s="3">
        <v>42815.66666666667</v>
      </c>
      <c r="B558" s="2">
        <v>26.48</v>
      </c>
    </row>
    <row r="559">
      <c r="A559" s="3">
        <v>42816.66666666667</v>
      </c>
      <c r="B559" s="2">
        <v>27.02</v>
      </c>
    </row>
    <row r="560">
      <c r="A560" s="3">
        <v>42817.66666666667</v>
      </c>
      <c r="B560" s="2">
        <v>26.77</v>
      </c>
    </row>
    <row r="561">
      <c r="A561" s="3">
        <v>42818.66666666667</v>
      </c>
      <c r="B561" s="2">
        <v>26.87</v>
      </c>
    </row>
    <row r="562">
      <c r="A562" s="3">
        <v>42821.66666666667</v>
      </c>
      <c r="B562" s="2">
        <v>27.06</v>
      </c>
    </row>
    <row r="563">
      <c r="A563" s="3">
        <v>42822.66666666667</v>
      </c>
      <c r="B563" s="2">
        <v>26.92</v>
      </c>
    </row>
    <row r="564">
      <c r="A564" s="3">
        <v>42823.66666666667</v>
      </c>
      <c r="B564" s="2">
        <v>26.84</v>
      </c>
    </row>
    <row r="565">
      <c r="A565" s="3">
        <v>42824.66666666667</v>
      </c>
      <c r="B565" s="2">
        <v>27.35</v>
      </c>
    </row>
    <row r="566">
      <c r="A566" s="3">
        <v>42825.66666666667</v>
      </c>
      <c r="B566" s="2">
        <v>27.23</v>
      </c>
    </row>
    <row r="567">
      <c r="A567" s="3">
        <v>42828.66666666667</v>
      </c>
      <c r="B567" s="2">
        <v>27.1</v>
      </c>
    </row>
    <row r="568">
      <c r="A568" s="3">
        <v>42829.66666666667</v>
      </c>
      <c r="B568" s="2">
        <v>25.2</v>
      </c>
    </row>
    <row r="569">
      <c r="A569" s="3">
        <v>42830.66666666667</v>
      </c>
      <c r="B569" s="2">
        <v>25.01</v>
      </c>
    </row>
    <row r="570">
      <c r="A570" s="3">
        <v>42831.66666666667</v>
      </c>
      <c r="B570" s="2">
        <v>25.19</v>
      </c>
    </row>
    <row r="571">
      <c r="A571" s="3">
        <v>42832.66666666667</v>
      </c>
      <c r="B571" s="2">
        <v>25.08</v>
      </c>
    </row>
    <row r="572">
      <c r="A572" s="3">
        <v>42835.66666666667</v>
      </c>
      <c r="B572" s="2">
        <v>24.44</v>
      </c>
    </row>
    <row r="573">
      <c r="A573" s="3">
        <v>42836.66666666667</v>
      </c>
      <c r="B573" s="2">
        <v>24.53</v>
      </c>
    </row>
    <row r="574">
      <c r="A574" s="3">
        <v>42837.66666666667</v>
      </c>
      <c r="B574" s="2">
        <v>24.33</v>
      </c>
    </row>
    <row r="575">
      <c r="A575" s="3">
        <v>42838.66666666667</v>
      </c>
      <c r="B575" s="2">
        <v>23.87</v>
      </c>
    </row>
    <row r="576">
      <c r="A576" s="3">
        <v>42842.66666666667</v>
      </c>
      <c r="B576" s="2">
        <v>24.81</v>
      </c>
    </row>
    <row r="577">
      <c r="A577" s="3">
        <v>42843.66666666667</v>
      </c>
      <c r="B577" s="2">
        <v>24.82</v>
      </c>
    </row>
    <row r="578">
      <c r="A578" s="3">
        <v>42844.66666666667</v>
      </c>
      <c r="B578" s="2">
        <v>24.92</v>
      </c>
    </row>
    <row r="579">
      <c r="A579" s="3">
        <v>42845.66666666667</v>
      </c>
      <c r="B579" s="2">
        <v>25.32</v>
      </c>
    </row>
    <row r="580">
      <c r="A580" s="3">
        <v>42846.66666666667</v>
      </c>
      <c r="B580" s="2">
        <v>25.42</v>
      </c>
    </row>
    <row r="581">
      <c r="A581" s="3">
        <v>42849.66666666667</v>
      </c>
      <c r="B581" s="2">
        <v>25.74</v>
      </c>
    </row>
    <row r="582">
      <c r="A582" s="3">
        <v>42850.66666666667</v>
      </c>
      <c r="B582" s="2">
        <v>26.19</v>
      </c>
    </row>
    <row r="583">
      <c r="A583" s="3">
        <v>42851.66666666667</v>
      </c>
      <c r="B583" s="2">
        <v>26.01</v>
      </c>
    </row>
    <row r="584">
      <c r="A584" s="3">
        <v>42852.66666666667</v>
      </c>
      <c r="B584" s="2">
        <v>26.41</v>
      </c>
    </row>
    <row r="585">
      <c r="A585" s="3">
        <v>42853.66666666667</v>
      </c>
      <c r="B585" s="2">
        <v>26.08</v>
      </c>
    </row>
    <row r="586">
      <c r="A586" s="3">
        <v>42856.66666666667</v>
      </c>
      <c r="B586" s="2">
        <v>26.66</v>
      </c>
    </row>
    <row r="587">
      <c r="A587" s="3">
        <v>42857.66666666667</v>
      </c>
      <c r="B587" s="2">
        <v>25.87</v>
      </c>
    </row>
    <row r="588">
      <c r="A588" s="3">
        <v>42858.66666666667</v>
      </c>
      <c r="B588" s="2">
        <v>26.06</v>
      </c>
    </row>
    <row r="589">
      <c r="A589" s="3">
        <v>42859.66666666667</v>
      </c>
      <c r="B589" s="2">
        <v>25.96</v>
      </c>
    </row>
    <row r="590">
      <c r="A590" s="3">
        <v>42860.66666666667</v>
      </c>
      <c r="B590" s="2">
        <v>25.97</v>
      </c>
    </row>
    <row r="591">
      <c r="A591" s="3">
        <v>42863.66666666667</v>
      </c>
      <c r="B591" s="2">
        <v>25.69</v>
      </c>
    </row>
    <row r="592">
      <c r="A592" s="3">
        <v>42864.66666666667</v>
      </c>
      <c r="B592" s="2">
        <v>25.74</v>
      </c>
    </row>
    <row r="593">
      <c r="A593" s="3">
        <v>42865.66666666667</v>
      </c>
      <c r="B593" s="2">
        <v>30.32</v>
      </c>
    </row>
    <row r="594">
      <c r="A594" s="3">
        <v>42866.66666666667</v>
      </c>
      <c r="B594" s="2">
        <v>31.63</v>
      </c>
    </row>
    <row r="595">
      <c r="A595" s="3">
        <v>42867.66666666667</v>
      </c>
      <c r="B595" s="2">
        <v>31.97</v>
      </c>
    </row>
    <row r="596">
      <c r="A596" s="3">
        <v>42870.66666666667</v>
      </c>
      <c r="B596" s="2">
        <v>33.58</v>
      </c>
    </row>
    <row r="597">
      <c r="A597" s="3">
        <v>42871.66666666667</v>
      </c>
      <c r="B597" s="2">
        <v>34.2</v>
      </c>
    </row>
    <row r="598">
      <c r="A598" s="3">
        <v>42872.66666666667</v>
      </c>
      <c r="B598" s="2">
        <v>31.93</v>
      </c>
    </row>
    <row r="599">
      <c r="A599" s="3">
        <v>42873.66666666667</v>
      </c>
      <c r="B599" s="2">
        <v>33.27</v>
      </c>
    </row>
    <row r="600">
      <c r="A600" s="3">
        <v>42874.66666666667</v>
      </c>
      <c r="B600" s="2">
        <v>34.0</v>
      </c>
    </row>
    <row r="601">
      <c r="A601" s="3">
        <v>42877.66666666667</v>
      </c>
      <c r="B601" s="2">
        <v>34.73</v>
      </c>
    </row>
    <row r="602">
      <c r="A602" s="3">
        <v>42878.66666666667</v>
      </c>
      <c r="B602" s="2">
        <v>34.26</v>
      </c>
    </row>
    <row r="603">
      <c r="A603" s="3">
        <v>42879.66666666667</v>
      </c>
      <c r="B603" s="2">
        <v>34.64</v>
      </c>
    </row>
    <row r="604">
      <c r="A604" s="3">
        <v>42880.66666666667</v>
      </c>
      <c r="B604" s="2">
        <v>34.57</v>
      </c>
    </row>
    <row r="605">
      <c r="A605" s="3">
        <v>42881.66666666667</v>
      </c>
      <c r="B605" s="2">
        <v>35.46</v>
      </c>
    </row>
    <row r="606">
      <c r="A606" s="3">
        <v>42885.66666666667</v>
      </c>
      <c r="B606" s="2">
        <v>36.22</v>
      </c>
    </row>
    <row r="607">
      <c r="A607" s="3">
        <v>42886.66666666667</v>
      </c>
      <c r="B607" s="2">
        <v>36.09</v>
      </c>
    </row>
    <row r="608">
      <c r="A608" s="3">
        <v>42887.66666666667</v>
      </c>
      <c r="B608" s="2">
        <v>36.09</v>
      </c>
    </row>
    <row r="609">
      <c r="A609" s="3">
        <v>42888.66666666667</v>
      </c>
      <c r="B609" s="2">
        <v>35.91</v>
      </c>
    </row>
    <row r="610">
      <c r="A610" s="3">
        <v>42891.66666666667</v>
      </c>
      <c r="B610" s="2">
        <v>37.0</v>
      </c>
    </row>
    <row r="611">
      <c r="A611" s="3">
        <v>42892.66666666667</v>
      </c>
      <c r="B611" s="2">
        <v>36.84</v>
      </c>
    </row>
    <row r="612">
      <c r="A612" s="3">
        <v>42893.66666666667</v>
      </c>
      <c r="B612" s="2">
        <v>37.28</v>
      </c>
    </row>
    <row r="613">
      <c r="A613" s="3">
        <v>42894.66666666667</v>
      </c>
      <c r="B613" s="2">
        <v>39.99</v>
      </c>
    </row>
    <row r="614">
      <c r="A614" s="3">
        <v>42895.66666666667</v>
      </c>
      <c r="B614" s="2">
        <v>37.4</v>
      </c>
    </row>
    <row r="615">
      <c r="A615" s="3">
        <v>42898.66666666667</v>
      </c>
      <c r="B615" s="2">
        <v>37.49</v>
      </c>
    </row>
    <row r="616">
      <c r="A616" s="3">
        <v>42899.66666666667</v>
      </c>
      <c r="B616" s="2">
        <v>37.85</v>
      </c>
    </row>
    <row r="617">
      <c r="A617" s="3">
        <v>42900.66666666667</v>
      </c>
      <c r="B617" s="2">
        <v>37.93</v>
      </c>
    </row>
    <row r="618">
      <c r="A618" s="3">
        <v>42901.66666666667</v>
      </c>
      <c r="B618" s="2">
        <v>38.09</v>
      </c>
    </row>
    <row r="619">
      <c r="A619" s="3">
        <v>42902.66666666667</v>
      </c>
      <c r="B619" s="2">
        <v>37.91</v>
      </c>
    </row>
    <row r="620">
      <c r="A620" s="3">
        <v>42905.66666666667</v>
      </c>
      <c r="B620" s="2">
        <v>39.33</v>
      </c>
    </row>
    <row r="621">
      <c r="A621" s="3">
        <v>42906.66666666667</v>
      </c>
      <c r="B621" s="2">
        <v>39.27</v>
      </c>
    </row>
    <row r="622">
      <c r="A622" s="3">
        <v>42907.66666666667</v>
      </c>
      <c r="B622" s="2">
        <v>39.87</v>
      </c>
    </row>
    <row r="623">
      <c r="A623" s="3">
        <v>42908.66666666667</v>
      </c>
      <c r="B623" s="2">
        <v>39.59</v>
      </c>
    </row>
    <row r="624">
      <c r="A624" s="3">
        <v>42909.66666666667</v>
      </c>
      <c r="B624" s="2">
        <v>38.46</v>
      </c>
    </row>
    <row r="625">
      <c r="A625" s="3">
        <v>42912.66666666667</v>
      </c>
      <c r="B625" s="2">
        <v>38.04</v>
      </c>
    </row>
    <row r="626">
      <c r="A626" s="3">
        <v>42913.66666666667</v>
      </c>
      <c r="B626" s="2">
        <v>36.65</v>
      </c>
    </row>
    <row r="627">
      <c r="A627" s="3">
        <v>42914.66666666667</v>
      </c>
      <c r="B627" s="2">
        <v>37.94</v>
      </c>
    </row>
    <row r="628">
      <c r="A628" s="3">
        <v>42915.66666666667</v>
      </c>
      <c r="B628" s="2">
        <v>36.67</v>
      </c>
    </row>
    <row r="629">
      <c r="A629" s="3">
        <v>42916.66666666667</v>
      </c>
      <c r="B629" s="2">
        <v>36.14</v>
      </c>
    </row>
    <row r="630">
      <c r="A630" s="3">
        <v>42919.66666666667</v>
      </c>
      <c r="B630" s="2">
        <v>34.83</v>
      </c>
    </row>
    <row r="631">
      <c r="A631" s="3">
        <v>42921.66666666667</v>
      </c>
      <c r="B631" s="2">
        <v>35.76</v>
      </c>
    </row>
    <row r="632">
      <c r="A632" s="3">
        <v>42922.66666666667</v>
      </c>
      <c r="B632" s="2">
        <v>35.87</v>
      </c>
    </row>
    <row r="633">
      <c r="A633" s="3">
        <v>42923.66666666667</v>
      </c>
      <c r="B633" s="2">
        <v>36.69</v>
      </c>
    </row>
    <row r="634">
      <c r="A634" s="3">
        <v>42926.66666666667</v>
      </c>
      <c r="B634" s="2">
        <v>38.42</v>
      </c>
    </row>
    <row r="635">
      <c r="A635" s="3">
        <v>42927.66666666667</v>
      </c>
      <c r="B635" s="2">
        <v>38.97</v>
      </c>
    </row>
    <row r="636">
      <c r="A636" s="3">
        <v>42928.66666666667</v>
      </c>
      <c r="B636" s="2">
        <v>40.63</v>
      </c>
    </row>
    <row r="637">
      <c r="A637" s="3">
        <v>42929.66666666667</v>
      </c>
      <c r="B637" s="2">
        <v>40.16</v>
      </c>
    </row>
    <row r="638">
      <c r="A638" s="3">
        <v>42930.66666666667</v>
      </c>
      <c r="B638" s="2">
        <v>41.24</v>
      </c>
    </row>
    <row r="639">
      <c r="A639" s="3">
        <v>42933.66666666667</v>
      </c>
      <c r="B639" s="2">
        <v>41.06</v>
      </c>
    </row>
    <row r="640">
      <c r="A640" s="3">
        <v>42934.66666666667</v>
      </c>
      <c r="B640" s="2">
        <v>41.49</v>
      </c>
    </row>
    <row r="641">
      <c r="A641" s="3">
        <v>42935.66666666667</v>
      </c>
      <c r="B641" s="2">
        <v>41.28</v>
      </c>
    </row>
    <row r="642">
      <c r="A642" s="3">
        <v>42936.66666666667</v>
      </c>
      <c r="B642" s="2">
        <v>41.88</v>
      </c>
    </row>
    <row r="643">
      <c r="A643" s="3">
        <v>42937.66666666667</v>
      </c>
      <c r="B643" s="2">
        <v>42.03</v>
      </c>
    </row>
    <row r="644">
      <c r="A644" s="3">
        <v>42940.66666666667</v>
      </c>
      <c r="B644" s="2">
        <v>41.54</v>
      </c>
    </row>
    <row r="645">
      <c r="A645" s="3">
        <v>42941.66666666667</v>
      </c>
      <c r="B645" s="2">
        <v>41.34</v>
      </c>
    </row>
    <row r="646">
      <c r="A646" s="3">
        <v>42942.66666666667</v>
      </c>
      <c r="B646" s="2">
        <v>41.82</v>
      </c>
    </row>
    <row r="647">
      <c r="A647" s="3">
        <v>42943.66666666667</v>
      </c>
      <c r="B647" s="2">
        <v>40.44</v>
      </c>
    </row>
    <row r="648">
      <c r="A648" s="3">
        <v>42944.66666666667</v>
      </c>
      <c r="B648" s="2">
        <v>41.1</v>
      </c>
    </row>
    <row r="649">
      <c r="A649" s="3">
        <v>42947.66666666667</v>
      </c>
      <c r="B649" s="2">
        <v>40.63</v>
      </c>
    </row>
    <row r="650">
      <c r="A650" s="3">
        <v>42948.66666666667</v>
      </c>
      <c r="B650" s="2">
        <v>41.12</v>
      </c>
    </row>
    <row r="651">
      <c r="A651" s="3">
        <v>42949.66666666667</v>
      </c>
      <c r="B651" s="2">
        <v>41.1</v>
      </c>
    </row>
    <row r="652">
      <c r="A652" s="3">
        <v>42950.66666666667</v>
      </c>
      <c r="B652" s="2">
        <v>41.62</v>
      </c>
    </row>
    <row r="653">
      <c r="A653" s="3">
        <v>42951.66666666667</v>
      </c>
      <c r="B653" s="2">
        <v>41.8</v>
      </c>
    </row>
    <row r="654">
      <c r="A654" s="3">
        <v>42954.66666666667</v>
      </c>
      <c r="B654" s="2">
        <v>43.09</v>
      </c>
    </row>
    <row r="655">
      <c r="A655" s="3">
        <v>42955.66666666667</v>
      </c>
      <c r="B655" s="2">
        <v>42.58</v>
      </c>
    </row>
    <row r="656">
      <c r="A656" s="3">
        <v>42956.66666666667</v>
      </c>
      <c r="B656" s="2">
        <v>43.03</v>
      </c>
    </row>
    <row r="657">
      <c r="A657" s="3">
        <v>42957.66666666667</v>
      </c>
      <c r="B657" s="2">
        <v>41.19</v>
      </c>
    </row>
    <row r="658">
      <c r="A658" s="3">
        <v>42958.66666666667</v>
      </c>
      <c r="B658" s="2">
        <v>38.99</v>
      </c>
    </row>
    <row r="659">
      <c r="A659" s="3">
        <v>42961.66666666667</v>
      </c>
      <c r="B659" s="2">
        <v>42.1</v>
      </c>
    </row>
    <row r="660">
      <c r="A660" s="3">
        <v>42962.66666666667</v>
      </c>
      <c r="B660" s="2">
        <v>41.75</v>
      </c>
    </row>
    <row r="661">
      <c r="A661" s="3">
        <v>42963.66666666667</v>
      </c>
      <c r="B661" s="2">
        <v>41.29</v>
      </c>
    </row>
    <row r="662">
      <c r="A662" s="3">
        <v>42964.66666666667</v>
      </c>
      <c r="B662" s="2">
        <v>40.37</v>
      </c>
    </row>
    <row r="663">
      <c r="A663" s="3">
        <v>42965.66666666667</v>
      </c>
      <c r="B663" s="2">
        <v>40.38</v>
      </c>
    </row>
    <row r="664">
      <c r="A664" s="3">
        <v>42968.66666666667</v>
      </c>
      <c r="B664" s="2">
        <v>39.79</v>
      </c>
    </row>
    <row r="665">
      <c r="A665" s="3">
        <v>42969.66666666667</v>
      </c>
      <c r="B665" s="2">
        <v>40.64</v>
      </c>
    </row>
    <row r="666">
      <c r="A666" s="3">
        <v>42970.66666666667</v>
      </c>
      <c r="B666" s="2">
        <v>41.45</v>
      </c>
    </row>
    <row r="667">
      <c r="A667" s="3">
        <v>42971.66666666667</v>
      </c>
      <c r="B667" s="2">
        <v>41.3</v>
      </c>
    </row>
    <row r="668">
      <c r="A668" s="3">
        <v>42972.66666666667</v>
      </c>
      <c r="B668" s="2">
        <v>40.95</v>
      </c>
    </row>
    <row r="669">
      <c r="A669" s="3">
        <v>42975.66666666667</v>
      </c>
      <c r="B669" s="2">
        <v>41.24</v>
      </c>
    </row>
    <row r="670">
      <c r="A670" s="3">
        <v>42976.66666666667</v>
      </c>
      <c r="B670" s="2">
        <v>41.18</v>
      </c>
    </row>
    <row r="671">
      <c r="A671" s="3">
        <v>42977.66666666667</v>
      </c>
      <c r="B671" s="2">
        <v>41.42</v>
      </c>
    </row>
    <row r="672">
      <c r="A672" s="3">
        <v>42978.66666666667</v>
      </c>
      <c r="B672" s="2">
        <v>42.36</v>
      </c>
    </row>
    <row r="673">
      <c r="A673" s="3">
        <v>42979.66666666667</v>
      </c>
      <c r="B673" s="2">
        <v>42.62</v>
      </c>
    </row>
    <row r="674">
      <c r="A674" s="3">
        <v>42983.66666666667</v>
      </c>
      <c r="B674" s="2">
        <v>41.48</v>
      </c>
    </row>
    <row r="675">
      <c r="A675" s="3">
        <v>42984.66666666667</v>
      </c>
      <c r="B675" s="2">
        <v>41.45</v>
      </c>
    </row>
    <row r="676">
      <c r="A676" s="3">
        <v>42985.66666666667</v>
      </c>
      <c r="B676" s="2">
        <v>41.65</v>
      </c>
    </row>
    <row r="677">
      <c r="A677" s="3">
        <v>42986.66666666667</v>
      </c>
      <c r="B677" s="2">
        <v>40.92</v>
      </c>
    </row>
    <row r="678">
      <c r="A678" s="3">
        <v>42989.66666666667</v>
      </c>
      <c r="B678" s="2">
        <v>42.25</v>
      </c>
    </row>
    <row r="679">
      <c r="A679" s="3">
        <v>42990.66666666667</v>
      </c>
      <c r="B679" s="2">
        <v>42.4</v>
      </c>
    </row>
    <row r="680">
      <c r="A680" s="3">
        <v>42991.66666666667</v>
      </c>
      <c r="B680" s="2">
        <v>42.59</v>
      </c>
    </row>
    <row r="681">
      <c r="A681" s="3">
        <v>42992.66666666667</v>
      </c>
      <c r="B681" s="2">
        <v>42.35</v>
      </c>
    </row>
    <row r="682">
      <c r="A682" s="3">
        <v>42993.66666666667</v>
      </c>
      <c r="B682" s="2">
        <v>45.03</v>
      </c>
    </row>
    <row r="683">
      <c r="A683" s="3">
        <v>42996.66666666667</v>
      </c>
      <c r="B683" s="2">
        <v>46.89</v>
      </c>
    </row>
    <row r="684">
      <c r="A684" s="3">
        <v>42997.66666666667</v>
      </c>
      <c r="B684" s="2">
        <v>46.84</v>
      </c>
    </row>
    <row r="685">
      <c r="A685" s="3">
        <v>42998.66666666667</v>
      </c>
      <c r="B685" s="2">
        <v>46.46</v>
      </c>
    </row>
    <row r="686">
      <c r="A686" s="3">
        <v>42999.66666666667</v>
      </c>
      <c r="B686" s="2">
        <v>45.19</v>
      </c>
    </row>
    <row r="687">
      <c r="A687" s="3">
        <v>43000.66666666667</v>
      </c>
      <c r="B687" s="2">
        <v>44.75</v>
      </c>
    </row>
    <row r="688">
      <c r="A688" s="3">
        <v>43003.66666666667</v>
      </c>
      <c r="B688" s="2">
        <v>42.75</v>
      </c>
    </row>
    <row r="689">
      <c r="A689" s="3">
        <v>43004.66666666667</v>
      </c>
      <c r="B689" s="2">
        <v>42.99</v>
      </c>
    </row>
    <row r="690">
      <c r="A690" s="3">
        <v>43005.66666666667</v>
      </c>
      <c r="B690" s="2">
        <v>43.93</v>
      </c>
    </row>
    <row r="691">
      <c r="A691" s="3">
        <v>43006.66666666667</v>
      </c>
      <c r="B691" s="2">
        <v>43.92</v>
      </c>
    </row>
    <row r="692">
      <c r="A692" s="3">
        <v>43007.66666666667</v>
      </c>
      <c r="B692" s="2">
        <v>44.69</v>
      </c>
    </row>
    <row r="693">
      <c r="A693" s="3">
        <v>43010.66666666667</v>
      </c>
      <c r="B693" s="2">
        <v>44.75</v>
      </c>
    </row>
    <row r="694">
      <c r="A694" s="3">
        <v>43011.66666666667</v>
      </c>
      <c r="B694" s="2">
        <v>44.84</v>
      </c>
    </row>
    <row r="695">
      <c r="A695" s="3">
        <v>43012.66666666667</v>
      </c>
      <c r="B695" s="2">
        <v>45.22</v>
      </c>
    </row>
    <row r="696">
      <c r="A696" s="3">
        <v>43013.66666666667</v>
      </c>
      <c r="B696" s="2">
        <v>45.19</v>
      </c>
    </row>
    <row r="697">
      <c r="A697" s="3">
        <v>43014.66666666667</v>
      </c>
      <c r="B697" s="2">
        <v>45.33</v>
      </c>
    </row>
    <row r="698">
      <c r="A698" s="3">
        <v>43017.66666666667</v>
      </c>
      <c r="B698" s="2">
        <v>46.35</v>
      </c>
    </row>
    <row r="699">
      <c r="A699" s="3">
        <v>43018.66666666667</v>
      </c>
      <c r="B699" s="2">
        <v>47.23</v>
      </c>
    </row>
    <row r="700">
      <c r="A700" s="3">
        <v>43019.66666666667</v>
      </c>
      <c r="B700" s="2">
        <v>47.74</v>
      </c>
    </row>
    <row r="701">
      <c r="A701" s="3">
        <v>43020.66666666667</v>
      </c>
      <c r="B701" s="2">
        <v>47.76</v>
      </c>
    </row>
    <row r="702">
      <c r="A702" s="3">
        <v>43021.66666666667</v>
      </c>
      <c r="B702" s="2">
        <v>48.65</v>
      </c>
    </row>
    <row r="703">
      <c r="A703" s="3">
        <v>43024.66666666667</v>
      </c>
      <c r="B703" s="2">
        <v>49.48</v>
      </c>
    </row>
    <row r="704">
      <c r="A704" s="3">
        <v>43025.66666666667</v>
      </c>
      <c r="B704" s="2">
        <v>49.44</v>
      </c>
    </row>
    <row r="705">
      <c r="A705" s="3">
        <v>43026.66666666667</v>
      </c>
      <c r="B705" s="2">
        <v>49.4</v>
      </c>
    </row>
    <row r="706">
      <c r="A706" s="3">
        <v>43027.66666666667</v>
      </c>
      <c r="B706" s="2">
        <v>49.45</v>
      </c>
    </row>
    <row r="707">
      <c r="A707" s="3">
        <v>43028.66666666667</v>
      </c>
      <c r="B707" s="2">
        <v>49.23</v>
      </c>
    </row>
    <row r="708">
      <c r="A708" s="3">
        <v>43031.66666666667</v>
      </c>
      <c r="B708" s="2">
        <v>49.16</v>
      </c>
    </row>
    <row r="709">
      <c r="A709" s="3">
        <v>43032.66666666667</v>
      </c>
      <c r="B709" s="2">
        <v>49.67</v>
      </c>
    </row>
    <row r="710">
      <c r="A710" s="3">
        <v>43033.66666666667</v>
      </c>
      <c r="B710" s="2">
        <v>48.42</v>
      </c>
    </row>
    <row r="711">
      <c r="A711" s="3">
        <v>43034.66666666667</v>
      </c>
      <c r="B711" s="2">
        <v>48.92</v>
      </c>
    </row>
    <row r="712">
      <c r="A712" s="3">
        <v>43035.66666666667</v>
      </c>
      <c r="B712" s="2">
        <v>50.47</v>
      </c>
    </row>
    <row r="713">
      <c r="A713" s="3">
        <v>43038.66666666667</v>
      </c>
      <c r="B713" s="2">
        <v>50.96</v>
      </c>
    </row>
    <row r="714">
      <c r="A714" s="3">
        <v>43039.66666666667</v>
      </c>
      <c r="B714" s="2">
        <v>51.7</v>
      </c>
    </row>
    <row r="715">
      <c r="A715" s="3">
        <v>43040.66666666667</v>
      </c>
      <c r="B715" s="2">
        <v>51.8</v>
      </c>
    </row>
    <row r="716">
      <c r="A716" s="3">
        <v>43041.66666666667</v>
      </c>
      <c r="B716" s="2">
        <v>51.49</v>
      </c>
    </row>
    <row r="717">
      <c r="A717" s="3">
        <v>43042.66666666667</v>
      </c>
      <c r="B717" s="2">
        <v>52.17</v>
      </c>
    </row>
    <row r="718">
      <c r="A718" s="3">
        <v>43045.66666666667</v>
      </c>
      <c r="B718" s="2">
        <v>52.41</v>
      </c>
    </row>
    <row r="719">
      <c r="A719" s="3">
        <v>43046.66666666667</v>
      </c>
      <c r="B719" s="2">
        <v>53.01</v>
      </c>
    </row>
    <row r="720">
      <c r="A720" s="3">
        <v>43047.66666666667</v>
      </c>
      <c r="B720" s="2">
        <v>52.29</v>
      </c>
    </row>
    <row r="721">
      <c r="A721" s="3">
        <v>43048.66666666667</v>
      </c>
      <c r="B721" s="2">
        <v>51.33</v>
      </c>
    </row>
    <row r="722">
      <c r="A722" s="3">
        <v>43049.66666666667</v>
      </c>
      <c r="B722" s="2">
        <v>54.04</v>
      </c>
    </row>
    <row r="723">
      <c r="A723" s="3">
        <v>43052.66666666667</v>
      </c>
      <c r="B723" s="2">
        <v>53.16</v>
      </c>
    </row>
    <row r="724">
      <c r="A724" s="3">
        <v>43053.66666666667</v>
      </c>
      <c r="B724" s="2">
        <v>53.55</v>
      </c>
    </row>
    <row r="725">
      <c r="A725" s="3">
        <v>43054.66666666667</v>
      </c>
      <c r="B725" s="2">
        <v>52.5</v>
      </c>
    </row>
    <row r="726">
      <c r="A726" s="3">
        <v>43055.66666666667</v>
      </c>
      <c r="B726" s="2">
        <v>52.9</v>
      </c>
    </row>
    <row r="727">
      <c r="A727" s="3">
        <v>43056.66666666667</v>
      </c>
      <c r="B727" s="2">
        <v>52.84</v>
      </c>
    </row>
    <row r="728">
      <c r="A728" s="3">
        <v>43059.66666666667</v>
      </c>
      <c r="B728" s="2">
        <v>53.52</v>
      </c>
    </row>
    <row r="729">
      <c r="A729" s="3">
        <v>43060.66666666667</v>
      </c>
      <c r="B729" s="2">
        <v>54.01</v>
      </c>
    </row>
    <row r="730">
      <c r="A730" s="3">
        <v>43061.66666666667</v>
      </c>
      <c r="B730" s="2">
        <v>53.73</v>
      </c>
    </row>
    <row r="731">
      <c r="A731" s="3">
        <v>43063.54166666667</v>
      </c>
      <c r="B731" s="2">
        <v>54.24</v>
      </c>
    </row>
    <row r="732">
      <c r="A732" s="3">
        <v>43066.66666666667</v>
      </c>
      <c r="B732" s="2">
        <v>53.54</v>
      </c>
    </row>
    <row r="733">
      <c r="A733" s="3">
        <v>43067.66666666667</v>
      </c>
      <c r="B733" s="2">
        <v>52.68</v>
      </c>
    </row>
    <row r="734">
      <c r="A734" s="3">
        <v>43068.66666666667</v>
      </c>
      <c r="B734" s="2">
        <v>49.11</v>
      </c>
    </row>
    <row r="735">
      <c r="A735" s="3">
        <v>43069.66666666667</v>
      </c>
      <c r="B735" s="2">
        <v>50.18</v>
      </c>
    </row>
    <row r="736">
      <c r="A736" s="3">
        <v>43070.66666666667</v>
      </c>
      <c r="B736" s="2">
        <v>49.42</v>
      </c>
    </row>
    <row r="737">
      <c r="A737" s="3">
        <v>43073.66666666667</v>
      </c>
      <c r="B737" s="2">
        <v>46.67</v>
      </c>
    </row>
    <row r="738">
      <c r="A738" s="3">
        <v>43074.66666666667</v>
      </c>
      <c r="B738" s="2">
        <v>46.94</v>
      </c>
    </row>
    <row r="739">
      <c r="A739" s="3">
        <v>43075.66666666667</v>
      </c>
      <c r="B739" s="2">
        <v>47.32</v>
      </c>
    </row>
    <row r="740">
      <c r="A740" s="3">
        <v>43076.66666666667</v>
      </c>
      <c r="B740" s="2">
        <v>48.0</v>
      </c>
    </row>
    <row r="741">
      <c r="A741" s="3">
        <v>43077.66666666667</v>
      </c>
      <c r="B741" s="2">
        <v>47.87</v>
      </c>
    </row>
    <row r="742">
      <c r="A742" s="3">
        <v>43080.66666666667</v>
      </c>
      <c r="B742" s="2">
        <v>48.67</v>
      </c>
    </row>
    <row r="743">
      <c r="A743" s="3">
        <v>43081.66666666667</v>
      </c>
      <c r="B743" s="2">
        <v>47.71</v>
      </c>
    </row>
    <row r="744">
      <c r="A744" s="3">
        <v>43082.66666666667</v>
      </c>
      <c r="B744" s="2">
        <v>46.55</v>
      </c>
    </row>
    <row r="745">
      <c r="A745" s="3">
        <v>43083.66666666667</v>
      </c>
      <c r="B745" s="2">
        <v>46.62</v>
      </c>
    </row>
    <row r="746">
      <c r="A746" s="3">
        <v>43084.66666666667</v>
      </c>
      <c r="B746" s="2">
        <v>47.89</v>
      </c>
    </row>
    <row r="747">
      <c r="A747" s="3">
        <v>43087.66666666667</v>
      </c>
      <c r="B747" s="2">
        <v>49.48</v>
      </c>
    </row>
    <row r="748">
      <c r="A748" s="3">
        <v>43088.66666666667</v>
      </c>
      <c r="B748" s="2">
        <v>49.03</v>
      </c>
    </row>
    <row r="749">
      <c r="A749" s="3">
        <v>43089.66666666667</v>
      </c>
      <c r="B749" s="2">
        <v>49.2</v>
      </c>
    </row>
    <row r="750">
      <c r="A750" s="3">
        <v>43090.66666666667</v>
      </c>
      <c r="B750" s="2">
        <v>48.97</v>
      </c>
    </row>
    <row r="751">
      <c r="A751" s="3">
        <v>43091.66666666667</v>
      </c>
      <c r="B751" s="2">
        <v>48.82</v>
      </c>
    </row>
    <row r="752">
      <c r="A752" s="3">
        <v>43095.66666666667</v>
      </c>
      <c r="B752" s="2">
        <v>49.36</v>
      </c>
    </row>
    <row r="753">
      <c r="A753" s="3">
        <v>43096.66666666667</v>
      </c>
      <c r="B753" s="2">
        <v>49.29</v>
      </c>
    </row>
    <row r="754">
      <c r="A754" s="3">
        <v>43097.66666666667</v>
      </c>
      <c r="B754" s="2">
        <v>49.35</v>
      </c>
    </row>
    <row r="755">
      <c r="A755" s="3">
        <v>43098.66666666667</v>
      </c>
      <c r="B755" s="2">
        <v>48.38</v>
      </c>
    </row>
    <row r="756">
      <c r="A756" s="3">
        <v>43102.66666666667</v>
      </c>
      <c r="B756" s="2">
        <v>49.84</v>
      </c>
    </row>
    <row r="757">
      <c r="A757" s="3">
        <v>43103.66666666667</v>
      </c>
      <c r="B757" s="2">
        <v>53.12</v>
      </c>
    </row>
    <row r="758">
      <c r="A758" s="3">
        <v>43104.66666666667</v>
      </c>
      <c r="B758" s="2">
        <v>53.4</v>
      </c>
    </row>
    <row r="759">
      <c r="A759" s="3">
        <v>43105.66666666667</v>
      </c>
      <c r="B759" s="2">
        <v>53.85</v>
      </c>
    </row>
    <row r="760">
      <c r="A760" s="3">
        <v>43108.66666666667</v>
      </c>
      <c r="B760" s="2">
        <v>55.5</v>
      </c>
    </row>
    <row r="761">
      <c r="A761" s="3">
        <v>43109.66666666667</v>
      </c>
      <c r="B761" s="2">
        <v>55.49</v>
      </c>
    </row>
    <row r="762">
      <c r="A762" s="3">
        <v>43110.66666666667</v>
      </c>
      <c r="B762" s="2">
        <v>55.92</v>
      </c>
    </row>
    <row r="763">
      <c r="A763" s="3">
        <v>43111.66666666667</v>
      </c>
      <c r="B763" s="2">
        <v>56.02</v>
      </c>
    </row>
    <row r="764">
      <c r="A764" s="3">
        <v>43112.66666666667</v>
      </c>
      <c r="B764" s="2">
        <v>55.75</v>
      </c>
    </row>
    <row r="765">
      <c r="A765" s="3">
        <v>43116.66666666667</v>
      </c>
      <c r="B765" s="2">
        <v>55.03</v>
      </c>
    </row>
    <row r="766">
      <c r="A766" s="3">
        <v>43117.66666666667</v>
      </c>
      <c r="B766" s="2">
        <v>56.18</v>
      </c>
    </row>
    <row r="767">
      <c r="A767" s="3">
        <v>43118.66666666667</v>
      </c>
      <c r="B767" s="2">
        <v>56.11</v>
      </c>
    </row>
    <row r="768">
      <c r="A768" s="3">
        <v>43119.66666666667</v>
      </c>
      <c r="B768" s="2">
        <v>57.53</v>
      </c>
    </row>
    <row r="769">
      <c r="A769" s="3">
        <v>43122.66666666667</v>
      </c>
      <c r="B769" s="2">
        <v>58.42</v>
      </c>
    </row>
    <row r="770">
      <c r="A770" s="3">
        <v>43123.66666666667</v>
      </c>
      <c r="B770" s="2">
        <v>59.73</v>
      </c>
    </row>
    <row r="771">
      <c r="A771" s="3">
        <v>43124.66666666667</v>
      </c>
      <c r="B771" s="2">
        <v>58.95</v>
      </c>
    </row>
    <row r="772">
      <c r="A772" s="3">
        <v>43125.66666666667</v>
      </c>
      <c r="B772" s="2">
        <v>59.09</v>
      </c>
    </row>
    <row r="773">
      <c r="A773" s="3">
        <v>43126.66666666667</v>
      </c>
      <c r="B773" s="2">
        <v>60.83</v>
      </c>
    </row>
    <row r="774">
      <c r="A774" s="3">
        <v>43129.66666666667</v>
      </c>
      <c r="B774" s="2">
        <v>61.71</v>
      </c>
    </row>
    <row r="775">
      <c r="A775" s="3">
        <v>43130.66666666667</v>
      </c>
      <c r="B775" s="2">
        <v>60.68</v>
      </c>
    </row>
    <row r="776">
      <c r="A776" s="3">
        <v>43131.66666666667</v>
      </c>
      <c r="B776" s="2">
        <v>61.45</v>
      </c>
    </row>
    <row r="777">
      <c r="A777" s="3">
        <v>43132.66666666667</v>
      </c>
      <c r="B777" s="2">
        <v>60.13</v>
      </c>
    </row>
    <row r="778">
      <c r="A778" s="3">
        <v>43133.66666666667</v>
      </c>
      <c r="B778" s="2">
        <v>58.38</v>
      </c>
    </row>
    <row r="779">
      <c r="A779" s="3">
        <v>43136.66666666667</v>
      </c>
      <c r="B779" s="2">
        <v>53.43</v>
      </c>
    </row>
    <row r="780">
      <c r="A780" s="3">
        <v>43137.66666666667</v>
      </c>
      <c r="B780" s="2">
        <v>56.4</v>
      </c>
    </row>
    <row r="781">
      <c r="A781" s="3">
        <v>43138.66666666667</v>
      </c>
      <c r="B781" s="2">
        <v>57.2</v>
      </c>
    </row>
    <row r="782">
      <c r="A782" s="3">
        <v>43139.66666666667</v>
      </c>
      <c r="B782" s="2">
        <v>54.38</v>
      </c>
    </row>
    <row r="783">
      <c r="A783" s="3">
        <v>43140.66666666667</v>
      </c>
      <c r="B783" s="2">
        <v>58.02</v>
      </c>
    </row>
    <row r="784">
      <c r="A784" s="3">
        <v>43143.66666666667</v>
      </c>
      <c r="B784" s="2">
        <v>57.01</v>
      </c>
    </row>
    <row r="785">
      <c r="A785" s="3">
        <v>43144.66666666667</v>
      </c>
      <c r="B785" s="2">
        <v>58.16</v>
      </c>
    </row>
    <row r="786">
      <c r="A786" s="3">
        <v>43145.66666666667</v>
      </c>
      <c r="B786" s="2">
        <v>60.36</v>
      </c>
    </row>
    <row r="787">
      <c r="A787" s="3">
        <v>43146.66666666667</v>
      </c>
      <c r="B787" s="2">
        <v>61.63</v>
      </c>
    </row>
    <row r="788">
      <c r="A788" s="3">
        <v>43147.66666666667</v>
      </c>
      <c r="B788" s="2">
        <v>60.96</v>
      </c>
    </row>
    <row r="789">
      <c r="A789" s="3">
        <v>43151.66666666667</v>
      </c>
      <c r="B789" s="2">
        <v>62.27</v>
      </c>
    </row>
    <row r="790">
      <c r="A790" s="3">
        <v>43152.66666666667</v>
      </c>
      <c r="B790" s="2">
        <v>60.38</v>
      </c>
    </row>
    <row r="791">
      <c r="A791" s="3">
        <v>43153.66666666667</v>
      </c>
      <c r="B791" s="2">
        <v>60.54</v>
      </c>
    </row>
    <row r="792">
      <c r="A792" s="3">
        <v>43154.66666666667</v>
      </c>
      <c r="B792" s="2">
        <v>61.48</v>
      </c>
    </row>
    <row r="793">
      <c r="A793" s="3">
        <v>43157.66666666667</v>
      </c>
      <c r="B793" s="2">
        <v>61.65</v>
      </c>
    </row>
    <row r="794">
      <c r="A794" s="3">
        <v>43158.66666666667</v>
      </c>
      <c r="B794" s="2">
        <v>61.52</v>
      </c>
    </row>
    <row r="795">
      <c r="A795" s="3">
        <v>43159.66666666667</v>
      </c>
      <c r="B795" s="2">
        <v>60.5</v>
      </c>
    </row>
    <row r="796">
      <c r="A796" s="3">
        <v>43160.66666666667</v>
      </c>
      <c r="B796" s="2">
        <v>58.05</v>
      </c>
    </row>
    <row r="797">
      <c r="A797" s="3">
        <v>43161.66666666667</v>
      </c>
      <c r="B797" s="2">
        <v>59.14</v>
      </c>
    </row>
    <row r="798">
      <c r="A798" s="3">
        <v>43164.66666666667</v>
      </c>
      <c r="B798" s="2">
        <v>58.91</v>
      </c>
    </row>
    <row r="799">
      <c r="A799" s="3">
        <v>43165.66666666667</v>
      </c>
      <c r="B799" s="2">
        <v>60.54</v>
      </c>
    </row>
    <row r="800">
      <c r="A800" s="3">
        <v>43166.66666666667</v>
      </c>
      <c r="B800" s="2">
        <v>60.46</v>
      </c>
    </row>
    <row r="801">
      <c r="A801" s="3">
        <v>43167.66666666667</v>
      </c>
      <c r="B801" s="2">
        <v>60.3</v>
      </c>
    </row>
    <row r="802">
      <c r="A802" s="3">
        <v>43168.66666666667</v>
      </c>
      <c r="B802" s="2">
        <v>61.33</v>
      </c>
    </row>
    <row r="803">
      <c r="A803" s="3">
        <v>43171.66666666667</v>
      </c>
      <c r="B803" s="2">
        <v>62.44</v>
      </c>
    </row>
    <row r="804">
      <c r="A804" s="3">
        <v>43172.66666666667</v>
      </c>
      <c r="B804" s="2">
        <v>61.93</v>
      </c>
    </row>
    <row r="805">
      <c r="A805" s="3">
        <v>43173.66666666667</v>
      </c>
      <c r="B805" s="2">
        <v>62.19</v>
      </c>
    </row>
    <row r="806">
      <c r="A806" s="3">
        <v>43174.66666666667</v>
      </c>
      <c r="B806" s="2">
        <v>62.34</v>
      </c>
    </row>
    <row r="807">
      <c r="A807" s="3">
        <v>43175.66666666667</v>
      </c>
      <c r="B807" s="2">
        <v>62.62</v>
      </c>
    </row>
    <row r="808">
      <c r="A808" s="3">
        <v>43178.66666666667</v>
      </c>
      <c r="B808" s="2">
        <v>60.25</v>
      </c>
    </row>
    <row r="809">
      <c r="A809" s="3">
        <v>43179.66666666667</v>
      </c>
      <c r="B809" s="2">
        <v>62.4</v>
      </c>
    </row>
    <row r="810">
      <c r="A810" s="3">
        <v>43180.66666666667</v>
      </c>
      <c r="B810" s="2">
        <v>62.14</v>
      </c>
    </row>
    <row r="811">
      <c r="A811" s="3">
        <v>43181.66666666667</v>
      </c>
      <c r="B811" s="2">
        <v>60.46</v>
      </c>
    </row>
    <row r="812">
      <c r="A812" s="3">
        <v>43182.66666666667</v>
      </c>
      <c r="B812" s="2">
        <v>58.24</v>
      </c>
    </row>
    <row r="813">
      <c r="A813" s="3">
        <v>43185.66666666667</v>
      </c>
      <c r="B813" s="2">
        <v>61.12</v>
      </c>
    </row>
    <row r="814">
      <c r="A814" s="3">
        <v>43186.66666666667</v>
      </c>
      <c r="B814" s="2">
        <v>56.38</v>
      </c>
    </row>
    <row r="815">
      <c r="A815" s="3">
        <v>43187.66666666667</v>
      </c>
      <c r="B815" s="2">
        <v>55.34</v>
      </c>
    </row>
    <row r="816">
      <c r="A816" s="3">
        <v>43188.66666666667</v>
      </c>
      <c r="B816" s="2">
        <v>57.9</v>
      </c>
    </row>
    <row r="817">
      <c r="A817" s="3">
        <v>43192.66666666667</v>
      </c>
      <c r="B817" s="2">
        <v>55.26</v>
      </c>
    </row>
    <row r="818">
      <c r="A818" s="3">
        <v>43193.66666666667</v>
      </c>
      <c r="B818" s="2">
        <v>56.34</v>
      </c>
    </row>
    <row r="819">
      <c r="A819" s="3">
        <v>43194.66666666667</v>
      </c>
      <c r="B819" s="2">
        <v>56.56</v>
      </c>
    </row>
    <row r="820">
      <c r="A820" s="3">
        <v>43195.66666666667</v>
      </c>
      <c r="B820" s="2">
        <v>55.35</v>
      </c>
    </row>
    <row r="821">
      <c r="A821" s="3">
        <v>43196.66666666667</v>
      </c>
      <c r="B821" s="2">
        <v>53.56</v>
      </c>
    </row>
    <row r="822">
      <c r="A822" s="3">
        <v>43199.66666666667</v>
      </c>
      <c r="B822" s="2">
        <v>53.85</v>
      </c>
    </row>
    <row r="823">
      <c r="A823" s="3">
        <v>43200.66666666667</v>
      </c>
      <c r="B823" s="2">
        <v>56.98</v>
      </c>
    </row>
    <row r="824">
      <c r="A824" s="3">
        <v>43201.66666666667</v>
      </c>
      <c r="B824" s="2">
        <v>56.56</v>
      </c>
    </row>
    <row r="825">
      <c r="A825" s="3">
        <v>43202.66666666667</v>
      </c>
      <c r="B825" s="2">
        <v>58.65</v>
      </c>
    </row>
    <row r="826">
      <c r="A826" s="3">
        <v>43203.66666666667</v>
      </c>
      <c r="B826" s="2">
        <v>57.88</v>
      </c>
    </row>
    <row r="827">
      <c r="A827" s="3">
        <v>43206.66666666667</v>
      </c>
      <c r="B827" s="2">
        <v>57.87</v>
      </c>
    </row>
    <row r="828">
      <c r="A828" s="3">
        <v>43207.66666666667</v>
      </c>
      <c r="B828" s="2">
        <v>59.39</v>
      </c>
    </row>
    <row r="829">
      <c r="A829" s="3">
        <v>43208.66666666667</v>
      </c>
      <c r="B829" s="2">
        <v>59.09</v>
      </c>
    </row>
    <row r="830">
      <c r="A830" s="3">
        <v>43209.66666666667</v>
      </c>
      <c r="B830" s="2">
        <v>57.26</v>
      </c>
    </row>
    <row r="831">
      <c r="A831" s="3">
        <v>43210.66666666667</v>
      </c>
      <c r="B831" s="2">
        <v>57.18</v>
      </c>
    </row>
    <row r="832">
      <c r="A832" s="3">
        <v>43213.66666666667</v>
      </c>
      <c r="B832" s="2">
        <v>55.97</v>
      </c>
    </row>
    <row r="833">
      <c r="A833" s="3">
        <v>43214.66666666667</v>
      </c>
      <c r="B833" s="2">
        <v>55.3</v>
      </c>
    </row>
    <row r="834">
      <c r="A834" s="3">
        <v>43215.66666666667</v>
      </c>
      <c r="B834" s="2">
        <v>54.17</v>
      </c>
    </row>
    <row r="835">
      <c r="A835" s="3">
        <v>43216.66666666667</v>
      </c>
      <c r="B835" s="2">
        <v>56.31</v>
      </c>
    </row>
    <row r="836">
      <c r="A836" s="3">
        <v>43217.66666666667</v>
      </c>
      <c r="B836" s="2">
        <v>56.58</v>
      </c>
    </row>
    <row r="837">
      <c r="A837" s="3">
        <v>43220.66666666667</v>
      </c>
      <c r="B837" s="2">
        <v>56.23</v>
      </c>
    </row>
    <row r="838">
      <c r="A838" s="3">
        <v>43221.66666666667</v>
      </c>
      <c r="B838" s="2">
        <v>56.79</v>
      </c>
    </row>
    <row r="839">
      <c r="A839" s="3">
        <v>43222.66666666667</v>
      </c>
      <c r="B839" s="2">
        <v>56.58</v>
      </c>
    </row>
    <row r="840">
      <c r="A840" s="3">
        <v>43223.66666666667</v>
      </c>
      <c r="B840" s="2">
        <v>58.25</v>
      </c>
    </row>
    <row r="841">
      <c r="A841" s="3">
        <v>43224.66666666667</v>
      </c>
      <c r="B841" s="2">
        <v>59.77</v>
      </c>
    </row>
    <row r="842">
      <c r="A842" s="3">
        <v>43227.66666666667</v>
      </c>
      <c r="B842" s="2">
        <v>62.17</v>
      </c>
    </row>
    <row r="843">
      <c r="A843" s="3">
        <v>43228.66666666667</v>
      </c>
      <c r="B843" s="2">
        <v>62.6</v>
      </c>
    </row>
    <row r="844">
      <c r="A844" s="3">
        <v>43229.66666666667</v>
      </c>
      <c r="B844" s="2">
        <v>63.95</v>
      </c>
    </row>
    <row r="845">
      <c r="A845" s="3">
        <v>43230.66666666667</v>
      </c>
      <c r="B845" s="2">
        <v>65.03</v>
      </c>
    </row>
    <row r="846">
      <c r="A846" s="3">
        <v>43231.66666666667</v>
      </c>
      <c r="B846" s="2">
        <v>63.63</v>
      </c>
    </row>
    <row r="847">
      <c r="A847" s="3">
        <v>43234.66666666667</v>
      </c>
      <c r="B847" s="2">
        <v>63.84</v>
      </c>
    </row>
    <row r="848">
      <c r="A848" s="3">
        <v>43235.66666666667</v>
      </c>
      <c r="B848" s="2">
        <v>61.39</v>
      </c>
    </row>
    <row r="849">
      <c r="A849" s="3">
        <v>43236.66666666667</v>
      </c>
      <c r="B849" s="2">
        <v>61.5</v>
      </c>
    </row>
    <row r="850">
      <c r="A850" s="3">
        <v>43237.66666666667</v>
      </c>
      <c r="B850" s="2">
        <v>61.93</v>
      </c>
    </row>
    <row r="851">
      <c r="A851" s="3">
        <v>43238.66666666667</v>
      </c>
      <c r="B851" s="2">
        <v>61.49</v>
      </c>
    </row>
    <row r="852">
      <c r="A852" s="3">
        <v>43241.66666666667</v>
      </c>
      <c r="B852" s="2">
        <v>61.06</v>
      </c>
    </row>
    <row r="853">
      <c r="A853" s="3">
        <v>43242.66666666667</v>
      </c>
      <c r="B853" s="2">
        <v>60.68</v>
      </c>
    </row>
    <row r="854">
      <c r="A854" s="3">
        <v>43243.66666666667</v>
      </c>
      <c r="B854" s="2">
        <v>61.89</v>
      </c>
    </row>
    <row r="855">
      <c r="A855" s="3">
        <v>43244.66666666667</v>
      </c>
      <c r="B855" s="2">
        <v>61.92</v>
      </c>
    </row>
    <row r="856">
      <c r="A856" s="3">
        <v>43245.66666666667</v>
      </c>
      <c r="B856" s="2">
        <v>62.32</v>
      </c>
    </row>
    <row r="857">
      <c r="A857" s="3">
        <v>43249.66666666667</v>
      </c>
      <c r="B857" s="2">
        <v>62.15</v>
      </c>
    </row>
    <row r="858">
      <c r="A858" s="3">
        <v>43250.66666666667</v>
      </c>
      <c r="B858" s="2">
        <v>63.25</v>
      </c>
    </row>
    <row r="859">
      <c r="A859" s="3">
        <v>43251.66666666667</v>
      </c>
      <c r="B859" s="2">
        <v>63.05</v>
      </c>
    </row>
    <row r="860">
      <c r="A860" s="3">
        <v>43252.66666666667</v>
      </c>
      <c r="B860" s="2">
        <v>64.41</v>
      </c>
    </row>
    <row r="861">
      <c r="A861" s="3">
        <v>43255.66666666667</v>
      </c>
      <c r="B861" s="2">
        <v>66.21</v>
      </c>
    </row>
    <row r="862">
      <c r="A862" s="3">
        <v>43256.66666666667</v>
      </c>
      <c r="B862" s="2">
        <v>66.27</v>
      </c>
    </row>
    <row r="863">
      <c r="A863" s="3">
        <v>43257.66666666667</v>
      </c>
      <c r="B863" s="2">
        <v>66.29</v>
      </c>
    </row>
    <row r="864">
      <c r="A864" s="3">
        <v>43258.66666666667</v>
      </c>
      <c r="B864" s="2">
        <v>65.72</v>
      </c>
    </row>
    <row r="865">
      <c r="A865" s="3">
        <v>43259.66666666667</v>
      </c>
      <c r="B865" s="2">
        <v>65.57</v>
      </c>
    </row>
    <row r="866">
      <c r="A866" s="3">
        <v>43262.66666666667</v>
      </c>
      <c r="B866" s="2">
        <v>65.16</v>
      </c>
    </row>
    <row r="867">
      <c r="A867" s="3">
        <v>43263.66666666667</v>
      </c>
      <c r="B867" s="2">
        <v>65.65</v>
      </c>
    </row>
    <row r="868">
      <c r="A868" s="3">
        <v>43264.66666666667</v>
      </c>
      <c r="B868" s="2">
        <v>65.6</v>
      </c>
    </row>
    <row r="869">
      <c r="A869" s="3">
        <v>43265.66666666667</v>
      </c>
      <c r="B869" s="2">
        <v>66.73</v>
      </c>
    </row>
    <row r="870">
      <c r="A870" s="3">
        <v>43266.66666666667</v>
      </c>
      <c r="B870" s="2">
        <v>66.32</v>
      </c>
    </row>
    <row r="871">
      <c r="A871" s="3">
        <v>43269.66666666667</v>
      </c>
      <c r="B871" s="2">
        <v>66.27</v>
      </c>
    </row>
    <row r="872">
      <c r="A872" s="3">
        <v>43270.66666666667</v>
      </c>
      <c r="B872" s="2">
        <v>65.04</v>
      </c>
    </row>
    <row r="873">
      <c r="A873" s="3">
        <v>43271.66666666667</v>
      </c>
      <c r="B873" s="2">
        <v>65.58</v>
      </c>
    </row>
    <row r="874">
      <c r="A874" s="3">
        <v>43272.66666666667</v>
      </c>
      <c r="B874" s="2">
        <v>64.28</v>
      </c>
    </row>
    <row r="875">
      <c r="A875" s="3">
        <v>43273.66666666667</v>
      </c>
      <c r="B875" s="2">
        <v>62.74</v>
      </c>
    </row>
    <row r="876">
      <c r="A876" s="3">
        <v>43276.66666666667</v>
      </c>
      <c r="B876" s="2">
        <v>59.78</v>
      </c>
    </row>
    <row r="877">
      <c r="A877" s="3">
        <v>43277.66666666667</v>
      </c>
      <c r="B877" s="2">
        <v>60.5</v>
      </c>
    </row>
    <row r="878">
      <c r="A878" s="3">
        <v>43278.66666666667</v>
      </c>
      <c r="B878" s="2">
        <v>58.93</v>
      </c>
    </row>
    <row r="879">
      <c r="A879" s="3">
        <v>43279.66666666667</v>
      </c>
      <c r="B879" s="2">
        <v>60.22</v>
      </c>
    </row>
    <row r="880">
      <c r="A880" s="3">
        <v>43280.66666666667</v>
      </c>
      <c r="B880" s="2">
        <v>59.23</v>
      </c>
    </row>
    <row r="881">
      <c r="A881" s="3">
        <v>43283.66666666667</v>
      </c>
      <c r="B881" s="2">
        <v>60.56</v>
      </c>
    </row>
    <row r="882">
      <c r="A882" s="3">
        <v>43284.54166666667</v>
      </c>
      <c r="B882" s="2">
        <v>59.21</v>
      </c>
    </row>
    <row r="883">
      <c r="A883" s="3">
        <v>43286.66666666667</v>
      </c>
      <c r="B883" s="2">
        <v>60.68</v>
      </c>
    </row>
    <row r="884">
      <c r="A884" s="3">
        <v>43287.66666666667</v>
      </c>
      <c r="B884" s="2">
        <v>61.83</v>
      </c>
    </row>
    <row r="885">
      <c r="A885" s="3">
        <v>43290.66666666667</v>
      </c>
      <c r="B885" s="2">
        <v>62.31</v>
      </c>
    </row>
    <row r="886">
      <c r="A886" s="3">
        <v>43291.66666666667</v>
      </c>
      <c r="B886" s="2">
        <v>63.31</v>
      </c>
    </row>
    <row r="887">
      <c r="A887" s="3">
        <v>43292.66666666667</v>
      </c>
      <c r="B887" s="2">
        <v>61.88</v>
      </c>
    </row>
    <row r="888">
      <c r="A888" s="3">
        <v>43293.66666666667</v>
      </c>
      <c r="B888" s="2">
        <v>62.81</v>
      </c>
    </row>
    <row r="889">
      <c r="A889" s="3">
        <v>43294.66666666667</v>
      </c>
      <c r="B889" s="2">
        <v>62.33</v>
      </c>
    </row>
    <row r="890">
      <c r="A890" s="3">
        <v>43297.66666666667</v>
      </c>
      <c r="B890" s="2">
        <v>62.05</v>
      </c>
    </row>
    <row r="891">
      <c r="A891" s="3">
        <v>43298.66666666667</v>
      </c>
      <c r="B891" s="2">
        <v>63.42</v>
      </c>
    </row>
    <row r="892">
      <c r="A892" s="3">
        <v>43299.66666666667</v>
      </c>
      <c r="B892" s="2">
        <v>62.93</v>
      </c>
    </row>
    <row r="893">
      <c r="A893" s="3">
        <v>43300.66666666667</v>
      </c>
      <c r="B893" s="2">
        <v>63.01</v>
      </c>
    </row>
    <row r="894">
      <c r="A894" s="3">
        <v>43301.66666666667</v>
      </c>
      <c r="B894" s="2">
        <v>62.72</v>
      </c>
    </row>
    <row r="895">
      <c r="A895" s="3">
        <v>43304.66666666667</v>
      </c>
      <c r="B895" s="2">
        <v>62.35</v>
      </c>
    </row>
    <row r="896">
      <c r="A896" s="3">
        <v>43305.66666666667</v>
      </c>
      <c r="B896" s="2">
        <v>62.18</v>
      </c>
    </row>
    <row r="897">
      <c r="A897" s="3">
        <v>43306.66666666667</v>
      </c>
      <c r="B897" s="2">
        <v>62.97</v>
      </c>
    </row>
    <row r="898">
      <c r="A898" s="3">
        <v>43307.66666666667</v>
      </c>
      <c r="B898" s="2">
        <v>63.71</v>
      </c>
    </row>
    <row r="899">
      <c r="A899" s="3">
        <v>43308.66666666667</v>
      </c>
      <c r="B899" s="2">
        <v>63.01</v>
      </c>
    </row>
    <row r="900">
      <c r="A900" s="3">
        <v>43311.66666666667</v>
      </c>
      <c r="B900" s="2">
        <v>61.03</v>
      </c>
    </row>
    <row r="901">
      <c r="A901" s="3">
        <v>43312.66666666667</v>
      </c>
      <c r="B901" s="2">
        <v>61.22</v>
      </c>
    </row>
    <row r="902">
      <c r="A902" s="3">
        <v>43313.66666666667</v>
      </c>
      <c r="B902" s="2">
        <v>61.62</v>
      </c>
    </row>
    <row r="903">
      <c r="A903" s="3">
        <v>43314.66666666667</v>
      </c>
      <c r="B903" s="2">
        <v>62.66</v>
      </c>
    </row>
    <row r="904">
      <c r="A904" s="3">
        <v>43315.66666666667</v>
      </c>
      <c r="B904" s="2">
        <v>63.03</v>
      </c>
    </row>
    <row r="905">
      <c r="A905" s="3">
        <v>43318.66666666667</v>
      </c>
      <c r="B905" s="2">
        <v>63.51</v>
      </c>
    </row>
    <row r="906">
      <c r="A906" s="3">
        <v>43319.66666666667</v>
      </c>
      <c r="B906" s="2">
        <v>64.24</v>
      </c>
    </row>
    <row r="907">
      <c r="A907" s="3">
        <v>43320.66666666667</v>
      </c>
      <c r="B907" s="2">
        <v>64.61</v>
      </c>
    </row>
    <row r="908">
      <c r="A908" s="3">
        <v>43321.66666666667</v>
      </c>
      <c r="B908" s="2">
        <v>64.11</v>
      </c>
    </row>
    <row r="909">
      <c r="A909" s="3">
        <v>43322.66666666667</v>
      </c>
      <c r="B909" s="2">
        <v>63.7</v>
      </c>
    </row>
    <row r="910">
      <c r="A910" s="3">
        <v>43325.66666666667</v>
      </c>
      <c r="B910" s="2">
        <v>64.03</v>
      </c>
    </row>
    <row r="911">
      <c r="A911" s="3">
        <v>43326.66666666667</v>
      </c>
      <c r="B911" s="2">
        <v>65.36</v>
      </c>
    </row>
    <row r="912">
      <c r="A912" s="3">
        <v>43327.66666666667</v>
      </c>
      <c r="B912" s="2">
        <v>64.77</v>
      </c>
    </row>
    <row r="913">
      <c r="A913" s="3">
        <v>43328.66666666667</v>
      </c>
      <c r="B913" s="2">
        <v>64.36</v>
      </c>
    </row>
    <row r="914">
      <c r="A914" s="3">
        <v>43329.66666666667</v>
      </c>
      <c r="B914" s="2">
        <v>61.21</v>
      </c>
    </row>
    <row r="915">
      <c r="A915" s="3">
        <v>43332.66666666667</v>
      </c>
      <c r="B915" s="2">
        <v>61.96</v>
      </c>
    </row>
    <row r="916">
      <c r="A916" s="3">
        <v>43333.66666666667</v>
      </c>
      <c r="B916" s="2">
        <v>63.33</v>
      </c>
    </row>
    <row r="917">
      <c r="A917" s="3">
        <v>43334.66666666667</v>
      </c>
      <c r="B917" s="2">
        <v>65.71</v>
      </c>
    </row>
    <row r="918">
      <c r="A918" s="3">
        <v>43335.66666666667</v>
      </c>
      <c r="B918" s="2">
        <v>66.71</v>
      </c>
    </row>
    <row r="919">
      <c r="A919" s="3">
        <v>43336.66666666667</v>
      </c>
      <c r="B919" s="2">
        <v>68.06</v>
      </c>
    </row>
    <row r="920">
      <c r="A920" s="3">
        <v>43339.66666666667</v>
      </c>
      <c r="B920" s="2">
        <v>68.97</v>
      </c>
    </row>
    <row r="921">
      <c r="A921" s="3">
        <v>43340.66666666667</v>
      </c>
      <c r="B921" s="2">
        <v>68.6</v>
      </c>
    </row>
    <row r="922">
      <c r="A922" s="3">
        <v>43341.66666666667</v>
      </c>
      <c r="B922" s="2">
        <v>69.62</v>
      </c>
    </row>
    <row r="923">
      <c r="A923" s="3">
        <v>43342.66666666667</v>
      </c>
      <c r="B923" s="2">
        <v>69.45</v>
      </c>
    </row>
    <row r="924">
      <c r="A924" s="3">
        <v>43343.66666666667</v>
      </c>
      <c r="B924" s="2">
        <v>70.17</v>
      </c>
    </row>
    <row r="925">
      <c r="A925" s="3">
        <v>43347.66666666667</v>
      </c>
      <c r="B925" s="2">
        <v>70.93</v>
      </c>
    </row>
    <row r="926">
      <c r="A926" s="3">
        <v>43348.66666666667</v>
      </c>
      <c r="B926" s="2">
        <v>69.61</v>
      </c>
    </row>
    <row r="927">
      <c r="A927" s="3">
        <v>43349.66666666667</v>
      </c>
      <c r="B927" s="2">
        <v>68.18</v>
      </c>
    </row>
    <row r="928">
      <c r="A928" s="3">
        <v>43350.66666666667</v>
      </c>
      <c r="B928" s="2">
        <v>67.97</v>
      </c>
    </row>
    <row r="929">
      <c r="A929" s="3">
        <v>43353.66666666667</v>
      </c>
      <c r="B929" s="2">
        <v>68.68</v>
      </c>
    </row>
    <row r="930">
      <c r="A930" s="3">
        <v>43354.66666666667</v>
      </c>
      <c r="B930" s="2">
        <v>68.2</v>
      </c>
    </row>
    <row r="931">
      <c r="A931" s="3">
        <v>43355.66666666667</v>
      </c>
      <c r="B931" s="2">
        <v>67.05</v>
      </c>
    </row>
    <row r="932">
      <c r="A932" s="3">
        <v>43356.66666666667</v>
      </c>
      <c r="B932" s="2">
        <v>67.83</v>
      </c>
    </row>
    <row r="933">
      <c r="A933" s="3">
        <v>43357.66666666667</v>
      </c>
      <c r="B933" s="2">
        <v>69.11</v>
      </c>
    </row>
    <row r="934">
      <c r="A934" s="3">
        <v>43360.66666666667</v>
      </c>
      <c r="B934" s="2">
        <v>68.48</v>
      </c>
    </row>
    <row r="935">
      <c r="A935" s="3">
        <v>43361.66666666667</v>
      </c>
      <c r="B935" s="2">
        <v>67.76</v>
      </c>
    </row>
    <row r="936">
      <c r="A936" s="3">
        <v>43362.66666666667</v>
      </c>
      <c r="B936" s="2">
        <v>68.0</v>
      </c>
    </row>
    <row r="937">
      <c r="A937" s="3">
        <v>43363.66666666667</v>
      </c>
      <c r="B937" s="2">
        <v>66.57</v>
      </c>
    </row>
    <row r="938">
      <c r="A938" s="3">
        <v>43364.66666666667</v>
      </c>
      <c r="B938" s="2">
        <v>65.86</v>
      </c>
    </row>
    <row r="939">
      <c r="A939" s="3">
        <v>43367.66666666667</v>
      </c>
      <c r="B939" s="2">
        <v>66.43</v>
      </c>
    </row>
    <row r="940">
      <c r="A940" s="3">
        <v>43368.66666666667</v>
      </c>
      <c r="B940" s="2">
        <v>67.1</v>
      </c>
    </row>
    <row r="941">
      <c r="A941" s="3">
        <v>43369.66666666667</v>
      </c>
      <c r="B941" s="2">
        <v>66.73</v>
      </c>
    </row>
    <row r="942">
      <c r="A942" s="3">
        <v>43370.66666666667</v>
      </c>
      <c r="B942" s="2">
        <v>66.85</v>
      </c>
    </row>
    <row r="943">
      <c r="A943" s="3">
        <v>43371.66666666667</v>
      </c>
      <c r="B943" s="2">
        <v>70.26</v>
      </c>
    </row>
    <row r="944">
      <c r="A944" s="3">
        <v>43374.66666666667</v>
      </c>
      <c r="B944" s="2">
        <v>72.34</v>
      </c>
    </row>
    <row r="945">
      <c r="A945" s="3">
        <v>43375.66666666667</v>
      </c>
      <c r="B945" s="2">
        <v>71.62</v>
      </c>
    </row>
    <row r="946">
      <c r="A946" s="3">
        <v>43376.66666666667</v>
      </c>
      <c r="B946" s="2">
        <v>71.68</v>
      </c>
    </row>
    <row r="947">
      <c r="A947" s="3">
        <v>43377.66666666667</v>
      </c>
      <c r="B947" s="2">
        <v>69.82</v>
      </c>
    </row>
    <row r="948">
      <c r="A948" s="3">
        <v>43378.66666666667</v>
      </c>
      <c r="B948" s="2">
        <v>67.47</v>
      </c>
    </row>
    <row r="949">
      <c r="A949" s="3">
        <v>43381.66666666667</v>
      </c>
      <c r="B949" s="2">
        <v>66.44</v>
      </c>
    </row>
    <row r="950">
      <c r="A950" s="3">
        <v>43382.66666666667</v>
      </c>
      <c r="B950" s="2">
        <v>66.39</v>
      </c>
    </row>
    <row r="951">
      <c r="A951" s="3">
        <v>43383.66666666667</v>
      </c>
      <c r="B951" s="2">
        <v>61.42</v>
      </c>
    </row>
    <row r="952">
      <c r="A952" s="3">
        <v>43384.66666666667</v>
      </c>
      <c r="B952" s="2">
        <v>58.78</v>
      </c>
    </row>
    <row r="953">
      <c r="A953" s="3">
        <v>43385.66666666667</v>
      </c>
      <c r="B953" s="2">
        <v>61.64</v>
      </c>
    </row>
    <row r="954">
      <c r="A954" s="3">
        <v>43388.66666666667</v>
      </c>
      <c r="B954" s="2">
        <v>58.85</v>
      </c>
    </row>
    <row r="955">
      <c r="A955" s="3">
        <v>43389.66666666667</v>
      </c>
      <c r="B955" s="2">
        <v>61.46</v>
      </c>
    </row>
    <row r="956">
      <c r="A956" s="3">
        <v>43390.66666666667</v>
      </c>
      <c r="B956" s="2">
        <v>60.77</v>
      </c>
    </row>
    <row r="957">
      <c r="A957" s="3">
        <v>43391.66666666667</v>
      </c>
      <c r="B957" s="2">
        <v>59.88</v>
      </c>
    </row>
    <row r="958">
      <c r="A958" s="3">
        <v>43392.66666666667</v>
      </c>
      <c r="B958" s="2">
        <v>57.29</v>
      </c>
    </row>
    <row r="959">
      <c r="A959" s="3">
        <v>43395.66666666667</v>
      </c>
      <c r="B959" s="2">
        <v>57.81</v>
      </c>
    </row>
    <row r="960">
      <c r="A960" s="3">
        <v>43396.66666666667</v>
      </c>
      <c r="B960" s="2">
        <v>55.27</v>
      </c>
    </row>
    <row r="961">
      <c r="A961" s="3">
        <v>43397.66666666667</v>
      </c>
      <c r="B961" s="2">
        <v>49.85</v>
      </c>
    </row>
    <row r="962">
      <c r="A962" s="3">
        <v>43398.66666666667</v>
      </c>
      <c r="B962" s="2">
        <v>51.96</v>
      </c>
    </row>
    <row r="963">
      <c r="A963" s="3">
        <v>43399.66666666667</v>
      </c>
      <c r="B963" s="2">
        <v>49.57</v>
      </c>
    </row>
    <row r="964">
      <c r="A964" s="3">
        <v>43402.66666666667</v>
      </c>
      <c r="B964" s="2">
        <v>46.41</v>
      </c>
    </row>
    <row r="965">
      <c r="A965" s="3">
        <v>43403.66666666667</v>
      </c>
      <c r="B965" s="2">
        <v>50.75</v>
      </c>
    </row>
    <row r="966">
      <c r="A966" s="3">
        <v>43404.66666666667</v>
      </c>
      <c r="B966" s="2">
        <v>52.71</v>
      </c>
    </row>
    <row r="967">
      <c r="A967" s="3">
        <v>43405.66666666667</v>
      </c>
      <c r="B967" s="2">
        <v>54.53</v>
      </c>
    </row>
    <row r="968">
      <c r="A968" s="3">
        <v>43406.66666666667</v>
      </c>
      <c r="B968" s="2">
        <v>53.73</v>
      </c>
    </row>
    <row r="969">
      <c r="A969" s="3">
        <v>43409.66666666667</v>
      </c>
      <c r="B969" s="2">
        <v>52.94</v>
      </c>
    </row>
    <row r="970">
      <c r="A970" s="3">
        <v>43410.66666666667</v>
      </c>
      <c r="B970" s="2">
        <v>52.77</v>
      </c>
    </row>
    <row r="971">
      <c r="A971" s="3">
        <v>43411.66666666667</v>
      </c>
      <c r="B971" s="2">
        <v>53.45</v>
      </c>
    </row>
    <row r="972">
      <c r="A972" s="3">
        <v>43412.66666666667</v>
      </c>
      <c r="B972" s="2">
        <v>51.5</v>
      </c>
    </row>
    <row r="973">
      <c r="A973" s="3">
        <v>43413.66666666667</v>
      </c>
      <c r="B973" s="2">
        <v>51.42</v>
      </c>
    </row>
    <row r="974">
      <c r="A974" s="3">
        <v>43416.66666666667</v>
      </c>
      <c r="B974" s="2">
        <v>47.39</v>
      </c>
    </row>
    <row r="975">
      <c r="A975" s="3">
        <v>43417.66666666667</v>
      </c>
      <c r="B975" s="2">
        <v>49.83</v>
      </c>
    </row>
    <row r="976">
      <c r="A976" s="3">
        <v>43418.66666666667</v>
      </c>
      <c r="B976" s="2">
        <v>49.3</v>
      </c>
    </row>
    <row r="977">
      <c r="A977" s="3">
        <v>43419.66666666667</v>
      </c>
      <c r="B977" s="2">
        <v>50.6</v>
      </c>
    </row>
    <row r="978">
      <c r="A978" s="3">
        <v>43420.66666666667</v>
      </c>
      <c r="B978" s="2">
        <v>41.11</v>
      </c>
    </row>
    <row r="979">
      <c r="A979" s="3">
        <v>43423.66666666667</v>
      </c>
      <c r="B979" s="2">
        <v>36.17</v>
      </c>
    </row>
    <row r="980">
      <c r="A980" s="3">
        <v>43424.66666666667</v>
      </c>
      <c r="B980" s="2">
        <v>37.27</v>
      </c>
    </row>
    <row r="981">
      <c r="A981" s="3">
        <v>43425.66666666667</v>
      </c>
      <c r="B981" s="2">
        <v>36.18</v>
      </c>
    </row>
    <row r="982">
      <c r="A982" s="3">
        <v>43427.54166666667</v>
      </c>
      <c r="B982" s="2">
        <v>36.25</v>
      </c>
    </row>
    <row r="983">
      <c r="A983" s="3">
        <v>43430.66666666667</v>
      </c>
      <c r="B983" s="2">
        <v>38.26</v>
      </c>
    </row>
    <row r="984">
      <c r="A984" s="3">
        <v>43431.66666666667</v>
      </c>
      <c r="B984" s="2">
        <v>38.43</v>
      </c>
    </row>
    <row r="985">
      <c r="A985" s="3">
        <v>43432.66666666667</v>
      </c>
      <c r="B985" s="2">
        <v>40.02</v>
      </c>
    </row>
    <row r="986">
      <c r="A986" s="3">
        <v>43433.66666666667</v>
      </c>
      <c r="B986" s="2">
        <v>39.34</v>
      </c>
    </row>
    <row r="987">
      <c r="A987" s="3">
        <v>43434.66666666667</v>
      </c>
      <c r="B987" s="2">
        <v>40.86</v>
      </c>
    </row>
    <row r="988">
      <c r="A988" s="3">
        <v>43437.66666666667</v>
      </c>
      <c r="B988" s="2">
        <v>42.51</v>
      </c>
    </row>
    <row r="989">
      <c r="A989" s="3">
        <v>43438.66666666667</v>
      </c>
      <c r="B989" s="2">
        <v>39.28</v>
      </c>
    </row>
    <row r="990">
      <c r="A990" s="3">
        <v>43440.66666666667</v>
      </c>
      <c r="B990" s="2">
        <v>39.57</v>
      </c>
    </row>
    <row r="991">
      <c r="A991" s="3">
        <v>43441.66666666667</v>
      </c>
      <c r="B991" s="2">
        <v>36.9</v>
      </c>
    </row>
    <row r="992">
      <c r="A992" s="3">
        <v>43444.66666666667</v>
      </c>
      <c r="B992" s="2">
        <v>37.97</v>
      </c>
    </row>
    <row r="993">
      <c r="A993" s="3">
        <v>43445.66666666667</v>
      </c>
      <c r="B993" s="2">
        <v>37.05</v>
      </c>
    </row>
    <row r="994">
      <c r="A994" s="3">
        <v>43446.66666666667</v>
      </c>
      <c r="B994" s="2">
        <v>37.23</v>
      </c>
    </row>
    <row r="995">
      <c r="A995" s="3">
        <v>43447.66666666667</v>
      </c>
      <c r="B995" s="2">
        <v>37.22</v>
      </c>
    </row>
    <row r="996">
      <c r="A996" s="3">
        <v>43448.66666666667</v>
      </c>
      <c r="B996" s="2">
        <v>36.61</v>
      </c>
    </row>
    <row r="997">
      <c r="A997" s="3">
        <v>43451.66666666667</v>
      </c>
      <c r="B997" s="2">
        <v>35.9</v>
      </c>
    </row>
    <row r="998">
      <c r="A998" s="3">
        <v>43452.66666666667</v>
      </c>
      <c r="B998" s="2">
        <v>36.74</v>
      </c>
    </row>
    <row r="999">
      <c r="A999" s="3">
        <v>43453.66666666667</v>
      </c>
      <c r="B999" s="2">
        <v>34.63</v>
      </c>
    </row>
    <row r="1000">
      <c r="A1000" s="3">
        <v>43454.66666666667</v>
      </c>
      <c r="B1000" s="2">
        <v>33.78</v>
      </c>
    </row>
    <row r="1001">
      <c r="A1001" s="3">
        <v>43455.66666666667</v>
      </c>
      <c r="B1001" s="2">
        <v>32.39</v>
      </c>
    </row>
    <row r="1002">
      <c r="A1002" s="3">
        <v>43458.54166666667</v>
      </c>
      <c r="B1002" s="2">
        <v>31.77</v>
      </c>
    </row>
    <row r="1003">
      <c r="A1003" s="3">
        <v>43460.66666666667</v>
      </c>
      <c r="B1003" s="2">
        <v>33.28</v>
      </c>
    </row>
    <row r="1004">
      <c r="A1004" s="3">
        <v>43461.66666666667</v>
      </c>
      <c r="B1004" s="2">
        <v>32.79</v>
      </c>
    </row>
    <row r="1005">
      <c r="A1005" s="3">
        <v>43462.66666666667</v>
      </c>
      <c r="B1005" s="2">
        <v>33.41</v>
      </c>
    </row>
    <row r="1006">
      <c r="A1006" s="3">
        <v>43465.66666666667</v>
      </c>
      <c r="B1006" s="2">
        <v>33.38</v>
      </c>
    </row>
    <row r="1007">
      <c r="A1007" s="3">
        <v>43467.66666666667</v>
      </c>
      <c r="B1007" s="2">
        <v>34.06</v>
      </c>
    </row>
    <row r="1008">
      <c r="A1008" s="3">
        <v>43468.66666666667</v>
      </c>
      <c r="B1008" s="2">
        <v>32.0</v>
      </c>
    </row>
    <row r="1009">
      <c r="A1009" s="3">
        <v>43469.66666666667</v>
      </c>
      <c r="B1009" s="2">
        <v>34.05</v>
      </c>
    </row>
    <row r="1010">
      <c r="A1010" s="3">
        <v>43472.66666666667</v>
      </c>
      <c r="B1010" s="2">
        <v>35.85</v>
      </c>
    </row>
    <row r="1011">
      <c r="A1011" s="3">
        <v>43473.66666666667</v>
      </c>
      <c r="B1011" s="2">
        <v>34.96</v>
      </c>
    </row>
    <row r="1012">
      <c r="A1012" s="3">
        <v>43474.66666666667</v>
      </c>
      <c r="B1012" s="2">
        <v>35.65</v>
      </c>
    </row>
    <row r="1013">
      <c r="A1013" s="3">
        <v>43475.66666666667</v>
      </c>
      <c r="B1013" s="2">
        <v>36.31</v>
      </c>
    </row>
    <row r="1014">
      <c r="A1014" s="3">
        <v>43476.66666666667</v>
      </c>
      <c r="B1014" s="2">
        <v>37.21</v>
      </c>
    </row>
    <row r="1015">
      <c r="A1015" s="3">
        <v>43479.66666666667</v>
      </c>
      <c r="B1015" s="2">
        <v>37.61</v>
      </c>
    </row>
    <row r="1016">
      <c r="A1016" s="3">
        <v>43480.66666666667</v>
      </c>
      <c r="B1016" s="2">
        <v>37.47</v>
      </c>
    </row>
    <row r="1017">
      <c r="A1017" s="3">
        <v>43481.66666666667</v>
      </c>
      <c r="B1017" s="2">
        <v>37.21</v>
      </c>
    </row>
    <row r="1018">
      <c r="A1018" s="3">
        <v>43482.66666666667</v>
      </c>
      <c r="B1018" s="2">
        <v>37.93</v>
      </c>
    </row>
    <row r="1019">
      <c r="A1019" s="3">
        <v>43483.66666666667</v>
      </c>
      <c r="B1019" s="2">
        <v>39.23</v>
      </c>
    </row>
    <row r="1020">
      <c r="A1020" s="3">
        <v>43487.66666666667</v>
      </c>
      <c r="B1020" s="2">
        <v>37.19</v>
      </c>
    </row>
    <row r="1021">
      <c r="A1021" s="3">
        <v>43488.66666666667</v>
      </c>
      <c r="B1021" s="2">
        <v>37.32</v>
      </c>
    </row>
    <row r="1022">
      <c r="A1022" s="3">
        <v>43489.66666666667</v>
      </c>
      <c r="B1022" s="2">
        <v>39.46</v>
      </c>
    </row>
    <row r="1023">
      <c r="A1023" s="3">
        <v>43490.66666666667</v>
      </c>
      <c r="B1023" s="2">
        <v>40.04</v>
      </c>
    </row>
    <row r="1024">
      <c r="A1024" s="3">
        <v>43493.66666666667</v>
      </c>
      <c r="B1024" s="2">
        <v>34.5</v>
      </c>
    </row>
    <row r="1025">
      <c r="A1025" s="3">
        <v>43494.66666666667</v>
      </c>
      <c r="B1025" s="2">
        <v>32.9</v>
      </c>
    </row>
    <row r="1026">
      <c r="A1026" s="3">
        <v>43495.66666666667</v>
      </c>
      <c r="B1026" s="2">
        <v>34.35</v>
      </c>
    </row>
    <row r="1027">
      <c r="A1027" s="3">
        <v>43496.66666666667</v>
      </c>
      <c r="B1027" s="2">
        <v>35.94</v>
      </c>
    </row>
    <row r="1028">
      <c r="A1028" s="3">
        <v>43497.66666666667</v>
      </c>
      <c r="B1028" s="2">
        <v>36.18</v>
      </c>
    </row>
    <row r="1029">
      <c r="A1029" s="3">
        <v>43500.66666666667</v>
      </c>
      <c r="B1029" s="2">
        <v>37.3</v>
      </c>
    </row>
    <row r="1030">
      <c r="A1030" s="3">
        <v>43501.66666666667</v>
      </c>
      <c r="B1030" s="2">
        <v>37.49</v>
      </c>
    </row>
    <row r="1031">
      <c r="A1031" s="3">
        <v>43502.66666666667</v>
      </c>
      <c r="B1031" s="2">
        <v>38.25</v>
      </c>
    </row>
    <row r="1032">
      <c r="A1032" s="3">
        <v>43503.66666666667</v>
      </c>
      <c r="B1032" s="2">
        <v>36.85</v>
      </c>
    </row>
    <row r="1033">
      <c r="A1033" s="3">
        <v>43504.66666666667</v>
      </c>
      <c r="B1033" s="2">
        <v>37.04</v>
      </c>
    </row>
    <row r="1034">
      <c r="A1034" s="3">
        <v>43507.66666666667</v>
      </c>
      <c r="B1034" s="2">
        <v>36.61</v>
      </c>
    </row>
    <row r="1035">
      <c r="A1035" s="3">
        <v>43508.66666666667</v>
      </c>
      <c r="B1035" s="2">
        <v>37.79</v>
      </c>
    </row>
    <row r="1036">
      <c r="A1036" s="3">
        <v>43509.66666666667</v>
      </c>
      <c r="B1036" s="2">
        <v>38.22</v>
      </c>
    </row>
    <row r="1037">
      <c r="A1037" s="3">
        <v>43510.66666666667</v>
      </c>
      <c r="B1037" s="2">
        <v>38.63</v>
      </c>
    </row>
    <row r="1038">
      <c r="A1038" s="3">
        <v>43511.66666666667</v>
      </c>
      <c r="B1038" s="2">
        <v>39.34</v>
      </c>
    </row>
    <row r="1039">
      <c r="A1039" s="3">
        <v>43515.66666666667</v>
      </c>
      <c r="B1039" s="2">
        <v>39.16</v>
      </c>
    </row>
    <row r="1040">
      <c r="A1040" s="3">
        <v>43516.66666666667</v>
      </c>
      <c r="B1040" s="2">
        <v>39.64</v>
      </c>
    </row>
    <row r="1041">
      <c r="A1041" s="3">
        <v>43517.66666666667</v>
      </c>
      <c r="B1041" s="2">
        <v>38.94</v>
      </c>
    </row>
    <row r="1042">
      <c r="A1042" s="3">
        <v>43518.66666666667</v>
      </c>
      <c r="B1042" s="2">
        <v>39.8</v>
      </c>
    </row>
    <row r="1043">
      <c r="A1043" s="3">
        <v>43521.66666666667</v>
      </c>
      <c r="B1043" s="2">
        <v>39.67</v>
      </c>
    </row>
    <row r="1044">
      <c r="A1044" s="3">
        <v>43522.66666666667</v>
      </c>
      <c r="B1044" s="2">
        <v>39.28</v>
      </c>
    </row>
    <row r="1045">
      <c r="A1045" s="3">
        <v>43523.66666666667</v>
      </c>
      <c r="B1045" s="2">
        <v>38.85</v>
      </c>
    </row>
    <row r="1046">
      <c r="A1046" s="3">
        <v>43524.66666666667</v>
      </c>
      <c r="B1046" s="2">
        <v>38.57</v>
      </c>
    </row>
    <row r="1047">
      <c r="A1047" s="3">
        <v>43525.66666666667</v>
      </c>
      <c r="B1047" s="2">
        <v>39.11</v>
      </c>
    </row>
    <row r="1048">
      <c r="A1048" s="3">
        <v>43528.66666666667</v>
      </c>
      <c r="B1048" s="2">
        <v>39.2</v>
      </c>
    </row>
    <row r="1049">
      <c r="A1049" s="3">
        <v>43529.66666666667</v>
      </c>
      <c r="B1049" s="2">
        <v>39.13</v>
      </c>
    </row>
    <row r="1050">
      <c r="A1050" s="3">
        <v>43530.66666666667</v>
      </c>
      <c r="B1050" s="2">
        <v>38.01</v>
      </c>
    </row>
    <row r="1051">
      <c r="A1051" s="3">
        <v>43531.66666666667</v>
      </c>
      <c r="B1051" s="2">
        <v>37.32</v>
      </c>
    </row>
    <row r="1052">
      <c r="A1052" s="3">
        <v>43532.66666666667</v>
      </c>
      <c r="B1052" s="2">
        <v>37.66</v>
      </c>
    </row>
    <row r="1053">
      <c r="A1053" s="3">
        <v>43535.66666666667</v>
      </c>
      <c r="B1053" s="2">
        <v>40.28</v>
      </c>
    </row>
    <row r="1054">
      <c r="A1054" s="3">
        <v>43536.66666666667</v>
      </c>
      <c r="B1054" s="2">
        <v>40.63</v>
      </c>
    </row>
    <row r="1055">
      <c r="A1055" s="3">
        <v>43537.66666666667</v>
      </c>
      <c r="B1055" s="2">
        <v>42.16</v>
      </c>
    </row>
    <row r="1056">
      <c r="A1056" s="3">
        <v>43538.66666666667</v>
      </c>
      <c r="B1056" s="2">
        <v>41.39</v>
      </c>
    </row>
    <row r="1057">
      <c r="A1057" s="3">
        <v>43539.66666666667</v>
      </c>
      <c r="B1057" s="2">
        <v>42.45</v>
      </c>
    </row>
    <row r="1058">
      <c r="A1058" s="3">
        <v>43542.66666666667</v>
      </c>
      <c r="B1058" s="2">
        <v>42.24</v>
      </c>
    </row>
    <row r="1059">
      <c r="A1059" s="3">
        <v>43543.66666666667</v>
      </c>
      <c r="B1059" s="2">
        <v>43.93</v>
      </c>
    </row>
    <row r="1060">
      <c r="A1060" s="3">
        <v>43544.66666666667</v>
      </c>
      <c r="B1060" s="2">
        <v>43.6</v>
      </c>
    </row>
    <row r="1061">
      <c r="A1061" s="3">
        <v>43545.66666666667</v>
      </c>
      <c r="B1061" s="2">
        <v>45.99</v>
      </c>
    </row>
    <row r="1062">
      <c r="A1062" s="3">
        <v>43546.66666666667</v>
      </c>
      <c r="B1062" s="2">
        <v>44.38</v>
      </c>
    </row>
    <row r="1063">
      <c r="A1063" s="3">
        <v>43549.66666666667</v>
      </c>
      <c r="B1063" s="2">
        <v>43.45</v>
      </c>
    </row>
    <row r="1064">
      <c r="A1064" s="3">
        <v>43550.66666666667</v>
      </c>
      <c r="B1064" s="2">
        <v>44.22</v>
      </c>
    </row>
    <row r="1065">
      <c r="A1065" s="3">
        <v>43551.66666666667</v>
      </c>
      <c r="B1065" s="2">
        <v>44.13</v>
      </c>
    </row>
    <row r="1066">
      <c r="A1066" s="3">
        <v>43552.66666666667</v>
      </c>
      <c r="B1066" s="2">
        <v>44.31</v>
      </c>
    </row>
    <row r="1067">
      <c r="A1067" s="3">
        <v>43553.66666666667</v>
      </c>
      <c r="B1067" s="2">
        <v>44.89</v>
      </c>
    </row>
    <row r="1068">
      <c r="A1068" s="3">
        <v>43556.66666666667</v>
      </c>
      <c r="B1068" s="2">
        <v>45.57</v>
      </c>
    </row>
    <row r="1069">
      <c r="A1069" s="3">
        <v>43557.66666666667</v>
      </c>
      <c r="B1069" s="2">
        <v>45.75</v>
      </c>
    </row>
    <row r="1070">
      <c r="A1070" s="3">
        <v>43558.66666666667</v>
      </c>
      <c r="B1070" s="2">
        <v>47.16</v>
      </c>
    </row>
    <row r="1071">
      <c r="A1071" s="3">
        <v>43559.66666666667</v>
      </c>
      <c r="B1071" s="2">
        <v>47.07</v>
      </c>
    </row>
    <row r="1072">
      <c r="A1072" s="3">
        <v>43560.66666666667</v>
      </c>
      <c r="B1072" s="2">
        <v>47.74</v>
      </c>
    </row>
    <row r="1073">
      <c r="A1073" s="3">
        <v>43563.66666666667</v>
      </c>
      <c r="B1073" s="2">
        <v>47.95</v>
      </c>
    </row>
    <row r="1074">
      <c r="A1074" s="3">
        <v>43564.66666666667</v>
      </c>
      <c r="B1074" s="2">
        <v>47.32</v>
      </c>
    </row>
    <row r="1075">
      <c r="A1075" s="3">
        <v>43565.66666666667</v>
      </c>
      <c r="B1075" s="2">
        <v>48.03</v>
      </c>
    </row>
    <row r="1076">
      <c r="A1076" s="3">
        <v>43566.66666666667</v>
      </c>
      <c r="B1076" s="2">
        <v>47.89</v>
      </c>
    </row>
    <row r="1077">
      <c r="A1077" s="3">
        <v>43567.66666666667</v>
      </c>
      <c r="B1077" s="2">
        <v>47.5</v>
      </c>
    </row>
    <row r="1078">
      <c r="A1078" s="3">
        <v>43570.66666666667</v>
      </c>
      <c r="B1078" s="2">
        <v>46.18</v>
      </c>
    </row>
    <row r="1079">
      <c r="A1079" s="3">
        <v>43571.66666666667</v>
      </c>
      <c r="B1079" s="2">
        <v>47.05</v>
      </c>
    </row>
    <row r="1080">
      <c r="A1080" s="3">
        <v>43572.66666666667</v>
      </c>
      <c r="B1080" s="2">
        <v>46.82</v>
      </c>
    </row>
    <row r="1081">
      <c r="A1081" s="3">
        <v>43573.66666666667</v>
      </c>
      <c r="B1081" s="2">
        <v>46.58</v>
      </c>
    </row>
    <row r="1082">
      <c r="A1082" s="3">
        <v>43577.66666666667</v>
      </c>
      <c r="B1082" s="2">
        <v>47.12</v>
      </c>
    </row>
    <row r="1083">
      <c r="A1083" s="3">
        <v>43578.66666666667</v>
      </c>
      <c r="B1083" s="2">
        <v>47.67</v>
      </c>
    </row>
    <row r="1084">
      <c r="A1084" s="3">
        <v>43579.66666666667</v>
      </c>
      <c r="B1084" s="2">
        <v>47.79</v>
      </c>
    </row>
    <row r="1085">
      <c r="A1085" s="3">
        <v>43580.66666666667</v>
      </c>
      <c r="B1085" s="2">
        <v>46.73</v>
      </c>
    </row>
    <row r="1086">
      <c r="A1086" s="3">
        <v>43581.66666666667</v>
      </c>
      <c r="B1086" s="2">
        <v>44.52</v>
      </c>
    </row>
    <row r="1087">
      <c r="A1087" s="3">
        <v>43584.66666666667</v>
      </c>
      <c r="B1087" s="2">
        <v>44.83</v>
      </c>
    </row>
    <row r="1088">
      <c r="A1088" s="3">
        <v>43585.66666666667</v>
      </c>
      <c r="B1088" s="2">
        <v>45.25</v>
      </c>
    </row>
    <row r="1089">
      <c r="A1089" s="3">
        <v>43586.66666666667</v>
      </c>
      <c r="B1089" s="2">
        <v>45.12</v>
      </c>
    </row>
    <row r="1090">
      <c r="A1090" s="3">
        <v>43587.66666666667</v>
      </c>
      <c r="B1090" s="2">
        <v>45.8</v>
      </c>
    </row>
    <row r="1091">
      <c r="A1091" s="3">
        <v>43588.66666666667</v>
      </c>
      <c r="B1091" s="2">
        <v>45.75</v>
      </c>
    </row>
    <row r="1092">
      <c r="A1092" s="3">
        <v>43591.66666666667</v>
      </c>
      <c r="B1092" s="2">
        <v>44.96</v>
      </c>
    </row>
    <row r="1093">
      <c r="A1093" s="3">
        <v>43592.66666666667</v>
      </c>
      <c r="B1093" s="2">
        <v>43.28</v>
      </c>
    </row>
    <row r="1094">
      <c r="A1094" s="3">
        <v>43593.66666666667</v>
      </c>
      <c r="B1094" s="2">
        <v>43.48</v>
      </c>
    </row>
    <row r="1095">
      <c r="A1095" s="3">
        <v>43594.66666666667</v>
      </c>
      <c r="B1095" s="2">
        <v>42.55</v>
      </c>
    </row>
    <row r="1096">
      <c r="A1096" s="3">
        <v>43595.66666666667</v>
      </c>
      <c r="B1096" s="2">
        <v>42.21</v>
      </c>
    </row>
    <row r="1097">
      <c r="A1097" s="3">
        <v>43598.66666666667</v>
      </c>
      <c r="B1097" s="2">
        <v>39.61</v>
      </c>
    </row>
    <row r="1098">
      <c r="A1098" s="3">
        <v>43599.66666666667</v>
      </c>
      <c r="B1098" s="2">
        <v>40.51</v>
      </c>
    </row>
    <row r="1099">
      <c r="A1099" s="3">
        <v>43600.66666666667</v>
      </c>
      <c r="B1099" s="2">
        <v>39.9</v>
      </c>
    </row>
    <row r="1100">
      <c r="A1100" s="3">
        <v>43601.66666666667</v>
      </c>
      <c r="B1100" s="2">
        <v>40.05</v>
      </c>
    </row>
    <row r="1101">
      <c r="A1101" s="3">
        <v>43602.66666666667</v>
      </c>
      <c r="B1101" s="2">
        <v>39.13</v>
      </c>
    </row>
    <row r="1102">
      <c r="A1102" s="3">
        <v>43605.66666666667</v>
      </c>
      <c r="B1102" s="2">
        <v>37.94</v>
      </c>
    </row>
    <row r="1103">
      <c r="A1103" s="3">
        <v>43606.66666666667</v>
      </c>
      <c r="B1103" s="2">
        <v>38.77</v>
      </c>
    </row>
    <row r="1104">
      <c r="A1104" s="3">
        <v>43607.66666666667</v>
      </c>
      <c r="B1104" s="2">
        <v>38.05</v>
      </c>
    </row>
    <row r="1105">
      <c r="A1105" s="3">
        <v>43608.66666666667</v>
      </c>
      <c r="B1105" s="2">
        <v>36.83</v>
      </c>
    </row>
    <row r="1106">
      <c r="A1106" s="3">
        <v>43609.66666666667</v>
      </c>
      <c r="B1106" s="2">
        <v>36.29</v>
      </c>
    </row>
    <row r="1107">
      <c r="A1107" s="3">
        <v>43613.66666666667</v>
      </c>
      <c r="B1107" s="2">
        <v>35.83</v>
      </c>
    </row>
    <row r="1108">
      <c r="A1108" s="3">
        <v>43614.66666666667</v>
      </c>
      <c r="B1108" s="2">
        <v>35.09</v>
      </c>
    </row>
    <row r="1109">
      <c r="A1109" s="3">
        <v>43615.66666666667</v>
      </c>
      <c r="B1109" s="2">
        <v>34.78</v>
      </c>
    </row>
    <row r="1110">
      <c r="A1110" s="3">
        <v>43616.66666666667</v>
      </c>
      <c r="B1110" s="2">
        <v>33.87</v>
      </c>
    </row>
    <row r="1111">
      <c r="A1111" s="3">
        <v>43619.66666666667</v>
      </c>
      <c r="B1111" s="2">
        <v>33.45</v>
      </c>
    </row>
    <row r="1112">
      <c r="A1112" s="3">
        <v>43620.66666666667</v>
      </c>
      <c r="B1112" s="2">
        <v>35.75</v>
      </c>
    </row>
    <row r="1113">
      <c r="A1113" s="3">
        <v>43621.66666666667</v>
      </c>
      <c r="B1113" s="2">
        <v>35.32</v>
      </c>
    </row>
    <row r="1114">
      <c r="A1114" s="3">
        <v>43622.66666666667</v>
      </c>
      <c r="B1114" s="2">
        <v>35.95</v>
      </c>
    </row>
    <row r="1115">
      <c r="A1115" s="3">
        <v>43623.66666666667</v>
      </c>
      <c r="B1115" s="2">
        <v>36.38</v>
      </c>
    </row>
    <row r="1116">
      <c r="A1116" s="3">
        <v>43626.66666666667</v>
      </c>
      <c r="B1116" s="2">
        <v>37.11</v>
      </c>
    </row>
    <row r="1117">
      <c r="A1117" s="3">
        <v>43627.66666666667</v>
      </c>
      <c r="B1117" s="2">
        <v>37.69</v>
      </c>
    </row>
    <row r="1118">
      <c r="A1118" s="3">
        <v>43628.66666666667</v>
      </c>
      <c r="B1118" s="2">
        <v>36.55</v>
      </c>
    </row>
    <row r="1119">
      <c r="A1119" s="3">
        <v>43629.66666666667</v>
      </c>
      <c r="B1119" s="2">
        <v>37.07</v>
      </c>
    </row>
    <row r="1120">
      <c r="A1120" s="3">
        <v>43630.66666666667</v>
      </c>
      <c r="B1120" s="2">
        <v>36.16</v>
      </c>
    </row>
    <row r="1121">
      <c r="A1121" s="3">
        <v>43633.66666666667</v>
      </c>
      <c r="B1121" s="2">
        <v>36.26</v>
      </c>
    </row>
    <row r="1122">
      <c r="A1122" s="3">
        <v>43634.66666666667</v>
      </c>
      <c r="B1122" s="2">
        <v>38.22</v>
      </c>
    </row>
    <row r="1123">
      <c r="A1123" s="3">
        <v>43635.66666666667</v>
      </c>
      <c r="B1123" s="2">
        <v>38.28</v>
      </c>
    </row>
    <row r="1124">
      <c r="A1124" s="3">
        <v>43636.66666666667</v>
      </c>
      <c r="B1124" s="2">
        <v>38.53</v>
      </c>
    </row>
    <row r="1125">
      <c r="A1125" s="3">
        <v>43637.66666666667</v>
      </c>
      <c r="B1125" s="2">
        <v>37.94</v>
      </c>
    </row>
    <row r="1126">
      <c r="A1126" s="3">
        <v>43640.66666666667</v>
      </c>
      <c r="B1126" s="2">
        <v>38.17</v>
      </c>
    </row>
    <row r="1127">
      <c r="A1127" s="3">
        <v>43641.66666666667</v>
      </c>
      <c r="B1127" s="2">
        <v>37.87</v>
      </c>
    </row>
    <row r="1128">
      <c r="A1128" s="3">
        <v>43642.66666666667</v>
      </c>
      <c r="B1128" s="2">
        <v>39.82</v>
      </c>
    </row>
    <row r="1129">
      <c r="A1129" s="3">
        <v>43643.66666666667</v>
      </c>
      <c r="B1129" s="2">
        <v>40.81</v>
      </c>
    </row>
    <row r="1130">
      <c r="A1130" s="3">
        <v>43644.66666666667</v>
      </c>
      <c r="B1130" s="2">
        <v>41.06</v>
      </c>
    </row>
    <row r="1131">
      <c r="A1131" s="3">
        <v>43647.66666666667</v>
      </c>
      <c r="B1131" s="2">
        <v>41.54</v>
      </c>
    </row>
    <row r="1132">
      <c r="A1132" s="3">
        <v>43648.66666666667</v>
      </c>
      <c r="B1132" s="2">
        <v>40.56</v>
      </c>
    </row>
    <row r="1133">
      <c r="A1133" s="3">
        <v>43649.54166666667</v>
      </c>
      <c r="B1133" s="2">
        <v>40.69</v>
      </c>
    </row>
    <row r="1134">
      <c r="A1134" s="3">
        <v>43651.66666666667</v>
      </c>
      <c r="B1134" s="2">
        <v>40.06</v>
      </c>
    </row>
    <row r="1135">
      <c r="A1135" s="3">
        <v>43654.66666666667</v>
      </c>
      <c r="B1135" s="2">
        <v>39.3</v>
      </c>
    </row>
    <row r="1136">
      <c r="A1136" s="3">
        <v>43655.66666666667</v>
      </c>
      <c r="B1136" s="2">
        <v>39.33</v>
      </c>
    </row>
    <row r="1137">
      <c r="A1137" s="3">
        <v>43656.66666666667</v>
      </c>
      <c r="B1137" s="2">
        <v>40.02</v>
      </c>
    </row>
    <row r="1138">
      <c r="A1138" s="3">
        <v>43657.66666666667</v>
      </c>
      <c r="B1138" s="2">
        <v>41.57</v>
      </c>
    </row>
    <row r="1139">
      <c r="A1139" s="3">
        <v>43658.66666666667</v>
      </c>
      <c r="B1139" s="2">
        <v>41.9</v>
      </c>
    </row>
    <row r="1140">
      <c r="A1140" s="3">
        <v>43661.66666666667</v>
      </c>
      <c r="B1140" s="2">
        <v>41.82</v>
      </c>
    </row>
    <row r="1141">
      <c r="A1141" s="3">
        <v>43662.66666666667</v>
      </c>
      <c r="B1141" s="2">
        <v>41.77</v>
      </c>
    </row>
    <row r="1142">
      <c r="A1142" s="3">
        <v>43663.66666666667</v>
      </c>
      <c r="B1142" s="2">
        <v>42.43</v>
      </c>
    </row>
    <row r="1143">
      <c r="A1143" s="3">
        <v>43664.66666666667</v>
      </c>
      <c r="B1143" s="2">
        <v>42.55</v>
      </c>
    </row>
    <row r="1144">
      <c r="A1144" s="3">
        <v>43665.66666666667</v>
      </c>
      <c r="B1144" s="2">
        <v>42.11</v>
      </c>
    </row>
    <row r="1145">
      <c r="A1145" s="3">
        <v>43668.66666666667</v>
      </c>
      <c r="B1145" s="2">
        <v>42.83</v>
      </c>
    </row>
    <row r="1146">
      <c r="A1146" s="3">
        <v>43669.66666666667</v>
      </c>
      <c r="B1146" s="2">
        <v>43.92</v>
      </c>
    </row>
    <row r="1147">
      <c r="A1147" s="3">
        <v>43670.66666666667</v>
      </c>
      <c r="B1147" s="2">
        <v>44.67</v>
      </c>
    </row>
    <row r="1148">
      <c r="A1148" s="3">
        <v>43671.66666666667</v>
      </c>
      <c r="B1148" s="2">
        <v>43.35</v>
      </c>
    </row>
    <row r="1149">
      <c r="A1149" s="3">
        <v>43672.66666666667</v>
      </c>
      <c r="B1149" s="2">
        <v>43.77</v>
      </c>
    </row>
    <row r="1150">
      <c r="A1150" s="3">
        <v>43675.66666666667</v>
      </c>
      <c r="B1150" s="2">
        <v>43.71</v>
      </c>
    </row>
    <row r="1151">
      <c r="A1151" s="3">
        <v>43676.66666666667</v>
      </c>
      <c r="B1151" s="2">
        <v>43.86</v>
      </c>
    </row>
    <row r="1152">
      <c r="A1152" s="3">
        <v>43677.66666666667</v>
      </c>
      <c r="B1152" s="2">
        <v>42.18</v>
      </c>
    </row>
    <row r="1153">
      <c r="A1153" s="3">
        <v>43678.66666666667</v>
      </c>
      <c r="B1153" s="2">
        <v>41.23</v>
      </c>
    </row>
    <row r="1154">
      <c r="A1154" s="3">
        <v>43679.66666666667</v>
      </c>
      <c r="B1154" s="2">
        <v>40.3</v>
      </c>
    </row>
    <row r="1155">
      <c r="A1155" s="3">
        <v>43682.66666666667</v>
      </c>
      <c r="B1155" s="2">
        <v>37.7</v>
      </c>
    </row>
    <row r="1156">
      <c r="A1156" s="3">
        <v>43683.66666666667</v>
      </c>
      <c r="B1156" s="2">
        <v>38.09</v>
      </c>
    </row>
    <row r="1157">
      <c r="A1157" s="3">
        <v>43684.66666666667</v>
      </c>
      <c r="B1157" s="2">
        <v>38.47</v>
      </c>
    </row>
    <row r="1158">
      <c r="A1158" s="3">
        <v>43685.66666666667</v>
      </c>
      <c r="B1158" s="2">
        <v>39.57</v>
      </c>
    </row>
    <row r="1159">
      <c r="A1159" s="3">
        <v>43686.66666666667</v>
      </c>
      <c r="B1159" s="2">
        <v>38.55</v>
      </c>
    </row>
    <row r="1160">
      <c r="A1160" s="3">
        <v>43689.66666666667</v>
      </c>
      <c r="B1160" s="2">
        <v>37.86</v>
      </c>
    </row>
    <row r="1161">
      <c r="A1161" s="3">
        <v>43690.66666666667</v>
      </c>
      <c r="B1161" s="2">
        <v>39.01</v>
      </c>
    </row>
    <row r="1162">
      <c r="A1162" s="3">
        <v>43691.66666666667</v>
      </c>
      <c r="B1162" s="2">
        <v>37.52</v>
      </c>
    </row>
    <row r="1163">
      <c r="A1163" s="3">
        <v>43692.66666666667</v>
      </c>
      <c r="B1163" s="2">
        <v>37.19</v>
      </c>
    </row>
    <row r="1164">
      <c r="A1164" s="3">
        <v>43693.66666666667</v>
      </c>
      <c r="B1164" s="2">
        <v>39.89</v>
      </c>
    </row>
    <row r="1165">
      <c r="A1165" s="3">
        <v>43696.66666666667</v>
      </c>
      <c r="B1165" s="2">
        <v>42.7</v>
      </c>
    </row>
    <row r="1166">
      <c r="A1166" s="3">
        <v>43697.66666666667</v>
      </c>
      <c r="B1166" s="2">
        <v>41.97</v>
      </c>
    </row>
    <row r="1167">
      <c r="A1167" s="3">
        <v>43698.66666666667</v>
      </c>
      <c r="B1167" s="2">
        <v>42.81</v>
      </c>
    </row>
    <row r="1168">
      <c r="A1168" s="3">
        <v>43699.66666666667</v>
      </c>
      <c r="B1168" s="2">
        <v>42.87</v>
      </c>
    </row>
    <row r="1169">
      <c r="A1169" s="3">
        <v>43700.66666666667</v>
      </c>
      <c r="B1169" s="2">
        <v>40.61</v>
      </c>
    </row>
    <row r="1170">
      <c r="A1170" s="3">
        <v>43703.66666666667</v>
      </c>
      <c r="B1170" s="2">
        <v>41.36</v>
      </c>
    </row>
    <row r="1171">
      <c r="A1171" s="3">
        <v>43704.66666666667</v>
      </c>
      <c r="B1171" s="2">
        <v>40.45</v>
      </c>
    </row>
    <row r="1172">
      <c r="A1172" s="3">
        <v>43705.66666666667</v>
      </c>
      <c r="B1172" s="2">
        <v>40.31</v>
      </c>
    </row>
    <row r="1173">
      <c r="A1173" s="3">
        <v>43706.66666666667</v>
      </c>
      <c r="B1173" s="2">
        <v>41.75</v>
      </c>
    </row>
    <row r="1174">
      <c r="A1174" s="3">
        <v>43707.66666666667</v>
      </c>
      <c r="B1174" s="2">
        <v>41.88</v>
      </c>
    </row>
    <row r="1175">
      <c r="A1175" s="3">
        <v>43711.66666666667</v>
      </c>
      <c r="B1175" s="2">
        <v>41.04</v>
      </c>
    </row>
    <row r="1176">
      <c r="A1176" s="3">
        <v>43712.66666666667</v>
      </c>
      <c r="B1176" s="2">
        <v>42.19</v>
      </c>
    </row>
    <row r="1177">
      <c r="A1177" s="3">
        <v>43713.66666666667</v>
      </c>
      <c r="B1177" s="2">
        <v>44.94</v>
      </c>
    </row>
    <row r="1178">
      <c r="A1178" s="3">
        <v>43714.66666666667</v>
      </c>
      <c r="B1178" s="2">
        <v>44.66</v>
      </c>
    </row>
    <row r="1179">
      <c r="A1179" s="3">
        <v>43717.66666666667</v>
      </c>
      <c r="B1179" s="2">
        <v>45.13</v>
      </c>
    </row>
    <row r="1180">
      <c r="A1180" s="3">
        <v>43718.66666666667</v>
      </c>
      <c r="B1180" s="2">
        <v>45.8</v>
      </c>
    </row>
    <row r="1181">
      <c r="A1181" s="3">
        <v>43719.66666666667</v>
      </c>
      <c r="B1181" s="2">
        <v>46.08</v>
      </c>
    </row>
    <row r="1182">
      <c r="A1182" s="3">
        <v>43720.66666666667</v>
      </c>
      <c r="B1182" s="2">
        <v>46.07</v>
      </c>
    </row>
    <row r="1183">
      <c r="A1183" s="3">
        <v>43721.66666666667</v>
      </c>
      <c r="B1183" s="2">
        <v>45.49</v>
      </c>
    </row>
    <row r="1184">
      <c r="A1184" s="3">
        <v>43724.66666666667</v>
      </c>
      <c r="B1184" s="2">
        <v>45.05</v>
      </c>
    </row>
    <row r="1185">
      <c r="A1185" s="3">
        <v>43725.66666666667</v>
      </c>
      <c r="B1185" s="2">
        <v>45.27</v>
      </c>
    </row>
    <row r="1186">
      <c r="A1186" s="3">
        <v>43726.66666666667</v>
      </c>
      <c r="B1186" s="2">
        <v>45.0</v>
      </c>
    </row>
    <row r="1187">
      <c r="A1187" s="3">
        <v>43727.66666666667</v>
      </c>
      <c r="B1187" s="2">
        <v>44.24</v>
      </c>
    </row>
    <row r="1188">
      <c r="A1188" s="3">
        <v>43728.66666666667</v>
      </c>
      <c r="B1188" s="2">
        <v>43.17</v>
      </c>
    </row>
    <row r="1189">
      <c r="A1189" s="3">
        <v>43731.66666666667</v>
      </c>
      <c r="B1189" s="2">
        <v>43.71</v>
      </c>
    </row>
    <row r="1190">
      <c r="A1190" s="3">
        <v>43732.66666666667</v>
      </c>
      <c r="B1190" s="2">
        <v>43.13</v>
      </c>
    </row>
    <row r="1191">
      <c r="A1191" s="3">
        <v>43733.66666666667</v>
      </c>
      <c r="B1191" s="2">
        <v>44.56</v>
      </c>
    </row>
    <row r="1192">
      <c r="A1192" s="3">
        <v>43734.66666666667</v>
      </c>
      <c r="B1192" s="2">
        <v>44.34</v>
      </c>
    </row>
    <row r="1193">
      <c r="A1193" s="3">
        <v>43735.66666666667</v>
      </c>
      <c r="B1193" s="2">
        <v>42.94</v>
      </c>
    </row>
    <row r="1194">
      <c r="A1194" s="3">
        <v>43738.66666666667</v>
      </c>
      <c r="B1194" s="2">
        <v>43.52</v>
      </c>
    </row>
    <row r="1195">
      <c r="A1195" s="3">
        <v>43739.66666666667</v>
      </c>
      <c r="B1195" s="2">
        <v>43.5</v>
      </c>
    </row>
    <row r="1196">
      <c r="A1196" s="3">
        <v>43740.66666666667</v>
      </c>
      <c r="B1196" s="2">
        <v>43.26</v>
      </c>
    </row>
    <row r="1197">
      <c r="A1197" s="3">
        <v>43741.66666666667</v>
      </c>
      <c r="B1197" s="2">
        <v>45.33</v>
      </c>
    </row>
    <row r="1198">
      <c r="A1198" s="3">
        <v>43742.66666666667</v>
      </c>
      <c r="B1198" s="2">
        <v>45.49</v>
      </c>
    </row>
    <row r="1199">
      <c r="A1199" s="3">
        <v>43745.66666666667</v>
      </c>
      <c r="B1199" s="2">
        <v>46.08</v>
      </c>
    </row>
    <row r="1200">
      <c r="A1200" s="3">
        <v>43746.66666666667</v>
      </c>
      <c r="B1200" s="2">
        <v>44.31</v>
      </c>
    </row>
    <row r="1201">
      <c r="A1201" s="3">
        <v>43747.66666666667</v>
      </c>
      <c r="B1201" s="2">
        <v>45.18</v>
      </c>
    </row>
    <row r="1202">
      <c r="A1202" s="3">
        <v>43748.66666666667</v>
      </c>
      <c r="B1202" s="2">
        <v>45.76</v>
      </c>
    </row>
    <row r="1203">
      <c r="A1203" s="3">
        <v>43749.66666666667</v>
      </c>
      <c r="B1203" s="2">
        <v>46.5</v>
      </c>
    </row>
    <row r="1204">
      <c r="A1204" s="3">
        <v>43752.66666666667</v>
      </c>
      <c r="B1204" s="2">
        <v>46.63</v>
      </c>
    </row>
    <row r="1205">
      <c r="A1205" s="3">
        <v>43753.66666666667</v>
      </c>
      <c r="B1205" s="2">
        <v>49.09</v>
      </c>
    </row>
    <row r="1206">
      <c r="A1206" s="3">
        <v>43754.66666666667</v>
      </c>
      <c r="B1206" s="2">
        <v>48.55</v>
      </c>
    </row>
    <row r="1207">
      <c r="A1207" s="3">
        <v>43755.66666666667</v>
      </c>
      <c r="B1207" s="2">
        <v>48.57</v>
      </c>
    </row>
    <row r="1208">
      <c r="A1208" s="3">
        <v>43756.66666666667</v>
      </c>
      <c r="B1208" s="2">
        <v>47.62</v>
      </c>
    </row>
    <row r="1209">
      <c r="A1209" s="3">
        <v>43759.66666666667</v>
      </c>
      <c r="B1209" s="2">
        <v>49.0</v>
      </c>
    </row>
    <row r="1210">
      <c r="A1210" s="3">
        <v>43760.66666666667</v>
      </c>
      <c r="B1210" s="2">
        <v>48.9</v>
      </c>
    </row>
    <row r="1211">
      <c r="A1211" s="3">
        <v>43761.66666666667</v>
      </c>
      <c r="B1211" s="2">
        <v>48.77</v>
      </c>
    </row>
    <row r="1212">
      <c r="A1212" s="3">
        <v>43762.66666666667</v>
      </c>
      <c r="B1212" s="2">
        <v>49.22</v>
      </c>
    </row>
    <row r="1213">
      <c r="A1213" s="3">
        <v>43763.66666666667</v>
      </c>
      <c r="B1213" s="2">
        <v>51.14</v>
      </c>
    </row>
    <row r="1214">
      <c r="A1214" s="3">
        <v>43766.66666666667</v>
      </c>
      <c r="B1214" s="2">
        <v>51.7</v>
      </c>
    </row>
    <row r="1215">
      <c r="A1215" s="3">
        <v>43767.66666666667</v>
      </c>
      <c r="B1215" s="2">
        <v>50.73</v>
      </c>
    </row>
    <row r="1216">
      <c r="A1216" s="3">
        <v>43768.66666666667</v>
      </c>
      <c r="B1216" s="2">
        <v>50.75</v>
      </c>
    </row>
    <row r="1217">
      <c r="A1217" s="3">
        <v>43769.66666666667</v>
      </c>
      <c r="B1217" s="2">
        <v>50.26</v>
      </c>
    </row>
    <row r="1218">
      <c r="A1218" s="3">
        <v>43770.66666666667</v>
      </c>
      <c r="B1218" s="2">
        <v>50.65</v>
      </c>
    </row>
    <row r="1219">
      <c r="A1219" s="3">
        <v>43773.66666666667</v>
      </c>
      <c r="B1219" s="2">
        <v>52.63</v>
      </c>
    </row>
    <row r="1220">
      <c r="A1220" s="3">
        <v>43774.66666666667</v>
      </c>
      <c r="B1220" s="2">
        <v>52.4</v>
      </c>
    </row>
    <row r="1221">
      <c r="A1221" s="3">
        <v>43775.66666666667</v>
      </c>
      <c r="B1221" s="2">
        <v>51.91</v>
      </c>
    </row>
    <row r="1222">
      <c r="A1222" s="3">
        <v>43776.66666666667</v>
      </c>
      <c r="B1222" s="2">
        <v>52.09</v>
      </c>
    </row>
    <row r="1223">
      <c r="A1223" s="3">
        <v>43777.66666666667</v>
      </c>
      <c r="B1223" s="2">
        <v>51.95</v>
      </c>
    </row>
    <row r="1224">
      <c r="A1224" s="3">
        <v>43780.66666666667</v>
      </c>
      <c r="B1224" s="2">
        <v>52.05</v>
      </c>
    </row>
    <row r="1225">
      <c r="A1225" s="3">
        <v>43781.66666666667</v>
      </c>
      <c r="B1225" s="2">
        <v>52.4</v>
      </c>
    </row>
    <row r="1226">
      <c r="A1226" s="3">
        <v>43782.66666666667</v>
      </c>
      <c r="B1226" s="2">
        <v>52.14</v>
      </c>
    </row>
    <row r="1227">
      <c r="A1227" s="3">
        <v>43783.66666666667</v>
      </c>
      <c r="B1227" s="2">
        <v>52.45</v>
      </c>
    </row>
    <row r="1228">
      <c r="A1228" s="3">
        <v>43784.66666666667</v>
      </c>
      <c r="B1228" s="2">
        <v>51.05</v>
      </c>
    </row>
    <row r="1229">
      <c r="A1229" s="3">
        <v>43787.66666666667</v>
      </c>
      <c r="B1229" s="2">
        <v>53.07</v>
      </c>
    </row>
    <row r="1230">
      <c r="A1230" s="3">
        <v>43788.66666666667</v>
      </c>
      <c r="B1230" s="2">
        <v>52.0</v>
      </c>
    </row>
    <row r="1231">
      <c r="A1231" s="3">
        <v>43789.66666666667</v>
      </c>
      <c r="B1231" s="2">
        <v>52.8</v>
      </c>
    </row>
    <row r="1232">
      <c r="A1232" s="3">
        <v>43790.66666666667</v>
      </c>
      <c r="B1232" s="2">
        <v>52.55</v>
      </c>
    </row>
    <row r="1233">
      <c r="A1233" s="3">
        <v>43791.66666666667</v>
      </c>
      <c r="B1233" s="2">
        <v>52.72</v>
      </c>
    </row>
    <row r="1234">
      <c r="A1234" s="3">
        <v>43794.66666666667</v>
      </c>
      <c r="B1234" s="2">
        <v>55.3</v>
      </c>
    </row>
    <row r="1235">
      <c r="A1235" s="3">
        <v>43795.66666666667</v>
      </c>
      <c r="B1235" s="2">
        <v>54.25</v>
      </c>
    </row>
    <row r="1236">
      <c r="A1236" s="3">
        <v>43796.66666666667</v>
      </c>
      <c r="B1236" s="2">
        <v>54.56</v>
      </c>
    </row>
    <row r="1237">
      <c r="A1237" s="3">
        <v>43798.54166666667</v>
      </c>
      <c r="B1237" s="2">
        <v>54.19</v>
      </c>
    </row>
    <row r="1238">
      <c r="A1238" s="3">
        <v>43801.66666666667</v>
      </c>
      <c r="B1238" s="2">
        <v>52.31</v>
      </c>
    </row>
    <row r="1239">
      <c r="A1239" s="3">
        <v>43802.66666666667</v>
      </c>
      <c r="B1239" s="2">
        <v>51.92</v>
      </c>
    </row>
    <row r="1240">
      <c r="A1240" s="3">
        <v>43803.66666666667</v>
      </c>
      <c r="B1240" s="2">
        <v>52.36</v>
      </c>
    </row>
    <row r="1241">
      <c r="A1241" s="3">
        <v>43804.66666666667</v>
      </c>
      <c r="B1241" s="2">
        <v>52.19</v>
      </c>
    </row>
    <row r="1242">
      <c r="A1242" s="3">
        <v>43805.66666666667</v>
      </c>
      <c r="B1242" s="2">
        <v>53.04</v>
      </c>
    </row>
    <row r="1243">
      <c r="A1243" s="3">
        <v>43808.66666666667</v>
      </c>
      <c r="B1243" s="2">
        <v>53.04</v>
      </c>
    </row>
    <row r="1244">
      <c r="A1244" s="3">
        <v>43809.66666666667</v>
      </c>
      <c r="B1244" s="2">
        <v>53.5</v>
      </c>
    </row>
    <row r="1245">
      <c r="A1245" s="3">
        <v>43810.66666666667</v>
      </c>
      <c r="B1245" s="2">
        <v>54.34</v>
      </c>
    </row>
    <row r="1246">
      <c r="A1246" s="3">
        <v>43811.66666666667</v>
      </c>
      <c r="B1246" s="2">
        <v>56.02</v>
      </c>
    </row>
    <row r="1247">
      <c r="A1247" s="3">
        <v>43812.66666666667</v>
      </c>
      <c r="B1247" s="2">
        <v>56.0</v>
      </c>
    </row>
    <row r="1248">
      <c r="A1248" s="3">
        <v>43815.66666666667</v>
      </c>
      <c r="B1248" s="2">
        <v>56.29</v>
      </c>
    </row>
    <row r="1249">
      <c r="A1249" s="3">
        <v>43816.66666666667</v>
      </c>
      <c r="B1249" s="2">
        <v>57.07</v>
      </c>
    </row>
    <row r="1250">
      <c r="A1250" s="3">
        <v>43817.66666666667</v>
      </c>
      <c r="B1250" s="2">
        <v>57.38</v>
      </c>
    </row>
    <row r="1251">
      <c r="A1251" s="3">
        <v>43818.66666666667</v>
      </c>
      <c r="B1251" s="2">
        <v>58.87</v>
      </c>
    </row>
    <row r="1252">
      <c r="A1252" s="3">
        <v>43819.66666666667</v>
      </c>
      <c r="B1252" s="2">
        <v>59.84</v>
      </c>
    </row>
    <row r="1253">
      <c r="A1253" s="3">
        <v>43822.66666666667</v>
      </c>
      <c r="B1253" s="2">
        <v>59.71</v>
      </c>
    </row>
    <row r="1254">
      <c r="A1254" s="3">
        <v>43823.54166666667</v>
      </c>
      <c r="B1254" s="2">
        <v>59.66</v>
      </c>
    </row>
    <row r="1255">
      <c r="A1255" s="3">
        <v>43825.66666666667</v>
      </c>
      <c r="B1255" s="2">
        <v>59.8</v>
      </c>
    </row>
    <row r="1256">
      <c r="A1256" s="3">
        <v>43826.66666666667</v>
      </c>
      <c r="B1256" s="2">
        <v>59.22</v>
      </c>
    </row>
    <row r="1257">
      <c r="A1257" s="3">
        <v>43829.66666666667</v>
      </c>
      <c r="B1257" s="2">
        <v>58.08</v>
      </c>
    </row>
    <row r="1258">
      <c r="A1258" s="3">
        <v>43830.66666666667</v>
      </c>
      <c r="B1258" s="2">
        <v>58.83</v>
      </c>
    </row>
    <row r="1259">
      <c r="A1259" s="3">
        <v>43832.66666666667</v>
      </c>
      <c r="B1259" s="2">
        <v>59.98</v>
      </c>
    </row>
    <row r="1260">
      <c r="A1260" s="3">
        <v>43833.66666666667</v>
      </c>
      <c r="B1260" s="2">
        <v>59.02</v>
      </c>
    </row>
    <row r="1261">
      <c r="A1261" s="3">
        <v>43836.66666666667</v>
      </c>
      <c r="B1261" s="2">
        <v>59.27</v>
      </c>
    </row>
    <row r="1262">
      <c r="A1262" s="3">
        <v>43837.66666666667</v>
      </c>
      <c r="B1262" s="2">
        <v>59.98</v>
      </c>
    </row>
    <row r="1263">
      <c r="A1263" s="3">
        <v>43838.66666666667</v>
      </c>
      <c r="B1263" s="2">
        <v>60.1</v>
      </c>
    </row>
    <row r="1264">
      <c r="A1264" s="3">
        <v>43839.66666666667</v>
      </c>
      <c r="B1264" s="2">
        <v>60.76</v>
      </c>
    </row>
    <row r="1265">
      <c r="A1265" s="3">
        <v>43840.66666666667</v>
      </c>
      <c r="B1265" s="2">
        <v>61.08</v>
      </c>
    </row>
    <row r="1266">
      <c r="A1266" s="3">
        <v>43843.66666666667</v>
      </c>
      <c r="B1266" s="2">
        <v>63.0</v>
      </c>
    </row>
    <row r="1267">
      <c r="A1267" s="3">
        <v>43844.66666666667</v>
      </c>
      <c r="B1267" s="2">
        <v>61.82</v>
      </c>
    </row>
    <row r="1268">
      <c r="A1268" s="3">
        <v>43845.66666666667</v>
      </c>
      <c r="B1268" s="2">
        <v>61.39</v>
      </c>
    </row>
    <row r="1269">
      <c r="A1269" s="3">
        <v>43846.66666666667</v>
      </c>
      <c r="B1269" s="2">
        <v>62.23</v>
      </c>
    </row>
    <row r="1270">
      <c r="A1270" s="3">
        <v>43847.66666666667</v>
      </c>
      <c r="B1270" s="2">
        <v>62.32</v>
      </c>
    </row>
    <row r="1271">
      <c r="A1271" s="3">
        <v>43851.66666666667</v>
      </c>
      <c r="B1271" s="2">
        <v>61.99</v>
      </c>
    </row>
    <row r="1272">
      <c r="A1272" s="3">
        <v>43852.66666666667</v>
      </c>
      <c r="B1272" s="2">
        <v>62.51</v>
      </c>
    </row>
    <row r="1273">
      <c r="A1273" s="3">
        <v>43853.66666666667</v>
      </c>
      <c r="B1273" s="2">
        <v>63.22</v>
      </c>
    </row>
    <row r="1274">
      <c r="A1274" s="3">
        <v>43854.66666666667</v>
      </c>
      <c r="B1274" s="2">
        <v>62.62</v>
      </c>
    </row>
    <row r="1275">
      <c r="A1275" s="3">
        <v>43857.66666666667</v>
      </c>
      <c r="B1275" s="2">
        <v>60.05</v>
      </c>
    </row>
    <row r="1276">
      <c r="A1276" s="3">
        <v>43858.66666666667</v>
      </c>
      <c r="B1276" s="2">
        <v>61.99</v>
      </c>
    </row>
    <row r="1277">
      <c r="A1277" s="3">
        <v>43859.66666666667</v>
      </c>
      <c r="B1277" s="2">
        <v>61.39</v>
      </c>
    </row>
    <row r="1278">
      <c r="A1278" s="3">
        <v>43860.66666666667</v>
      </c>
      <c r="B1278" s="2">
        <v>61.45</v>
      </c>
    </row>
    <row r="1279">
      <c r="A1279" s="3">
        <v>43861.66666666667</v>
      </c>
      <c r="B1279" s="2">
        <v>59.11</v>
      </c>
    </row>
    <row r="1280">
      <c r="A1280" s="3">
        <v>43864.66666666667</v>
      </c>
      <c r="B1280" s="2">
        <v>60.08</v>
      </c>
    </row>
    <row r="1281">
      <c r="A1281" s="3">
        <v>43865.66666666667</v>
      </c>
      <c r="B1281" s="2">
        <v>61.78</v>
      </c>
    </row>
    <row r="1282">
      <c r="A1282" s="3">
        <v>43866.66666666667</v>
      </c>
      <c r="B1282" s="2">
        <v>62.69</v>
      </c>
    </row>
    <row r="1283">
      <c r="A1283" s="3">
        <v>43867.66666666667</v>
      </c>
      <c r="B1283" s="2">
        <v>63.56</v>
      </c>
    </row>
    <row r="1284">
      <c r="A1284" s="3">
        <v>43868.66666666667</v>
      </c>
      <c r="B1284" s="2">
        <v>62.9</v>
      </c>
    </row>
    <row r="1285">
      <c r="A1285" s="3">
        <v>43871.66666666667</v>
      </c>
      <c r="B1285" s="2">
        <v>65.74</v>
      </c>
    </row>
    <row r="1286">
      <c r="A1286" s="3">
        <v>43872.66666666667</v>
      </c>
      <c r="B1286" s="2">
        <v>66.97</v>
      </c>
    </row>
    <row r="1287">
      <c r="A1287" s="3">
        <v>43873.66666666667</v>
      </c>
      <c r="B1287" s="2">
        <v>68.14</v>
      </c>
    </row>
    <row r="1288">
      <c r="A1288" s="3">
        <v>43874.66666666667</v>
      </c>
      <c r="B1288" s="2">
        <v>67.69</v>
      </c>
    </row>
    <row r="1289">
      <c r="A1289" s="3">
        <v>43875.66666666667</v>
      </c>
      <c r="B1289" s="2">
        <v>72.45</v>
      </c>
    </row>
    <row r="1290">
      <c r="A1290" s="3">
        <v>43879.66666666667</v>
      </c>
      <c r="B1290" s="2">
        <v>74.14</v>
      </c>
    </row>
    <row r="1291">
      <c r="A1291" s="3">
        <v>43880.66666666667</v>
      </c>
      <c r="B1291" s="2">
        <v>78.68</v>
      </c>
    </row>
    <row r="1292">
      <c r="A1292" s="3">
        <v>43881.66666666667</v>
      </c>
      <c r="B1292" s="2">
        <v>77.18</v>
      </c>
    </row>
    <row r="1293">
      <c r="A1293" s="3">
        <v>43882.66666666667</v>
      </c>
      <c r="B1293" s="2">
        <v>73.52</v>
      </c>
    </row>
    <row r="1294">
      <c r="A1294" s="3">
        <v>43885.66666666667</v>
      </c>
      <c r="B1294" s="2">
        <v>68.32</v>
      </c>
    </row>
    <row r="1295">
      <c r="A1295" s="3">
        <v>43886.66666666667</v>
      </c>
      <c r="B1295" s="2">
        <v>65.51</v>
      </c>
    </row>
    <row r="1296">
      <c r="A1296" s="3">
        <v>43887.66666666667</v>
      </c>
      <c r="B1296" s="2">
        <v>66.91</v>
      </c>
    </row>
    <row r="1297">
      <c r="A1297" s="3">
        <v>43888.66666666667</v>
      </c>
      <c r="B1297" s="2">
        <v>63.15</v>
      </c>
    </row>
    <row r="1298">
      <c r="A1298" s="3">
        <v>43889.66666666667</v>
      </c>
      <c r="B1298" s="2">
        <v>67.52</v>
      </c>
    </row>
    <row r="1299">
      <c r="A1299" s="3">
        <v>43892.66666666667</v>
      </c>
      <c r="B1299" s="2">
        <v>69.11</v>
      </c>
    </row>
    <row r="1300">
      <c r="A1300" s="3">
        <v>43893.66666666667</v>
      </c>
      <c r="B1300" s="2">
        <v>66.47</v>
      </c>
    </row>
    <row r="1301">
      <c r="A1301" s="3">
        <v>43894.66666666667</v>
      </c>
      <c r="B1301" s="2">
        <v>71.13</v>
      </c>
    </row>
    <row r="1302">
      <c r="A1302" s="3">
        <v>43895.66666666667</v>
      </c>
      <c r="B1302" s="2">
        <v>68.32</v>
      </c>
    </row>
    <row r="1303">
      <c r="A1303" s="3">
        <v>43896.66666666667</v>
      </c>
      <c r="B1303" s="2">
        <v>66.51</v>
      </c>
    </row>
    <row r="1304">
      <c r="A1304" s="3">
        <v>43899.66666666667</v>
      </c>
      <c r="B1304" s="2">
        <v>61.36</v>
      </c>
    </row>
    <row r="1305">
      <c r="A1305" s="3">
        <v>43900.66666666667</v>
      </c>
      <c r="B1305" s="2">
        <v>65.27</v>
      </c>
    </row>
    <row r="1306">
      <c r="A1306" s="3">
        <v>43901.66666666667</v>
      </c>
      <c r="B1306" s="2">
        <v>61.62</v>
      </c>
    </row>
    <row r="1307">
      <c r="A1307" s="3">
        <v>43902.66666666667</v>
      </c>
      <c r="B1307" s="2">
        <v>54.08</v>
      </c>
    </row>
    <row r="1308">
      <c r="A1308" s="3">
        <v>43903.66666666667</v>
      </c>
      <c r="B1308" s="2">
        <v>60.21</v>
      </c>
    </row>
    <row r="1309">
      <c r="A1309" s="3">
        <v>43906.66666666667</v>
      </c>
      <c r="B1309" s="2">
        <v>49.1</v>
      </c>
    </row>
    <row r="1310">
      <c r="A1310" s="3">
        <v>43907.66666666667</v>
      </c>
      <c r="B1310" s="2">
        <v>54.32</v>
      </c>
    </row>
    <row r="1311">
      <c r="A1311" s="3">
        <v>43908.66666666667</v>
      </c>
      <c r="B1311" s="2">
        <v>50.71</v>
      </c>
    </row>
    <row r="1312">
      <c r="A1312" s="3">
        <v>43909.66666666667</v>
      </c>
      <c r="B1312" s="2">
        <v>53.24</v>
      </c>
    </row>
    <row r="1313">
      <c r="A1313" s="3">
        <v>43910.66666666667</v>
      </c>
      <c r="B1313" s="2">
        <v>51.44</v>
      </c>
    </row>
    <row r="1314">
      <c r="A1314" s="3">
        <v>43913.66666666667</v>
      </c>
      <c r="B1314" s="2">
        <v>53.17</v>
      </c>
    </row>
    <row r="1315">
      <c r="A1315" s="3">
        <v>43914.66666666667</v>
      </c>
      <c r="B1315" s="2">
        <v>62.3</v>
      </c>
    </row>
    <row r="1316">
      <c r="A1316" s="3">
        <v>43915.66666666667</v>
      </c>
      <c r="B1316" s="2">
        <v>61.41</v>
      </c>
    </row>
    <row r="1317">
      <c r="A1317" s="3">
        <v>43916.66666666667</v>
      </c>
      <c r="B1317" s="2">
        <v>64.31</v>
      </c>
    </row>
    <row r="1318">
      <c r="A1318" s="3">
        <v>43917.66666666667</v>
      </c>
      <c r="B1318" s="2">
        <v>63.18</v>
      </c>
    </row>
    <row r="1319">
      <c r="A1319" s="3">
        <v>43920.66666666667</v>
      </c>
      <c r="B1319" s="2">
        <v>66.4</v>
      </c>
    </row>
    <row r="1320">
      <c r="A1320" s="3">
        <v>43921.66666666667</v>
      </c>
      <c r="B1320" s="2">
        <v>65.9</v>
      </c>
    </row>
    <row r="1321">
      <c r="A1321" s="3">
        <v>43922.66666666667</v>
      </c>
      <c r="B1321" s="2">
        <v>60.77</v>
      </c>
    </row>
    <row r="1322">
      <c r="A1322" s="3">
        <v>43923.66666666667</v>
      </c>
      <c r="B1322" s="2">
        <v>63.87</v>
      </c>
    </row>
    <row r="1323">
      <c r="A1323" s="3">
        <v>43924.66666666667</v>
      </c>
      <c r="B1323" s="2">
        <v>60.98</v>
      </c>
    </row>
    <row r="1324">
      <c r="A1324" s="3">
        <v>43927.66666666667</v>
      </c>
      <c r="B1324" s="2">
        <v>67.1</v>
      </c>
    </row>
    <row r="1325">
      <c r="A1325" s="3">
        <v>43928.66666666667</v>
      </c>
      <c r="B1325" s="2">
        <v>64.76</v>
      </c>
    </row>
    <row r="1326">
      <c r="A1326" s="3">
        <v>43929.66666666667</v>
      </c>
      <c r="B1326" s="2">
        <v>66.74</v>
      </c>
    </row>
    <row r="1327">
      <c r="A1327" s="3">
        <v>43930.66666666667</v>
      </c>
      <c r="B1327" s="2">
        <v>65.74</v>
      </c>
    </row>
    <row r="1328">
      <c r="A1328" s="3">
        <v>43934.66666666667</v>
      </c>
      <c r="B1328" s="2">
        <v>67.46</v>
      </c>
    </row>
    <row r="1329">
      <c r="A1329" s="3">
        <v>43935.66666666667</v>
      </c>
      <c r="B1329" s="2">
        <v>70.99</v>
      </c>
    </row>
    <row r="1330">
      <c r="A1330" s="3">
        <v>43936.66666666667</v>
      </c>
      <c r="B1330" s="2">
        <v>70.21</v>
      </c>
    </row>
    <row r="1331">
      <c r="A1331" s="3">
        <v>43937.66666666667</v>
      </c>
      <c r="B1331" s="2">
        <v>73.68</v>
      </c>
    </row>
    <row r="1332">
      <c r="A1332" s="3">
        <v>43938.66666666667</v>
      </c>
      <c r="B1332" s="2">
        <v>73.08</v>
      </c>
    </row>
    <row r="1333">
      <c r="A1333" s="3">
        <v>43941.66666666667</v>
      </c>
      <c r="B1333" s="2">
        <v>71.76</v>
      </c>
    </row>
    <row r="1334">
      <c r="A1334" s="3">
        <v>43942.66666666667</v>
      </c>
      <c r="B1334" s="2">
        <v>67.38</v>
      </c>
    </row>
    <row r="1335">
      <c r="A1335" s="3">
        <v>43943.66666666667</v>
      </c>
      <c r="B1335" s="2">
        <v>71.54</v>
      </c>
    </row>
    <row r="1336">
      <c r="A1336" s="3">
        <v>43944.66666666667</v>
      </c>
      <c r="B1336" s="2">
        <v>71.0</v>
      </c>
    </row>
    <row r="1337">
      <c r="A1337" s="3">
        <v>43945.66666666667</v>
      </c>
      <c r="B1337" s="2">
        <v>72.4</v>
      </c>
    </row>
    <row r="1338">
      <c r="A1338" s="3">
        <v>43948.66666666667</v>
      </c>
      <c r="B1338" s="2">
        <v>74.27</v>
      </c>
    </row>
    <row r="1339">
      <c r="A1339" s="3">
        <v>43949.66666666667</v>
      </c>
      <c r="B1339" s="2">
        <v>72.84</v>
      </c>
    </row>
    <row r="1340">
      <c r="A1340" s="3">
        <v>43950.66666666667</v>
      </c>
      <c r="B1340" s="2">
        <v>74.61</v>
      </c>
    </row>
    <row r="1341">
      <c r="A1341" s="3">
        <v>43951.66666666667</v>
      </c>
      <c r="B1341" s="2">
        <v>73.07</v>
      </c>
    </row>
    <row r="1342">
      <c r="A1342" s="3">
        <v>43952.66666666667</v>
      </c>
      <c r="B1342" s="2">
        <v>70.69</v>
      </c>
    </row>
    <row r="1343">
      <c r="A1343" s="3">
        <v>43955.66666666667</v>
      </c>
      <c r="B1343" s="2">
        <v>72.82</v>
      </c>
    </row>
    <row r="1344">
      <c r="A1344" s="3">
        <v>43956.66666666667</v>
      </c>
      <c r="B1344" s="2">
        <v>73.44</v>
      </c>
    </row>
    <row r="1345">
      <c r="A1345" s="3">
        <v>43957.66666666667</v>
      </c>
      <c r="B1345" s="2">
        <v>74.45</v>
      </c>
    </row>
    <row r="1346">
      <c r="A1346" s="3">
        <v>43958.66666666667</v>
      </c>
      <c r="B1346" s="2">
        <v>76.22</v>
      </c>
    </row>
    <row r="1347">
      <c r="A1347" s="3">
        <v>43959.66666666667</v>
      </c>
      <c r="B1347" s="2">
        <v>78.13</v>
      </c>
    </row>
    <row r="1348">
      <c r="A1348" s="3">
        <v>43962.66666666667</v>
      </c>
      <c r="B1348" s="2">
        <v>80.66</v>
      </c>
    </row>
    <row r="1349">
      <c r="A1349" s="3">
        <v>43963.66666666667</v>
      </c>
      <c r="B1349" s="2">
        <v>78.03</v>
      </c>
    </row>
    <row r="1350">
      <c r="A1350" s="3">
        <v>43964.66666666667</v>
      </c>
      <c r="B1350" s="2">
        <v>77.8</v>
      </c>
    </row>
    <row r="1351">
      <c r="A1351" s="3">
        <v>43965.66666666667</v>
      </c>
      <c r="B1351" s="2">
        <v>80.31</v>
      </c>
    </row>
    <row r="1352">
      <c r="A1352" s="3">
        <v>43966.66666666667</v>
      </c>
      <c r="B1352" s="2">
        <v>84.91</v>
      </c>
    </row>
    <row r="1353">
      <c r="A1353" s="3">
        <v>43969.66666666667</v>
      </c>
      <c r="B1353" s="2">
        <v>87.5</v>
      </c>
    </row>
    <row r="1354">
      <c r="A1354" s="3">
        <v>43970.66666666667</v>
      </c>
      <c r="B1354" s="2">
        <v>88.06</v>
      </c>
    </row>
    <row r="1355">
      <c r="A1355" s="3">
        <v>43971.66666666667</v>
      </c>
      <c r="B1355" s="2">
        <v>89.7</v>
      </c>
    </row>
    <row r="1356">
      <c r="A1356" s="3">
        <v>43972.66666666667</v>
      </c>
      <c r="B1356" s="2">
        <v>87.75</v>
      </c>
    </row>
    <row r="1357">
      <c r="A1357" s="3">
        <v>43973.66666666667</v>
      </c>
      <c r="B1357" s="2">
        <v>90.26</v>
      </c>
    </row>
    <row r="1358">
      <c r="A1358" s="3">
        <v>43977.66666666667</v>
      </c>
      <c r="B1358" s="2">
        <v>87.18</v>
      </c>
    </row>
    <row r="1359">
      <c r="A1359" s="3">
        <v>43978.66666666667</v>
      </c>
      <c r="B1359" s="2">
        <v>85.25</v>
      </c>
    </row>
    <row r="1360">
      <c r="A1360" s="3">
        <v>43979.66666666667</v>
      </c>
      <c r="B1360" s="2">
        <v>84.87</v>
      </c>
    </row>
    <row r="1361">
      <c r="A1361" s="3">
        <v>43980.66666666667</v>
      </c>
      <c r="B1361" s="2">
        <v>88.76</v>
      </c>
    </row>
    <row r="1362">
      <c r="A1362" s="3">
        <v>43983.66666666667</v>
      </c>
      <c r="B1362" s="2">
        <v>88.06</v>
      </c>
    </row>
    <row r="1363">
      <c r="A1363" s="3">
        <v>43984.66666666667</v>
      </c>
      <c r="B1363" s="2">
        <v>88.25</v>
      </c>
    </row>
    <row r="1364">
      <c r="A1364" s="3">
        <v>43985.66666666667</v>
      </c>
      <c r="B1364" s="2">
        <v>87.7</v>
      </c>
    </row>
    <row r="1365">
      <c r="A1365" s="3">
        <v>43986.66666666667</v>
      </c>
      <c r="B1365" s="2">
        <v>87.67</v>
      </c>
    </row>
    <row r="1366">
      <c r="A1366" s="3">
        <v>43987.66666666667</v>
      </c>
      <c r="B1366" s="2">
        <v>89.2</v>
      </c>
    </row>
    <row r="1367">
      <c r="A1367" s="3">
        <v>43990.66666666667</v>
      </c>
      <c r="B1367" s="2">
        <v>88.05</v>
      </c>
    </row>
    <row r="1368">
      <c r="A1368" s="3">
        <v>43991.66666666667</v>
      </c>
      <c r="B1368" s="2">
        <v>90.46</v>
      </c>
    </row>
    <row r="1369">
      <c r="A1369" s="3">
        <v>43992.66666666667</v>
      </c>
      <c r="B1369" s="2">
        <v>93.67</v>
      </c>
    </row>
    <row r="1370">
      <c r="A1370" s="3">
        <v>43993.66666666667</v>
      </c>
      <c r="B1370" s="2">
        <v>87.96</v>
      </c>
    </row>
    <row r="1371">
      <c r="A1371" s="3">
        <v>43994.66666666667</v>
      </c>
      <c r="B1371" s="2">
        <v>89.33</v>
      </c>
    </row>
    <row r="1372">
      <c r="A1372" s="3">
        <v>43997.66666666667</v>
      </c>
      <c r="B1372" s="2">
        <v>91.74</v>
      </c>
    </row>
    <row r="1373">
      <c r="A1373" s="3">
        <v>43998.66666666667</v>
      </c>
      <c r="B1373" s="2">
        <v>90.69</v>
      </c>
    </row>
    <row r="1374">
      <c r="A1374" s="3">
        <v>43999.66666666667</v>
      </c>
      <c r="B1374" s="2">
        <v>92.36</v>
      </c>
    </row>
    <row r="1375">
      <c r="A1375" s="3">
        <v>44000.66666666667</v>
      </c>
      <c r="B1375" s="2">
        <v>92.18</v>
      </c>
    </row>
    <row r="1376">
      <c r="A1376" s="3">
        <v>44001.66666666667</v>
      </c>
      <c r="B1376" s="2">
        <v>92.61</v>
      </c>
    </row>
    <row r="1377">
      <c r="A1377" s="3">
        <v>44004.66666666667</v>
      </c>
      <c r="B1377" s="2">
        <v>95.27</v>
      </c>
    </row>
    <row r="1378">
      <c r="A1378" s="3">
        <v>44005.66666666667</v>
      </c>
      <c r="B1378" s="2">
        <v>94.5</v>
      </c>
    </row>
    <row r="1379">
      <c r="A1379" s="3">
        <v>44006.66666666667</v>
      </c>
      <c r="B1379" s="2">
        <v>92.36</v>
      </c>
    </row>
    <row r="1380">
      <c r="A1380" s="3">
        <v>44007.66666666667</v>
      </c>
      <c r="B1380" s="2">
        <v>94.9</v>
      </c>
    </row>
    <row r="1381">
      <c r="A1381" s="3">
        <v>44008.66666666667</v>
      </c>
      <c r="B1381" s="2">
        <v>91.55</v>
      </c>
    </row>
    <row r="1382">
      <c r="A1382" s="3">
        <v>44011.66666666667</v>
      </c>
      <c r="B1382" s="2">
        <v>92.0</v>
      </c>
    </row>
    <row r="1383">
      <c r="A1383" s="3">
        <v>44012.66666666667</v>
      </c>
      <c r="B1383" s="2">
        <v>94.98</v>
      </c>
    </row>
    <row r="1384">
      <c r="A1384" s="3">
        <v>44013.66666666667</v>
      </c>
      <c r="B1384" s="2">
        <v>95.3</v>
      </c>
    </row>
    <row r="1385">
      <c r="A1385" s="3">
        <v>44014.66666666667</v>
      </c>
      <c r="B1385" s="2">
        <v>96.12</v>
      </c>
    </row>
    <row r="1386">
      <c r="A1386" s="3">
        <v>44018.66666666667</v>
      </c>
      <c r="B1386" s="2">
        <v>98.39</v>
      </c>
    </row>
    <row r="1387">
      <c r="A1387" s="3">
        <v>44019.66666666667</v>
      </c>
      <c r="B1387" s="2">
        <v>98.72</v>
      </c>
    </row>
    <row r="1388">
      <c r="A1388" s="3">
        <v>44020.66666666667</v>
      </c>
      <c r="B1388" s="2">
        <v>102.16</v>
      </c>
    </row>
    <row r="1389">
      <c r="A1389" s="3">
        <v>44021.66666666667</v>
      </c>
      <c r="B1389" s="2">
        <v>105.09</v>
      </c>
    </row>
    <row r="1390">
      <c r="A1390" s="3">
        <v>44022.66666666667</v>
      </c>
      <c r="B1390" s="2">
        <v>104.79</v>
      </c>
    </row>
    <row r="1391">
      <c r="A1391" s="3">
        <v>44025.66666666667</v>
      </c>
      <c r="B1391" s="2">
        <v>100.52</v>
      </c>
    </row>
    <row r="1392">
      <c r="A1392" s="3">
        <v>44026.66666666667</v>
      </c>
      <c r="B1392" s="2">
        <v>103.77</v>
      </c>
    </row>
    <row r="1393">
      <c r="A1393" s="3">
        <v>44027.66666666667</v>
      </c>
      <c r="B1393" s="2">
        <v>102.27</v>
      </c>
    </row>
    <row r="1394">
      <c r="A1394" s="3">
        <v>44028.66666666667</v>
      </c>
      <c r="B1394" s="2">
        <v>101.35</v>
      </c>
    </row>
    <row r="1395">
      <c r="A1395" s="3">
        <v>44029.66666666667</v>
      </c>
      <c r="B1395" s="2">
        <v>102.02</v>
      </c>
    </row>
    <row r="1396">
      <c r="A1396" s="3">
        <v>44032.66666666667</v>
      </c>
      <c r="B1396" s="2">
        <v>105.11</v>
      </c>
    </row>
    <row r="1397">
      <c r="A1397" s="3">
        <v>44033.66666666667</v>
      </c>
      <c r="B1397" s="2">
        <v>103.29</v>
      </c>
    </row>
    <row r="1398">
      <c r="A1398" s="3">
        <v>44034.66666666667</v>
      </c>
      <c r="B1398" s="2">
        <v>104.39</v>
      </c>
    </row>
    <row r="1399">
      <c r="A1399" s="3">
        <v>44035.66666666667</v>
      </c>
      <c r="B1399" s="2">
        <v>101.3</v>
      </c>
    </row>
    <row r="1400">
      <c r="A1400" s="3">
        <v>44036.66666666667</v>
      </c>
      <c r="B1400" s="2">
        <v>101.95</v>
      </c>
    </row>
    <row r="1401">
      <c r="A1401" s="3">
        <v>44039.66666666667</v>
      </c>
      <c r="B1401" s="2">
        <v>104.22</v>
      </c>
    </row>
    <row r="1402">
      <c r="A1402" s="3">
        <v>44040.66666666667</v>
      </c>
      <c r="B1402" s="2">
        <v>102.16</v>
      </c>
    </row>
    <row r="1403">
      <c r="A1403" s="3">
        <v>44041.66666666667</v>
      </c>
      <c r="B1403" s="2">
        <v>104.66</v>
      </c>
    </row>
    <row r="1404">
      <c r="A1404" s="3">
        <v>44042.66666666667</v>
      </c>
      <c r="B1404" s="2">
        <v>106.14</v>
      </c>
    </row>
    <row r="1405">
      <c r="A1405" s="3">
        <v>44043.66666666667</v>
      </c>
      <c r="B1405" s="2">
        <v>106.15</v>
      </c>
    </row>
    <row r="1406">
      <c r="A1406" s="3">
        <v>44046.66666666667</v>
      </c>
      <c r="B1406" s="2">
        <v>110.1</v>
      </c>
    </row>
    <row r="1407">
      <c r="A1407" s="3">
        <v>44047.66666666667</v>
      </c>
      <c r="B1407" s="2">
        <v>112.28</v>
      </c>
    </row>
    <row r="1408">
      <c r="A1408" s="3">
        <v>44048.66666666667</v>
      </c>
      <c r="B1408" s="2">
        <v>112.87</v>
      </c>
    </row>
    <row r="1409">
      <c r="A1409" s="3">
        <v>44049.66666666667</v>
      </c>
      <c r="B1409" s="2">
        <v>113.36</v>
      </c>
    </row>
    <row r="1410">
      <c r="A1410" s="3">
        <v>44050.66666666667</v>
      </c>
      <c r="B1410" s="2">
        <v>112.0</v>
      </c>
    </row>
    <row r="1411">
      <c r="A1411" s="3">
        <v>44053.66666666667</v>
      </c>
      <c r="B1411" s="2">
        <v>111.65</v>
      </c>
    </row>
    <row r="1412">
      <c r="A1412" s="3">
        <v>44054.66666666667</v>
      </c>
      <c r="B1412" s="2">
        <v>108.5</v>
      </c>
    </row>
    <row r="1413">
      <c r="A1413" s="3">
        <v>44055.66666666667</v>
      </c>
      <c r="B1413" s="2">
        <v>114.4</v>
      </c>
    </row>
    <row r="1414">
      <c r="A1414" s="3">
        <v>44056.66666666667</v>
      </c>
      <c r="B1414" s="2">
        <v>114.43</v>
      </c>
    </row>
    <row r="1415">
      <c r="A1415" s="3">
        <v>44057.66666666667</v>
      </c>
      <c r="B1415" s="2">
        <v>115.64</v>
      </c>
    </row>
    <row r="1416">
      <c r="A1416" s="3">
        <v>44060.66666666667</v>
      </c>
      <c r="B1416" s="2">
        <v>123.37</v>
      </c>
    </row>
    <row r="1417">
      <c r="A1417" s="3">
        <v>44061.66666666667</v>
      </c>
      <c r="B1417" s="2">
        <v>122.61</v>
      </c>
    </row>
    <row r="1418">
      <c r="A1418" s="3">
        <v>44062.66666666667</v>
      </c>
      <c r="B1418" s="2">
        <v>121.39</v>
      </c>
    </row>
    <row r="1419">
      <c r="A1419" s="3">
        <v>44063.66666666667</v>
      </c>
      <c r="B1419" s="2">
        <v>121.41</v>
      </c>
    </row>
    <row r="1420">
      <c r="A1420" s="3">
        <v>44064.66666666667</v>
      </c>
      <c r="B1420" s="2">
        <v>126.84</v>
      </c>
    </row>
    <row r="1421">
      <c r="A1421" s="3">
        <v>44067.66666666667</v>
      </c>
      <c r="B1421" s="2">
        <v>127.2</v>
      </c>
    </row>
    <row r="1422">
      <c r="A1422" s="3">
        <v>44068.66666666667</v>
      </c>
      <c r="B1422" s="2">
        <v>127.5</v>
      </c>
    </row>
    <row r="1423">
      <c r="A1423" s="3">
        <v>44069.66666666667</v>
      </c>
      <c r="B1423" s="2">
        <v>127.73</v>
      </c>
    </row>
    <row r="1424">
      <c r="A1424" s="3">
        <v>44070.66666666667</v>
      </c>
      <c r="B1424" s="2">
        <v>126.28</v>
      </c>
    </row>
    <row r="1425">
      <c r="A1425" s="3">
        <v>44071.66666666667</v>
      </c>
      <c r="B1425" s="2">
        <v>131.48</v>
      </c>
    </row>
    <row r="1426">
      <c r="A1426" s="3">
        <v>44074.66666666667</v>
      </c>
      <c r="B1426" s="2">
        <v>133.75</v>
      </c>
    </row>
    <row r="1427">
      <c r="A1427" s="3">
        <v>44075.66666666667</v>
      </c>
      <c r="B1427" s="2">
        <v>138.21</v>
      </c>
    </row>
    <row r="1428">
      <c r="A1428" s="3">
        <v>44076.66666666667</v>
      </c>
      <c r="B1428" s="2">
        <v>143.47</v>
      </c>
    </row>
    <row r="1429">
      <c r="A1429" s="3">
        <v>44077.66666666667</v>
      </c>
      <c r="B1429" s="2">
        <v>130.16</v>
      </c>
    </row>
    <row r="1430">
      <c r="A1430" s="3">
        <v>44078.66666666667</v>
      </c>
      <c r="B1430" s="2">
        <v>126.23</v>
      </c>
    </row>
    <row r="1431">
      <c r="A1431" s="3">
        <v>44082.66666666667</v>
      </c>
      <c r="B1431" s="2">
        <v>119.13</v>
      </c>
    </row>
    <row r="1432">
      <c r="A1432" s="3">
        <v>44083.66666666667</v>
      </c>
      <c r="B1432" s="2">
        <v>127.15</v>
      </c>
    </row>
    <row r="1433">
      <c r="A1433" s="3">
        <v>44084.66666666667</v>
      </c>
      <c r="B1433" s="2">
        <v>123.12</v>
      </c>
    </row>
    <row r="1434">
      <c r="A1434" s="3">
        <v>44085.66666666667</v>
      </c>
      <c r="B1434" s="2">
        <v>121.65</v>
      </c>
    </row>
    <row r="1435">
      <c r="A1435" s="3">
        <v>44088.66666666667</v>
      </c>
      <c r="B1435" s="2">
        <v>128.72</v>
      </c>
    </row>
    <row r="1436">
      <c r="A1436" s="3">
        <v>44089.66666666667</v>
      </c>
      <c r="B1436" s="2">
        <v>129.91</v>
      </c>
    </row>
    <row r="1437">
      <c r="A1437" s="3">
        <v>44090.66666666667</v>
      </c>
      <c r="B1437" s="2">
        <v>125.15</v>
      </c>
    </row>
    <row r="1438">
      <c r="A1438" s="3">
        <v>44091.66666666667</v>
      </c>
      <c r="B1438" s="2">
        <v>124.64</v>
      </c>
    </row>
    <row r="1439">
      <c r="A1439" s="3">
        <v>44092.66666666667</v>
      </c>
      <c r="B1439" s="2">
        <v>121.89</v>
      </c>
    </row>
    <row r="1440">
      <c r="A1440" s="3">
        <v>44095.66666666667</v>
      </c>
      <c r="B1440" s="2">
        <v>125.17</v>
      </c>
    </row>
    <row r="1441">
      <c r="A1441" s="3">
        <v>44096.66666666667</v>
      </c>
      <c r="B1441" s="2">
        <v>126.38</v>
      </c>
    </row>
    <row r="1442">
      <c r="A1442" s="3">
        <v>44097.66666666667</v>
      </c>
      <c r="B1442" s="2">
        <v>121.24</v>
      </c>
    </row>
    <row r="1443">
      <c r="A1443" s="3">
        <v>44098.66666666667</v>
      </c>
      <c r="B1443" s="2">
        <v>123.48</v>
      </c>
    </row>
    <row r="1444">
      <c r="A1444" s="3">
        <v>44099.66666666667</v>
      </c>
      <c r="B1444" s="2">
        <v>128.74</v>
      </c>
    </row>
    <row r="1445">
      <c r="A1445" s="3">
        <v>44102.66666666667</v>
      </c>
      <c r="B1445" s="2">
        <v>130.35</v>
      </c>
    </row>
    <row r="1446">
      <c r="A1446" s="3">
        <v>44103.66666666667</v>
      </c>
      <c r="B1446" s="2">
        <v>132.26</v>
      </c>
    </row>
    <row r="1447">
      <c r="A1447" s="3">
        <v>44104.66666666667</v>
      </c>
      <c r="B1447" s="2">
        <v>135.31</v>
      </c>
    </row>
    <row r="1448">
      <c r="A1448" s="3">
        <v>44105.66666666667</v>
      </c>
      <c r="B1448" s="2">
        <v>136.15</v>
      </c>
    </row>
    <row r="1449">
      <c r="A1449" s="3">
        <v>44106.66666666667</v>
      </c>
      <c r="B1449" s="2">
        <v>130.62</v>
      </c>
    </row>
    <row r="1450">
      <c r="A1450" s="3">
        <v>44109.66666666667</v>
      </c>
      <c r="B1450" s="2">
        <v>136.43</v>
      </c>
    </row>
    <row r="1451">
      <c r="A1451" s="3">
        <v>44110.66666666667</v>
      </c>
      <c r="B1451" s="2">
        <v>137.37</v>
      </c>
    </row>
    <row r="1452">
      <c r="A1452" s="3">
        <v>44111.66666666667</v>
      </c>
      <c r="B1452" s="2">
        <v>139.64</v>
      </c>
    </row>
    <row r="1453">
      <c r="A1453" s="3">
        <v>44112.66666666667</v>
      </c>
      <c r="B1453" s="2">
        <v>138.39</v>
      </c>
    </row>
    <row r="1454">
      <c r="A1454" s="3">
        <v>44113.66666666667</v>
      </c>
      <c r="B1454" s="2">
        <v>137.63</v>
      </c>
    </row>
    <row r="1455">
      <c r="A1455" s="3">
        <v>44116.66666666667</v>
      </c>
      <c r="B1455" s="2">
        <v>142.26</v>
      </c>
    </row>
    <row r="1456">
      <c r="A1456" s="3">
        <v>44117.66666666667</v>
      </c>
      <c r="B1456" s="2">
        <v>142.48</v>
      </c>
    </row>
    <row r="1457">
      <c r="A1457" s="3">
        <v>44118.66666666667</v>
      </c>
      <c r="B1457" s="2">
        <v>140.95</v>
      </c>
    </row>
    <row r="1458">
      <c r="A1458" s="3">
        <v>44119.66666666667</v>
      </c>
      <c r="B1458" s="2">
        <v>139.7</v>
      </c>
    </row>
    <row r="1459">
      <c r="A1459" s="3">
        <v>44120.66666666667</v>
      </c>
      <c r="B1459" s="2">
        <v>138.12</v>
      </c>
    </row>
    <row r="1460">
      <c r="A1460" s="3">
        <v>44123.66666666667</v>
      </c>
      <c r="B1460" s="2">
        <v>134.98</v>
      </c>
    </row>
    <row r="1461">
      <c r="A1461" s="3">
        <v>44124.66666666667</v>
      </c>
      <c r="B1461" s="2">
        <v>136.46</v>
      </c>
    </row>
    <row r="1462">
      <c r="A1462" s="3">
        <v>44125.66666666667</v>
      </c>
      <c r="B1462" s="2">
        <v>135.25</v>
      </c>
    </row>
    <row r="1463">
      <c r="A1463" s="3">
        <v>44126.66666666667</v>
      </c>
      <c r="B1463" s="2">
        <v>133.61</v>
      </c>
    </row>
    <row r="1464">
      <c r="A1464" s="3">
        <v>44127.66666666667</v>
      </c>
      <c r="B1464" s="2">
        <v>135.9</v>
      </c>
    </row>
    <row r="1465">
      <c r="A1465" s="3">
        <v>44130.66666666667</v>
      </c>
      <c r="B1465" s="2">
        <v>131.41</v>
      </c>
    </row>
    <row r="1466">
      <c r="A1466" s="3">
        <v>44131.66666666667</v>
      </c>
      <c r="B1466" s="2">
        <v>133.97</v>
      </c>
    </row>
    <row r="1467">
      <c r="A1467" s="3">
        <v>44132.66666666667</v>
      </c>
      <c r="B1467" s="2">
        <v>126.27</v>
      </c>
    </row>
    <row r="1468">
      <c r="A1468" s="3">
        <v>44133.66666666667</v>
      </c>
      <c r="B1468" s="2">
        <v>130.24</v>
      </c>
    </row>
    <row r="1469">
      <c r="A1469" s="3">
        <v>44134.66666666667</v>
      </c>
      <c r="B1469" s="2">
        <v>125.34</v>
      </c>
    </row>
    <row r="1470">
      <c r="A1470" s="3">
        <v>44137.66666666667</v>
      </c>
      <c r="B1470" s="2">
        <v>125.81</v>
      </c>
    </row>
    <row r="1471">
      <c r="A1471" s="3">
        <v>44138.66666666667</v>
      </c>
      <c r="B1471" s="2">
        <v>130.2</v>
      </c>
    </row>
    <row r="1472">
      <c r="A1472" s="3">
        <v>44139.66666666667</v>
      </c>
      <c r="B1472" s="2">
        <v>137.94</v>
      </c>
    </row>
    <row r="1473">
      <c r="A1473" s="3">
        <v>44140.66666666667</v>
      </c>
      <c r="B1473" s="2">
        <v>141.6</v>
      </c>
    </row>
    <row r="1474">
      <c r="A1474" s="3">
        <v>44141.66666666667</v>
      </c>
      <c r="B1474" s="2">
        <v>145.62</v>
      </c>
    </row>
    <row r="1475">
      <c r="A1475" s="3">
        <v>44144.66666666667</v>
      </c>
      <c r="B1475" s="2">
        <v>136.31</v>
      </c>
    </row>
    <row r="1476">
      <c r="A1476" s="3">
        <v>44145.66666666667</v>
      </c>
      <c r="B1476" s="2">
        <v>127.7</v>
      </c>
    </row>
    <row r="1477">
      <c r="A1477" s="3">
        <v>44146.66666666667</v>
      </c>
      <c r="B1477" s="2">
        <v>134.18</v>
      </c>
    </row>
    <row r="1478">
      <c r="A1478" s="3">
        <v>44147.66666666667</v>
      </c>
      <c r="B1478" s="2">
        <v>134.57</v>
      </c>
    </row>
    <row r="1479">
      <c r="A1479" s="3">
        <v>44148.66666666667</v>
      </c>
      <c r="B1479" s="2">
        <v>132.97</v>
      </c>
    </row>
    <row r="1480">
      <c r="A1480" s="3">
        <v>44151.66666666667</v>
      </c>
      <c r="B1480" s="2">
        <v>135.15</v>
      </c>
    </row>
    <row r="1481">
      <c r="A1481" s="3">
        <v>44152.66666666667</v>
      </c>
      <c r="B1481" s="2">
        <v>134.22</v>
      </c>
    </row>
    <row r="1482">
      <c r="A1482" s="3">
        <v>44153.66666666667</v>
      </c>
      <c r="B1482" s="2">
        <v>134.29</v>
      </c>
    </row>
    <row r="1483">
      <c r="A1483" s="3">
        <v>44154.66666666667</v>
      </c>
      <c r="B1483" s="2">
        <v>134.4</v>
      </c>
    </row>
    <row r="1484">
      <c r="A1484" s="3">
        <v>44155.66666666667</v>
      </c>
      <c r="B1484" s="2">
        <v>130.88</v>
      </c>
    </row>
    <row r="1485">
      <c r="A1485" s="3">
        <v>44158.66666666667</v>
      </c>
      <c r="B1485" s="2">
        <v>131.4</v>
      </c>
    </row>
    <row r="1486">
      <c r="A1486" s="3">
        <v>44159.66666666667</v>
      </c>
      <c r="B1486" s="2">
        <v>129.58</v>
      </c>
    </row>
    <row r="1487">
      <c r="A1487" s="3">
        <v>44160.66666666667</v>
      </c>
      <c r="B1487" s="2">
        <v>132.35</v>
      </c>
    </row>
    <row r="1488">
      <c r="A1488" s="3">
        <v>44162.54166666667</v>
      </c>
      <c r="B1488" s="2">
        <v>132.61</v>
      </c>
    </row>
    <row r="1489">
      <c r="A1489" s="3">
        <v>44165.66666666667</v>
      </c>
      <c r="B1489" s="2">
        <v>134.01</v>
      </c>
    </row>
    <row r="1490">
      <c r="A1490" s="3">
        <v>44166.66666666667</v>
      </c>
      <c r="B1490" s="2">
        <v>133.9</v>
      </c>
    </row>
    <row r="1491">
      <c r="A1491" s="3">
        <v>44167.66666666667</v>
      </c>
      <c r="B1491" s="2">
        <v>135.45</v>
      </c>
    </row>
    <row r="1492">
      <c r="A1492" s="3">
        <v>44168.66666666667</v>
      </c>
      <c r="B1492" s="2">
        <v>133.96</v>
      </c>
    </row>
    <row r="1493">
      <c r="A1493" s="3">
        <v>44169.66666666667</v>
      </c>
      <c r="B1493" s="2">
        <v>135.58</v>
      </c>
    </row>
    <row r="1494">
      <c r="A1494" s="3">
        <v>44172.66666666667</v>
      </c>
      <c r="B1494" s="2">
        <v>136.07</v>
      </c>
    </row>
    <row r="1495">
      <c r="A1495" s="3">
        <v>44173.66666666667</v>
      </c>
      <c r="B1495" s="2">
        <v>133.5</v>
      </c>
    </row>
    <row r="1496">
      <c r="A1496" s="3">
        <v>44174.66666666667</v>
      </c>
      <c r="B1496" s="2">
        <v>129.31</v>
      </c>
    </row>
    <row r="1497">
      <c r="A1497" s="3">
        <v>44175.66666666667</v>
      </c>
      <c r="B1497" s="2">
        <v>129.72</v>
      </c>
    </row>
    <row r="1498">
      <c r="A1498" s="3">
        <v>44176.66666666667</v>
      </c>
      <c r="B1498" s="2">
        <v>130.13</v>
      </c>
    </row>
    <row r="1499">
      <c r="A1499" s="3">
        <v>44179.66666666667</v>
      </c>
      <c r="B1499" s="2">
        <v>133.09</v>
      </c>
    </row>
    <row r="1500">
      <c r="A1500" s="3">
        <v>44180.66666666667</v>
      </c>
      <c r="B1500" s="2">
        <v>133.6</v>
      </c>
    </row>
    <row r="1501">
      <c r="A1501" s="3">
        <v>44181.66666666667</v>
      </c>
      <c r="B1501" s="2">
        <v>132.43</v>
      </c>
    </row>
    <row r="1502">
      <c r="A1502" s="3">
        <v>44182.66666666667</v>
      </c>
      <c r="B1502" s="2">
        <v>133.41</v>
      </c>
    </row>
    <row r="1503">
      <c r="A1503" s="3">
        <v>44183.66666666667</v>
      </c>
      <c r="B1503" s="2">
        <v>132.72</v>
      </c>
    </row>
    <row r="1504">
      <c r="A1504" s="3">
        <v>44186.66666666667</v>
      </c>
      <c r="B1504" s="2">
        <v>133.32</v>
      </c>
    </row>
    <row r="1505">
      <c r="A1505" s="3">
        <v>44187.66666666667</v>
      </c>
      <c r="B1505" s="2">
        <v>132.78</v>
      </c>
    </row>
    <row r="1506">
      <c r="A1506" s="3">
        <v>44188.66666666667</v>
      </c>
      <c r="B1506" s="2">
        <v>130.09</v>
      </c>
    </row>
    <row r="1507">
      <c r="A1507" s="3">
        <v>44189.54166666667</v>
      </c>
      <c r="B1507" s="2">
        <v>129.94</v>
      </c>
    </row>
    <row r="1508">
      <c r="A1508" s="3">
        <v>44193.66666666667</v>
      </c>
      <c r="B1508" s="2">
        <v>129.0</v>
      </c>
    </row>
    <row r="1509">
      <c r="A1509" s="3">
        <v>44194.66666666667</v>
      </c>
      <c r="B1509" s="2">
        <v>129.43</v>
      </c>
    </row>
    <row r="1510">
      <c r="A1510" s="3">
        <v>44195.66666666667</v>
      </c>
      <c r="B1510" s="2">
        <v>131.46</v>
      </c>
    </row>
    <row r="1511">
      <c r="A1511" s="3">
        <v>44196.66666666667</v>
      </c>
      <c r="B1511" s="2">
        <v>130.55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>
        <v>42327.99861111111</v>
      </c>
      <c r="B1" s="2">
        <v>326.41</v>
      </c>
    </row>
    <row r="2">
      <c r="A2" s="3">
        <v>42328.99861111111</v>
      </c>
      <c r="B2" s="2">
        <v>322.39</v>
      </c>
    </row>
    <row r="3">
      <c r="A3" s="3">
        <v>42329.99861111111</v>
      </c>
      <c r="B3" s="2">
        <v>327.0</v>
      </c>
    </row>
    <row r="4">
      <c r="A4" s="3">
        <v>42330.99861111111</v>
      </c>
      <c r="B4" s="2">
        <v>323.71</v>
      </c>
    </row>
    <row r="5">
      <c r="A5" s="3">
        <v>42331.99861111111</v>
      </c>
      <c r="B5" s="2">
        <v>323.0</v>
      </c>
    </row>
    <row r="6">
      <c r="A6" s="3">
        <v>42332.99861111111</v>
      </c>
      <c r="B6" s="2">
        <v>321.0</v>
      </c>
    </row>
    <row r="7">
      <c r="A7" s="3">
        <v>42333.99861111111</v>
      </c>
      <c r="B7" s="2">
        <v>328.98</v>
      </c>
    </row>
    <row r="8">
      <c r="A8" s="3">
        <v>42334.99861111111</v>
      </c>
      <c r="B8" s="2">
        <v>352.57</v>
      </c>
    </row>
    <row r="9">
      <c r="A9" s="3">
        <v>42335.99861111111</v>
      </c>
      <c r="B9" s="2">
        <v>358.19</v>
      </c>
    </row>
    <row r="10">
      <c r="A10" s="3">
        <v>42336.99861111111</v>
      </c>
      <c r="B10" s="2">
        <v>357.24</v>
      </c>
    </row>
    <row r="11">
      <c r="A11" s="3">
        <v>42337.99861111111</v>
      </c>
      <c r="B11" s="2">
        <v>372.24</v>
      </c>
    </row>
    <row r="12">
      <c r="A12" s="3">
        <v>42338.99861111111</v>
      </c>
      <c r="B12" s="2">
        <v>376.86</v>
      </c>
    </row>
    <row r="13">
      <c r="A13" s="3">
        <v>42339.99861111111</v>
      </c>
      <c r="B13" s="2">
        <v>362.68</v>
      </c>
    </row>
    <row r="14">
      <c r="A14" s="3">
        <v>42340.99861111111</v>
      </c>
      <c r="B14" s="2">
        <v>360.0</v>
      </c>
    </row>
    <row r="15">
      <c r="A15" s="3">
        <v>42341.99861111111</v>
      </c>
      <c r="B15" s="2">
        <v>361.77</v>
      </c>
    </row>
    <row r="16">
      <c r="A16" s="3">
        <v>42342.99861111111</v>
      </c>
      <c r="B16" s="2">
        <v>363.98</v>
      </c>
    </row>
    <row r="17">
      <c r="A17" s="3">
        <v>42343.99861111111</v>
      </c>
      <c r="B17" s="2">
        <v>387.99</v>
      </c>
    </row>
    <row r="18">
      <c r="A18" s="3">
        <v>42344.99861111111</v>
      </c>
      <c r="B18" s="2">
        <v>387.55</v>
      </c>
    </row>
    <row r="19">
      <c r="A19" s="3">
        <v>42345.99861111111</v>
      </c>
      <c r="B19" s="2">
        <v>394.73</v>
      </c>
    </row>
    <row r="20">
      <c r="A20" s="3">
        <v>42346.99861111111</v>
      </c>
      <c r="B20" s="2">
        <v>418.94</v>
      </c>
    </row>
    <row r="21">
      <c r="A21" s="3">
        <v>42347.99861111111</v>
      </c>
      <c r="B21" s="2">
        <v>418.39</v>
      </c>
    </row>
    <row r="22">
      <c r="A22" s="3">
        <v>42348.99861111111</v>
      </c>
      <c r="B22" s="2">
        <v>415.68</v>
      </c>
    </row>
    <row r="23">
      <c r="A23" s="3">
        <v>42349.99861111111</v>
      </c>
      <c r="B23" s="2">
        <v>452.95</v>
      </c>
    </row>
    <row r="24">
      <c r="A24" s="3">
        <v>42350.99861111111</v>
      </c>
      <c r="B24" s="2">
        <v>436.87</v>
      </c>
    </row>
    <row r="25">
      <c r="A25" s="3">
        <v>42351.99861111111</v>
      </c>
      <c r="B25" s="2">
        <v>433.83</v>
      </c>
    </row>
    <row r="26">
      <c r="A26" s="3">
        <v>42352.99861111111</v>
      </c>
      <c r="B26" s="2">
        <v>444.01</v>
      </c>
    </row>
    <row r="27">
      <c r="A27" s="3">
        <v>42353.99861111111</v>
      </c>
      <c r="B27" s="2">
        <v>464.27</v>
      </c>
    </row>
    <row r="28">
      <c r="A28" s="3">
        <v>42354.99861111111</v>
      </c>
      <c r="B28" s="2">
        <v>453.97</v>
      </c>
    </row>
    <row r="29">
      <c r="A29" s="3">
        <v>42355.99861111111</v>
      </c>
      <c r="B29" s="2">
        <v>455.5</v>
      </c>
    </row>
    <row r="30">
      <c r="A30" s="3">
        <v>42356.99861111111</v>
      </c>
      <c r="B30" s="2">
        <v>463.17</v>
      </c>
    </row>
    <row r="31">
      <c r="A31" s="3">
        <v>42357.99861111111</v>
      </c>
      <c r="B31" s="2">
        <v>461.29</v>
      </c>
    </row>
    <row r="32">
      <c r="A32" s="3">
        <v>42358.99861111111</v>
      </c>
      <c r="B32" s="2">
        <v>442.22</v>
      </c>
    </row>
    <row r="33">
      <c r="A33" s="3">
        <v>42359.99861111111</v>
      </c>
      <c r="B33" s="2">
        <v>436.81</v>
      </c>
    </row>
    <row r="34">
      <c r="A34" s="3">
        <v>42360.99861111111</v>
      </c>
      <c r="B34" s="2">
        <v>433.92</v>
      </c>
    </row>
    <row r="35">
      <c r="A35" s="3">
        <v>42361.99861111111</v>
      </c>
      <c r="B35" s="2">
        <v>442.43</v>
      </c>
    </row>
    <row r="36">
      <c r="A36" s="3">
        <v>42362.99861111111</v>
      </c>
      <c r="B36" s="2">
        <v>455.74</v>
      </c>
    </row>
    <row r="37">
      <c r="A37" s="3">
        <v>42363.99861111111</v>
      </c>
      <c r="B37" s="2">
        <v>455.84</v>
      </c>
    </row>
    <row r="38">
      <c r="A38" s="3">
        <v>42364.99861111111</v>
      </c>
      <c r="B38" s="2">
        <v>419.41</v>
      </c>
    </row>
    <row r="39">
      <c r="A39" s="3">
        <v>42365.99861111111</v>
      </c>
      <c r="B39" s="2">
        <v>424.72</v>
      </c>
    </row>
    <row r="40">
      <c r="A40" s="3">
        <v>42366.99861111111</v>
      </c>
      <c r="B40" s="2">
        <v>421.94</v>
      </c>
    </row>
    <row r="41">
      <c r="A41" s="3">
        <v>42367.99861111111</v>
      </c>
      <c r="B41" s="2">
        <v>433.89</v>
      </c>
    </row>
    <row r="42">
      <c r="A42" s="3">
        <v>42368.99861111111</v>
      </c>
      <c r="B42" s="2">
        <v>427.95</v>
      </c>
    </row>
    <row r="43">
      <c r="A43" s="3">
        <v>42369.99861111111</v>
      </c>
      <c r="B43" s="2">
        <v>430.35</v>
      </c>
    </row>
    <row r="44">
      <c r="A44" s="3">
        <v>42370.99861111111</v>
      </c>
      <c r="B44" s="2">
        <v>435.66</v>
      </c>
    </row>
    <row r="45">
      <c r="A45" s="3">
        <v>42371.99861111111</v>
      </c>
      <c r="B45" s="2">
        <v>435.4</v>
      </c>
    </row>
    <row r="46">
      <c r="A46" s="3">
        <v>42372.99861111111</v>
      </c>
      <c r="B46" s="2">
        <v>431.91</v>
      </c>
    </row>
    <row r="47">
      <c r="A47" s="3">
        <v>42373.99861111111</v>
      </c>
      <c r="B47" s="2">
        <v>433.85</v>
      </c>
    </row>
    <row r="48">
      <c r="A48" s="3">
        <v>42374.99861111111</v>
      </c>
      <c r="B48" s="2">
        <v>433.34</v>
      </c>
    </row>
    <row r="49">
      <c r="A49" s="3">
        <v>42375.99861111111</v>
      </c>
      <c r="B49" s="2">
        <v>430.87</v>
      </c>
    </row>
    <row r="50">
      <c r="A50" s="3">
        <v>42376.99861111111</v>
      </c>
      <c r="B50" s="2">
        <v>459.07</v>
      </c>
    </row>
    <row r="51">
      <c r="A51" s="3">
        <v>42377.99861111111</v>
      </c>
      <c r="B51" s="2">
        <v>454.44</v>
      </c>
    </row>
    <row r="52">
      <c r="A52" s="3">
        <v>42378.99861111111</v>
      </c>
      <c r="B52" s="2">
        <v>450.38</v>
      </c>
    </row>
    <row r="53">
      <c r="A53" s="3">
        <v>42379.99861111111</v>
      </c>
      <c r="B53" s="2">
        <v>449.99</v>
      </c>
    </row>
    <row r="54">
      <c r="A54" s="3">
        <v>42380.99861111111</v>
      </c>
      <c r="B54" s="2">
        <v>449.19</v>
      </c>
    </row>
    <row r="55">
      <c r="A55" s="3">
        <v>42381.99861111111</v>
      </c>
      <c r="B55" s="2">
        <v>434.01</v>
      </c>
    </row>
    <row r="56">
      <c r="A56" s="3">
        <v>42382.99861111111</v>
      </c>
      <c r="B56" s="2">
        <v>432.77</v>
      </c>
    </row>
    <row r="57">
      <c r="A57" s="3">
        <v>42383.99861111111</v>
      </c>
      <c r="B57" s="2">
        <v>430.03</v>
      </c>
    </row>
    <row r="58">
      <c r="A58" s="3">
        <v>42384.99861111111</v>
      </c>
      <c r="B58" s="2">
        <v>357.53</v>
      </c>
    </row>
    <row r="59">
      <c r="A59" s="3">
        <v>42385.99861111111</v>
      </c>
      <c r="B59" s="2">
        <v>388.7</v>
      </c>
    </row>
    <row r="60">
      <c r="A60" s="3">
        <v>42386.99861111111</v>
      </c>
      <c r="B60" s="2">
        <v>378.46</v>
      </c>
    </row>
    <row r="61">
      <c r="A61" s="3">
        <v>42387.99861111111</v>
      </c>
      <c r="B61" s="2">
        <v>384.89</v>
      </c>
    </row>
    <row r="62">
      <c r="A62" s="3">
        <v>42388.99861111111</v>
      </c>
      <c r="B62" s="2">
        <v>375.27</v>
      </c>
    </row>
    <row r="63">
      <c r="A63" s="3">
        <v>42389.99861111111</v>
      </c>
      <c r="B63" s="2">
        <v>418.54</v>
      </c>
    </row>
    <row r="64">
      <c r="A64" s="3">
        <v>42390.99861111111</v>
      </c>
      <c r="B64" s="2">
        <v>409.38</v>
      </c>
    </row>
    <row r="65">
      <c r="A65" s="3">
        <v>42391.99861111111</v>
      </c>
      <c r="B65" s="2">
        <v>382.9</v>
      </c>
    </row>
    <row r="66">
      <c r="A66" s="3">
        <v>42392.99861111111</v>
      </c>
      <c r="B66" s="2">
        <v>387.5</v>
      </c>
    </row>
    <row r="67">
      <c r="A67" s="3">
        <v>42393.99861111111</v>
      </c>
      <c r="B67" s="2">
        <v>403.05</v>
      </c>
    </row>
    <row r="68">
      <c r="A68" s="3">
        <v>42394.99861111111</v>
      </c>
      <c r="B68" s="2">
        <v>391.4</v>
      </c>
    </row>
    <row r="69">
      <c r="A69" s="3">
        <v>42395.99861111111</v>
      </c>
      <c r="B69" s="2">
        <v>391.54</v>
      </c>
    </row>
    <row r="70">
      <c r="A70" s="3">
        <v>42396.99861111111</v>
      </c>
      <c r="B70" s="2">
        <v>394.79</v>
      </c>
    </row>
    <row r="71">
      <c r="A71" s="3">
        <v>42397.99861111111</v>
      </c>
      <c r="B71" s="2">
        <v>379.61</v>
      </c>
    </row>
    <row r="72">
      <c r="A72" s="3">
        <v>42398.99861111111</v>
      </c>
      <c r="B72" s="2">
        <v>378.68</v>
      </c>
    </row>
    <row r="73">
      <c r="A73" s="3">
        <v>42399.99861111111</v>
      </c>
      <c r="B73" s="2">
        <v>378.46</v>
      </c>
    </row>
    <row r="74">
      <c r="A74" s="3">
        <v>42400.99861111111</v>
      </c>
      <c r="B74" s="2">
        <v>367.95</v>
      </c>
    </row>
    <row r="75">
      <c r="A75" s="3">
        <v>42401.99861111111</v>
      </c>
      <c r="B75" s="2">
        <v>371.33</v>
      </c>
    </row>
    <row r="76">
      <c r="A76" s="3">
        <v>42402.99861111111</v>
      </c>
      <c r="B76" s="2">
        <v>372.93</v>
      </c>
    </row>
    <row r="77">
      <c r="A77" s="3">
        <v>42403.99861111111</v>
      </c>
      <c r="B77" s="2">
        <v>368.87</v>
      </c>
    </row>
    <row r="78">
      <c r="A78" s="3">
        <v>42404.99861111111</v>
      </c>
      <c r="B78" s="2">
        <v>387.99</v>
      </c>
    </row>
    <row r="79">
      <c r="A79" s="3">
        <v>42405.99861111111</v>
      </c>
      <c r="B79" s="2">
        <v>384.5</v>
      </c>
    </row>
    <row r="80">
      <c r="A80" s="3">
        <v>42406.99861111111</v>
      </c>
      <c r="B80" s="2">
        <v>375.44</v>
      </c>
    </row>
    <row r="81">
      <c r="A81" s="3">
        <v>42407.99861111111</v>
      </c>
      <c r="B81" s="2">
        <v>377.49</v>
      </c>
    </row>
    <row r="82">
      <c r="A82" s="3">
        <v>42408.99861111111</v>
      </c>
      <c r="B82" s="2">
        <v>371.14</v>
      </c>
    </row>
    <row r="83">
      <c r="A83" s="3">
        <v>42409.99861111111</v>
      </c>
      <c r="B83" s="2">
        <v>372.68</v>
      </c>
    </row>
    <row r="84">
      <c r="A84" s="3">
        <v>42410.99861111111</v>
      </c>
      <c r="B84" s="2">
        <v>378.44</v>
      </c>
    </row>
    <row r="85">
      <c r="A85" s="3">
        <v>42411.99861111111</v>
      </c>
      <c r="B85" s="2">
        <v>378.23</v>
      </c>
    </row>
    <row r="86">
      <c r="A86" s="3">
        <v>42412.99861111111</v>
      </c>
      <c r="B86" s="2">
        <v>382.05</v>
      </c>
    </row>
    <row r="87">
      <c r="A87" s="3">
        <v>42413.99861111111</v>
      </c>
      <c r="B87" s="2">
        <v>391.0</v>
      </c>
    </row>
    <row r="88">
      <c r="A88" s="3">
        <v>42414.99861111111</v>
      </c>
      <c r="B88" s="2">
        <v>406.59</v>
      </c>
    </row>
    <row r="89">
      <c r="A89" s="3">
        <v>42415.99861111111</v>
      </c>
      <c r="B89" s="2">
        <v>398.95</v>
      </c>
    </row>
    <row r="90">
      <c r="A90" s="3">
        <v>42416.99861111111</v>
      </c>
      <c r="B90" s="2">
        <v>407.42</v>
      </c>
    </row>
    <row r="91">
      <c r="A91" s="3">
        <v>42417.99861111111</v>
      </c>
      <c r="B91" s="2">
        <v>415.2</v>
      </c>
    </row>
    <row r="92">
      <c r="A92" s="3">
        <v>42418.99861111111</v>
      </c>
      <c r="B92" s="2">
        <v>421.19</v>
      </c>
    </row>
    <row r="93">
      <c r="A93" s="3">
        <v>42419.99861111111</v>
      </c>
      <c r="B93" s="2">
        <v>420.72</v>
      </c>
    </row>
    <row r="94">
      <c r="A94" s="3">
        <v>42420.99861111111</v>
      </c>
      <c r="B94" s="2">
        <v>437.46</v>
      </c>
    </row>
    <row r="95">
      <c r="A95" s="3">
        <v>42421.99861111111</v>
      </c>
      <c r="B95" s="2">
        <v>438.56</v>
      </c>
    </row>
    <row r="96">
      <c r="A96" s="3">
        <v>42422.99861111111</v>
      </c>
      <c r="B96" s="2">
        <v>437.55</v>
      </c>
    </row>
    <row r="97">
      <c r="A97" s="3">
        <v>42423.99861111111</v>
      </c>
      <c r="B97" s="2">
        <v>419.97</v>
      </c>
    </row>
    <row r="98">
      <c r="A98" s="3">
        <v>42424.99861111111</v>
      </c>
      <c r="B98" s="2">
        <v>423.94</v>
      </c>
    </row>
    <row r="99">
      <c r="A99" s="3">
        <v>42425.99861111111</v>
      </c>
      <c r="B99" s="2">
        <v>423.54</v>
      </c>
    </row>
    <row r="100">
      <c r="A100" s="3">
        <v>42426.99861111111</v>
      </c>
      <c r="B100" s="2">
        <v>430.85</v>
      </c>
    </row>
    <row r="101">
      <c r="A101" s="3">
        <v>42427.99861111111</v>
      </c>
      <c r="B101" s="2">
        <v>433.12</v>
      </c>
    </row>
    <row r="102">
      <c r="A102" s="3">
        <v>42428.99861111111</v>
      </c>
      <c r="B102" s="2">
        <v>433.73</v>
      </c>
    </row>
    <row r="103">
      <c r="A103" s="3">
        <v>42429.99861111111</v>
      </c>
      <c r="B103" s="2">
        <v>436.44</v>
      </c>
    </row>
    <row r="104">
      <c r="A104" s="3">
        <v>42430.99861111111</v>
      </c>
      <c r="B104" s="2">
        <v>433.08</v>
      </c>
    </row>
    <row r="105">
      <c r="A105" s="3">
        <v>42431.99861111111</v>
      </c>
      <c r="B105" s="2">
        <v>420.39</v>
      </c>
    </row>
    <row r="106">
      <c r="A106" s="3">
        <v>42432.99861111111</v>
      </c>
      <c r="B106" s="2">
        <v>418.8</v>
      </c>
    </row>
    <row r="107">
      <c r="A107" s="3">
        <v>42433.99861111111</v>
      </c>
      <c r="B107" s="2">
        <v>407.35</v>
      </c>
    </row>
    <row r="108">
      <c r="A108" s="3">
        <v>42434.99861111111</v>
      </c>
      <c r="B108" s="2">
        <v>396.08</v>
      </c>
    </row>
    <row r="109">
      <c r="A109" s="3">
        <v>42435.99861111111</v>
      </c>
      <c r="B109" s="2">
        <v>403.24</v>
      </c>
    </row>
    <row r="110">
      <c r="A110" s="3">
        <v>42436.99861111111</v>
      </c>
      <c r="B110" s="2">
        <v>412.21</v>
      </c>
    </row>
    <row r="111">
      <c r="A111" s="3">
        <v>42437.99861111111</v>
      </c>
      <c r="B111" s="2">
        <v>411.18</v>
      </c>
    </row>
    <row r="112">
      <c r="A112" s="3">
        <v>42438.99861111111</v>
      </c>
      <c r="B112" s="2">
        <v>412.8</v>
      </c>
    </row>
    <row r="113">
      <c r="A113" s="3">
        <v>42439.99861111111</v>
      </c>
      <c r="B113" s="2">
        <v>415.98</v>
      </c>
    </row>
    <row r="114">
      <c r="A114" s="3">
        <v>42440.99861111111</v>
      </c>
      <c r="B114" s="2">
        <v>419.39</v>
      </c>
    </row>
    <row r="115">
      <c r="A115" s="3">
        <v>42441.99861111111</v>
      </c>
      <c r="B115" s="2">
        <v>410.58</v>
      </c>
    </row>
    <row r="116">
      <c r="A116" s="3">
        <v>42442.99861111111</v>
      </c>
      <c r="B116" s="2">
        <v>412.52</v>
      </c>
    </row>
    <row r="117">
      <c r="A117" s="3">
        <v>42443.99861111111</v>
      </c>
      <c r="B117" s="2">
        <v>415.02</v>
      </c>
    </row>
    <row r="118">
      <c r="A118" s="3">
        <v>42444.99861111111</v>
      </c>
      <c r="B118" s="2">
        <v>415.41</v>
      </c>
    </row>
    <row r="119">
      <c r="A119" s="3">
        <v>42445.99861111111</v>
      </c>
      <c r="B119" s="2">
        <v>416.07</v>
      </c>
    </row>
    <row r="120">
      <c r="A120" s="3">
        <v>42446.99861111111</v>
      </c>
      <c r="B120" s="2">
        <v>418.41</v>
      </c>
    </row>
    <row r="121">
      <c r="A121" s="3">
        <v>42447.99861111111</v>
      </c>
      <c r="B121" s="2">
        <v>409.65</v>
      </c>
    </row>
    <row r="122">
      <c r="A122" s="3">
        <v>42448.99861111111</v>
      </c>
      <c r="B122" s="2">
        <v>410.2</v>
      </c>
    </row>
    <row r="123">
      <c r="A123" s="3">
        <v>42449.99861111111</v>
      </c>
      <c r="B123" s="2">
        <v>411.27</v>
      </c>
    </row>
    <row r="124">
      <c r="A124" s="3">
        <v>42450.99861111111</v>
      </c>
      <c r="B124" s="2">
        <v>412.0</v>
      </c>
    </row>
    <row r="125">
      <c r="A125" s="3">
        <v>42451.99861111111</v>
      </c>
      <c r="B125" s="2">
        <v>416.66</v>
      </c>
    </row>
    <row r="126">
      <c r="A126" s="3">
        <v>42452.99861111111</v>
      </c>
      <c r="B126" s="2">
        <v>417.53</v>
      </c>
    </row>
    <row r="127">
      <c r="A127" s="3">
        <v>42453.99861111111</v>
      </c>
      <c r="B127" s="2">
        <v>412.95</v>
      </c>
    </row>
    <row r="128">
      <c r="A128" s="3">
        <v>42454.99861111111</v>
      </c>
      <c r="B128" s="2">
        <v>416.41</v>
      </c>
    </row>
    <row r="129">
      <c r="A129" s="3">
        <v>42455.99861111111</v>
      </c>
      <c r="B129" s="2">
        <v>416.97</v>
      </c>
    </row>
    <row r="130">
      <c r="A130" s="3">
        <v>42456.99861111111</v>
      </c>
      <c r="B130" s="2">
        <v>425.3</v>
      </c>
    </row>
    <row r="131">
      <c r="A131" s="3">
        <v>42457.99861111111</v>
      </c>
      <c r="B131" s="2">
        <v>423.0</v>
      </c>
    </row>
    <row r="132">
      <c r="A132" s="3">
        <v>42458.99861111111</v>
      </c>
      <c r="B132" s="2">
        <v>416.39</v>
      </c>
    </row>
    <row r="133">
      <c r="A133" s="3">
        <v>42459.99861111111</v>
      </c>
      <c r="B133" s="2">
        <v>412.79</v>
      </c>
    </row>
    <row r="134">
      <c r="A134" s="3">
        <v>42460.99861111111</v>
      </c>
      <c r="B134" s="2">
        <v>416.03</v>
      </c>
    </row>
    <row r="135">
      <c r="A135" s="3">
        <v>42461.99861111111</v>
      </c>
      <c r="B135" s="2">
        <v>417.68</v>
      </c>
    </row>
    <row r="136">
      <c r="A136" s="3">
        <v>42462.99861111111</v>
      </c>
      <c r="B136" s="2">
        <v>419.95</v>
      </c>
    </row>
    <row r="137">
      <c r="A137" s="3">
        <v>42463.99861111111</v>
      </c>
      <c r="B137" s="2">
        <v>420.16</v>
      </c>
    </row>
    <row r="138">
      <c r="A138" s="3">
        <v>42464.99861111111</v>
      </c>
      <c r="B138" s="2">
        <v>419.47</v>
      </c>
    </row>
    <row r="139">
      <c r="A139" s="3">
        <v>42465.99861111111</v>
      </c>
      <c r="B139" s="2">
        <v>422.36</v>
      </c>
    </row>
    <row r="140">
      <c r="A140" s="3">
        <v>42466.99861111111</v>
      </c>
      <c r="B140" s="2">
        <v>421.46</v>
      </c>
    </row>
    <row r="141">
      <c r="A141" s="3">
        <v>42467.99861111111</v>
      </c>
      <c r="B141" s="2">
        <v>421.99</v>
      </c>
    </row>
    <row r="142">
      <c r="A142" s="3">
        <v>42468.99861111111</v>
      </c>
      <c r="B142" s="2">
        <v>419.48</v>
      </c>
    </row>
    <row r="143">
      <c r="A143" s="3">
        <v>42469.99861111111</v>
      </c>
      <c r="B143" s="2">
        <v>419.46</v>
      </c>
    </row>
    <row r="144">
      <c r="A144" s="3">
        <v>42470.99861111111</v>
      </c>
      <c r="B144" s="2">
        <v>423.4</v>
      </c>
    </row>
    <row r="145">
      <c r="A145" s="3">
        <v>42471.99861111111</v>
      </c>
      <c r="B145" s="2">
        <v>423.94</v>
      </c>
    </row>
    <row r="146">
      <c r="A146" s="3">
        <v>42472.99861111111</v>
      </c>
      <c r="B146" s="2">
        <v>427.8</v>
      </c>
    </row>
    <row r="147">
      <c r="A147" s="3">
        <v>42473.99861111111</v>
      </c>
      <c r="B147" s="2">
        <v>425.58</v>
      </c>
    </row>
    <row r="148">
      <c r="A148" s="3">
        <v>42474.99861111111</v>
      </c>
      <c r="B148" s="2">
        <v>426.32</v>
      </c>
    </row>
    <row r="149">
      <c r="A149" s="3">
        <v>42475.99861111111</v>
      </c>
      <c r="B149" s="2">
        <v>430.93</v>
      </c>
    </row>
    <row r="150">
      <c r="A150" s="3">
        <v>42476.99861111111</v>
      </c>
      <c r="B150" s="2">
        <v>433.39</v>
      </c>
    </row>
    <row r="151">
      <c r="A151" s="3">
        <v>42477.99861111111</v>
      </c>
      <c r="B151" s="2">
        <v>431.0</v>
      </c>
    </row>
    <row r="152">
      <c r="A152" s="3">
        <v>42478.99861111111</v>
      </c>
      <c r="B152" s="2">
        <v>430.97</v>
      </c>
    </row>
    <row r="153">
      <c r="A153" s="3">
        <v>42479.99861111111</v>
      </c>
      <c r="B153" s="2">
        <v>437.06</v>
      </c>
    </row>
    <row r="154">
      <c r="A154" s="3">
        <v>42480.99861111111</v>
      </c>
      <c r="B154" s="2">
        <v>442.96</v>
      </c>
    </row>
    <row r="155">
      <c r="A155" s="3">
        <v>42481.99861111111</v>
      </c>
      <c r="B155" s="2">
        <v>452.25</v>
      </c>
    </row>
    <row r="156">
      <c r="A156" s="3">
        <v>42482.99861111111</v>
      </c>
      <c r="B156" s="2">
        <v>448.41</v>
      </c>
    </row>
    <row r="157">
      <c r="A157" s="3">
        <v>42483.99861111111</v>
      </c>
      <c r="B157" s="2">
        <v>455.69</v>
      </c>
    </row>
    <row r="158">
      <c r="A158" s="3">
        <v>42484.99861111111</v>
      </c>
      <c r="B158" s="2">
        <v>464.46</v>
      </c>
    </row>
    <row r="159">
      <c r="A159" s="3">
        <v>42485.99861111111</v>
      </c>
      <c r="B159" s="2">
        <v>466.17</v>
      </c>
    </row>
    <row r="160">
      <c r="A160" s="3">
        <v>42486.99861111111</v>
      </c>
      <c r="B160" s="2">
        <v>470.59</v>
      </c>
    </row>
    <row r="161">
      <c r="A161" s="3">
        <v>42487.99861111111</v>
      </c>
      <c r="B161" s="2">
        <v>445.31</v>
      </c>
    </row>
    <row r="162">
      <c r="A162" s="3">
        <v>42488.99861111111</v>
      </c>
      <c r="B162" s="2">
        <v>451.68</v>
      </c>
    </row>
    <row r="163">
      <c r="A163" s="3">
        <v>42489.99861111111</v>
      </c>
      <c r="B163" s="2">
        <v>458.82</v>
      </c>
    </row>
    <row r="164">
      <c r="A164" s="3">
        <v>42490.99861111111</v>
      </c>
      <c r="B164" s="2">
        <v>454.02</v>
      </c>
    </row>
    <row r="165">
      <c r="A165" s="3">
        <v>42491.99861111111</v>
      </c>
      <c r="B165" s="2">
        <v>456.98</v>
      </c>
    </row>
    <row r="166">
      <c r="A166" s="3">
        <v>42492.99861111111</v>
      </c>
      <c r="B166" s="2">
        <v>446.42</v>
      </c>
    </row>
    <row r="167">
      <c r="A167" s="3">
        <v>42493.99861111111</v>
      </c>
      <c r="B167" s="2">
        <v>452.21</v>
      </c>
    </row>
    <row r="168">
      <c r="A168" s="3">
        <v>42494.99861111111</v>
      </c>
      <c r="B168" s="2">
        <v>448.68</v>
      </c>
    </row>
    <row r="169">
      <c r="A169" s="3">
        <v>42495.99861111111</v>
      </c>
      <c r="B169" s="2">
        <v>449.98</v>
      </c>
    </row>
    <row r="170">
      <c r="A170" s="3">
        <v>42496.99861111111</v>
      </c>
      <c r="B170" s="2">
        <v>462.31</v>
      </c>
    </row>
    <row r="171">
      <c r="A171" s="3">
        <v>42497.99861111111</v>
      </c>
      <c r="B171" s="2">
        <v>461.91</v>
      </c>
    </row>
    <row r="172">
      <c r="A172" s="3">
        <v>42498.99861111111</v>
      </c>
      <c r="B172" s="2">
        <v>462.79</v>
      </c>
    </row>
    <row r="173">
      <c r="A173" s="3">
        <v>42499.99861111111</v>
      </c>
      <c r="B173" s="2">
        <v>464.16</v>
      </c>
    </row>
    <row r="174">
      <c r="A174" s="3">
        <v>42500.99861111111</v>
      </c>
      <c r="B174" s="2">
        <v>452.78</v>
      </c>
    </row>
    <row r="175">
      <c r="A175" s="3">
        <v>42501.99861111111</v>
      </c>
      <c r="B175" s="2">
        <v>454.37</v>
      </c>
    </row>
    <row r="176">
      <c r="A176" s="3">
        <v>42502.99861111111</v>
      </c>
      <c r="B176" s="2">
        <v>456.48</v>
      </c>
    </row>
    <row r="177">
      <c r="A177" s="3">
        <v>42503.99861111111</v>
      </c>
      <c r="B177" s="2">
        <v>457.98</v>
      </c>
    </row>
    <row r="178">
      <c r="A178" s="3">
        <v>42504.99861111111</v>
      </c>
      <c r="B178" s="2">
        <v>458.9</v>
      </c>
    </row>
    <row r="179">
      <c r="A179" s="3">
        <v>42505.99861111111</v>
      </c>
      <c r="B179" s="2">
        <v>461.47</v>
      </c>
    </row>
    <row r="180">
      <c r="A180" s="3">
        <v>42506.99861111111</v>
      </c>
      <c r="B180" s="2">
        <v>455.66</v>
      </c>
    </row>
    <row r="181">
      <c r="A181" s="3">
        <v>42507.99861111111</v>
      </c>
      <c r="B181" s="2">
        <v>454.19</v>
      </c>
    </row>
    <row r="182">
      <c r="A182" s="3">
        <v>42508.99861111111</v>
      </c>
      <c r="B182" s="2">
        <v>455.56</v>
      </c>
    </row>
    <row r="183">
      <c r="A183" s="3">
        <v>42509.99861111111</v>
      </c>
      <c r="B183" s="2">
        <v>438.38</v>
      </c>
    </row>
    <row r="184">
      <c r="A184" s="3">
        <v>42510.99861111111</v>
      </c>
      <c r="B184" s="2">
        <v>445.65</v>
      </c>
    </row>
    <row r="185">
      <c r="A185" s="3">
        <v>42511.99861111111</v>
      </c>
      <c r="B185" s="2">
        <v>446.28</v>
      </c>
    </row>
    <row r="186">
      <c r="A186" s="3">
        <v>42512.99861111111</v>
      </c>
      <c r="B186" s="2">
        <v>442.48</v>
      </c>
    </row>
    <row r="187">
      <c r="A187" s="3">
        <v>42513.99861111111</v>
      </c>
      <c r="B187" s="2">
        <v>445.67</v>
      </c>
    </row>
    <row r="188">
      <c r="A188" s="3">
        <v>42514.99861111111</v>
      </c>
      <c r="B188" s="2">
        <v>446.99</v>
      </c>
    </row>
    <row r="189">
      <c r="A189" s="3">
        <v>42515.99861111111</v>
      </c>
      <c r="B189" s="2">
        <v>451.49</v>
      </c>
    </row>
    <row r="190">
      <c r="A190" s="3">
        <v>42516.99861111111</v>
      </c>
      <c r="B190" s="2">
        <v>454.97</v>
      </c>
    </row>
    <row r="191">
      <c r="A191" s="3">
        <v>42517.99861111111</v>
      </c>
      <c r="B191" s="2">
        <v>471.27</v>
      </c>
    </row>
    <row r="192">
      <c r="A192" s="3">
        <v>42518.99861111111</v>
      </c>
      <c r="B192" s="2">
        <v>523.25</v>
      </c>
    </row>
    <row r="193">
      <c r="A193" s="3">
        <v>42519.99861111111</v>
      </c>
      <c r="B193" s="2">
        <v>525.22</v>
      </c>
    </row>
    <row r="194">
      <c r="A194" s="3">
        <v>42520.99861111111</v>
      </c>
      <c r="B194" s="2">
        <v>532.55</v>
      </c>
    </row>
    <row r="195">
      <c r="A195" s="3">
        <v>42521.99861111111</v>
      </c>
      <c r="B195" s="2">
        <v>531.34</v>
      </c>
    </row>
    <row r="196">
      <c r="A196" s="3">
        <v>42522.99861111111</v>
      </c>
      <c r="B196" s="2">
        <v>534.84</v>
      </c>
    </row>
    <row r="197">
      <c r="A197" s="3">
        <v>42523.99861111111</v>
      </c>
      <c r="B197" s="2">
        <v>537.87</v>
      </c>
    </row>
    <row r="198">
      <c r="A198" s="3">
        <v>42524.99861111111</v>
      </c>
      <c r="B198" s="2">
        <v>571.25</v>
      </c>
    </row>
    <row r="199">
      <c r="A199" s="3">
        <v>42525.99861111111</v>
      </c>
      <c r="B199" s="2">
        <v>576.31</v>
      </c>
    </row>
    <row r="200">
      <c r="A200" s="3">
        <v>42526.99861111111</v>
      </c>
      <c r="B200" s="2">
        <v>575.17</v>
      </c>
    </row>
    <row r="201">
      <c r="A201" s="3">
        <v>42527.99861111111</v>
      </c>
      <c r="B201" s="2">
        <v>586.77</v>
      </c>
    </row>
    <row r="202">
      <c r="A202" s="3">
        <v>42528.99861111111</v>
      </c>
      <c r="B202" s="2">
        <v>579.71</v>
      </c>
    </row>
    <row r="203">
      <c r="A203" s="3">
        <v>42529.99861111111</v>
      </c>
      <c r="B203" s="2">
        <v>583.21</v>
      </c>
    </row>
    <row r="204">
      <c r="A204" s="3">
        <v>42530.99861111111</v>
      </c>
      <c r="B204" s="2">
        <v>577.46</v>
      </c>
    </row>
    <row r="205">
      <c r="A205" s="3">
        <v>42531.99861111111</v>
      </c>
      <c r="B205" s="2">
        <v>580.31</v>
      </c>
    </row>
    <row r="206">
      <c r="A206" s="3">
        <v>42532.99861111111</v>
      </c>
      <c r="B206" s="2">
        <v>609.5</v>
      </c>
    </row>
    <row r="207">
      <c r="A207" s="3">
        <v>42533.99861111111</v>
      </c>
      <c r="B207" s="2">
        <v>677.86</v>
      </c>
    </row>
    <row r="208">
      <c r="A208" s="3">
        <v>42534.99861111111</v>
      </c>
      <c r="B208" s="2">
        <v>706.01</v>
      </c>
    </row>
    <row r="209">
      <c r="A209" s="3">
        <v>42535.99861111111</v>
      </c>
      <c r="B209" s="2">
        <v>684.95</v>
      </c>
    </row>
    <row r="210">
      <c r="A210" s="3">
        <v>42536.99861111111</v>
      </c>
      <c r="B210" s="2">
        <v>698.78</v>
      </c>
    </row>
    <row r="211">
      <c r="A211" s="3">
        <v>42537.99861111111</v>
      </c>
      <c r="B211" s="2">
        <v>769.76</v>
      </c>
    </row>
    <row r="212">
      <c r="A212" s="3">
        <v>42538.99861111111</v>
      </c>
      <c r="B212" s="2">
        <v>752.26</v>
      </c>
    </row>
    <row r="213">
      <c r="A213" s="3">
        <v>42539.99861111111</v>
      </c>
      <c r="B213" s="2">
        <v>758.99</v>
      </c>
    </row>
    <row r="214">
      <c r="A214" s="3">
        <v>42540.99861111111</v>
      </c>
      <c r="B214" s="2">
        <v>768.76</v>
      </c>
    </row>
    <row r="215">
      <c r="A215" s="3">
        <v>42541.99861111111</v>
      </c>
      <c r="B215" s="2">
        <v>703.12</v>
      </c>
    </row>
    <row r="216">
      <c r="A216" s="3">
        <v>42542.99861111111</v>
      </c>
      <c r="B216" s="2">
        <v>667.66</v>
      </c>
    </row>
    <row r="217">
      <c r="A217" s="3">
        <v>42543.99861111111</v>
      </c>
      <c r="B217" s="2">
        <v>604.5</v>
      </c>
    </row>
    <row r="218">
      <c r="A218" s="3">
        <v>42544.99861111111</v>
      </c>
      <c r="B218" s="2">
        <v>631.1</v>
      </c>
    </row>
    <row r="219">
      <c r="A219" s="3">
        <v>42545.99861111111</v>
      </c>
      <c r="B219" s="2">
        <v>669.98</v>
      </c>
    </row>
    <row r="220">
      <c r="A220" s="3">
        <v>42546.99861111111</v>
      </c>
      <c r="B220" s="2">
        <v>673.71</v>
      </c>
    </row>
    <row r="221">
      <c r="A221" s="3">
        <v>42547.99861111111</v>
      </c>
      <c r="B221" s="2">
        <v>638.56</v>
      </c>
    </row>
    <row r="222">
      <c r="A222" s="3">
        <v>42548.99861111111</v>
      </c>
      <c r="B222" s="2">
        <v>657.87</v>
      </c>
    </row>
    <row r="223">
      <c r="A223" s="3">
        <v>42549.99861111111</v>
      </c>
      <c r="B223" s="2">
        <v>648.43</v>
      </c>
    </row>
    <row r="224">
      <c r="A224" s="3">
        <v>42550.99861111111</v>
      </c>
      <c r="B224" s="2">
        <v>639.42</v>
      </c>
    </row>
    <row r="225">
      <c r="A225" s="3">
        <v>42551.99861111111</v>
      </c>
      <c r="B225" s="2">
        <v>673.49</v>
      </c>
    </row>
    <row r="226">
      <c r="A226" s="3">
        <v>42552.99861111111</v>
      </c>
      <c r="B226" s="2">
        <v>678.19</v>
      </c>
    </row>
    <row r="227">
      <c r="A227" s="3">
        <v>42553.99861111111</v>
      </c>
      <c r="B227" s="2">
        <v>704.95</v>
      </c>
    </row>
    <row r="228">
      <c r="A228" s="3">
        <v>42554.99861111111</v>
      </c>
      <c r="B228" s="2">
        <v>663.55</v>
      </c>
    </row>
    <row r="229">
      <c r="A229" s="3">
        <v>42555.99861111111</v>
      </c>
      <c r="B229" s="2">
        <v>681.98</v>
      </c>
    </row>
    <row r="230">
      <c r="A230" s="3">
        <v>42556.99861111111</v>
      </c>
      <c r="B230" s="2">
        <v>669.87</v>
      </c>
    </row>
    <row r="231">
      <c r="A231" s="3">
        <v>42557.99861111111</v>
      </c>
      <c r="B231" s="2">
        <v>678.79</v>
      </c>
    </row>
    <row r="232">
      <c r="A232" s="3">
        <v>42558.99861111111</v>
      </c>
      <c r="B232" s="2">
        <v>641.97</v>
      </c>
    </row>
    <row r="233">
      <c r="A233" s="3">
        <v>42559.99861111111</v>
      </c>
      <c r="B233" s="2">
        <v>667.33</v>
      </c>
    </row>
    <row r="234">
      <c r="A234" s="3">
        <v>42560.99861111111</v>
      </c>
      <c r="B234" s="2">
        <v>657.61</v>
      </c>
    </row>
    <row r="235">
      <c r="A235" s="3">
        <v>42561.99861111111</v>
      </c>
      <c r="B235" s="2">
        <v>652.44</v>
      </c>
    </row>
    <row r="236">
      <c r="A236" s="3">
        <v>42562.99861111111</v>
      </c>
      <c r="B236" s="2">
        <v>650.97</v>
      </c>
    </row>
    <row r="237">
      <c r="A237" s="3">
        <v>42563.99861111111</v>
      </c>
      <c r="B237" s="2">
        <v>666.56</v>
      </c>
    </row>
    <row r="238">
      <c r="A238" s="3">
        <v>42564.99861111111</v>
      </c>
      <c r="B238" s="2">
        <v>655.34</v>
      </c>
    </row>
    <row r="239">
      <c r="A239" s="3">
        <v>42565.99861111111</v>
      </c>
      <c r="B239" s="2">
        <v>661.65</v>
      </c>
    </row>
    <row r="240">
      <c r="A240" s="3">
        <v>42566.99861111111</v>
      </c>
      <c r="B240" s="2">
        <v>667.48</v>
      </c>
    </row>
    <row r="241">
      <c r="A241" s="3">
        <v>42567.99861111111</v>
      </c>
      <c r="B241" s="2">
        <v>666.32</v>
      </c>
    </row>
    <row r="242">
      <c r="A242" s="3">
        <v>42568.99861111111</v>
      </c>
      <c r="B242" s="2">
        <v>680.0</v>
      </c>
    </row>
    <row r="243">
      <c r="A243" s="3">
        <v>42569.99861111111</v>
      </c>
      <c r="B243" s="2">
        <v>675.5</v>
      </c>
    </row>
    <row r="244">
      <c r="A244" s="3">
        <v>42570.99861111111</v>
      </c>
      <c r="B244" s="2">
        <v>673.98</v>
      </c>
    </row>
    <row r="245">
      <c r="A245" s="3">
        <v>42571.99861111111</v>
      </c>
      <c r="B245" s="2">
        <v>666.92</v>
      </c>
    </row>
    <row r="246">
      <c r="A246" s="3">
        <v>42572.99861111111</v>
      </c>
      <c r="B246" s="2">
        <v>667.28</v>
      </c>
    </row>
    <row r="247">
      <c r="A247" s="3">
        <v>42573.99861111111</v>
      </c>
      <c r="B247" s="2">
        <v>654.67</v>
      </c>
    </row>
    <row r="248">
      <c r="A248" s="3">
        <v>42574.99861111111</v>
      </c>
      <c r="B248" s="2">
        <v>657.5</v>
      </c>
    </row>
    <row r="249">
      <c r="A249" s="3">
        <v>42575.99861111111</v>
      </c>
      <c r="B249" s="2">
        <v>661.0</v>
      </c>
    </row>
    <row r="250">
      <c r="A250" s="3">
        <v>42576.99861111111</v>
      </c>
      <c r="B250" s="2">
        <v>657.79</v>
      </c>
    </row>
    <row r="251">
      <c r="A251" s="3">
        <v>42577.99861111111</v>
      </c>
      <c r="B251" s="2">
        <v>654.06</v>
      </c>
    </row>
    <row r="252">
      <c r="A252" s="3">
        <v>42578.99861111111</v>
      </c>
      <c r="B252" s="2">
        <v>657.35</v>
      </c>
    </row>
    <row r="253">
      <c r="A253" s="3">
        <v>42579.99861111111</v>
      </c>
      <c r="B253" s="2">
        <v>657.4</v>
      </c>
    </row>
    <row r="254">
      <c r="A254" s="3">
        <v>42580.99861111111</v>
      </c>
      <c r="B254" s="2">
        <v>657.0</v>
      </c>
    </row>
    <row r="255">
      <c r="A255" s="3">
        <v>42581.99861111111</v>
      </c>
      <c r="B255" s="2">
        <v>655.87</v>
      </c>
    </row>
    <row r="256">
      <c r="A256" s="3">
        <v>42582.99861111111</v>
      </c>
      <c r="B256" s="2">
        <v>626.97</v>
      </c>
    </row>
    <row r="257">
      <c r="A257" s="3">
        <v>42583.99861111111</v>
      </c>
      <c r="B257" s="2">
        <v>605.2</v>
      </c>
    </row>
    <row r="258">
      <c r="A258" s="3">
        <v>42584.99861111111</v>
      </c>
      <c r="B258" s="2">
        <v>537.47</v>
      </c>
    </row>
    <row r="259">
      <c r="A259" s="3">
        <v>42585.99861111111</v>
      </c>
      <c r="B259" s="2">
        <v>573.36</v>
      </c>
    </row>
    <row r="260">
      <c r="A260" s="3">
        <v>42586.99861111111</v>
      </c>
      <c r="B260" s="2">
        <v>587.5</v>
      </c>
    </row>
    <row r="261">
      <c r="A261" s="3">
        <v>42587.99861111111</v>
      </c>
      <c r="B261" s="2">
        <v>583.0</v>
      </c>
    </row>
    <row r="262">
      <c r="A262" s="3">
        <v>42588.99861111111</v>
      </c>
      <c r="B262" s="2">
        <v>591.71</v>
      </c>
    </row>
    <row r="263">
      <c r="A263" s="3">
        <v>42589.99861111111</v>
      </c>
      <c r="B263" s="2">
        <v>595.14</v>
      </c>
    </row>
    <row r="264">
      <c r="A264" s="3">
        <v>42590.99861111111</v>
      </c>
      <c r="B264" s="2">
        <v>591.48</v>
      </c>
    </row>
    <row r="265">
      <c r="A265" s="3">
        <v>42591.99861111111</v>
      </c>
      <c r="B265" s="2">
        <v>586.45</v>
      </c>
    </row>
    <row r="266">
      <c r="A266" s="3">
        <v>42592.99861111111</v>
      </c>
      <c r="B266" s="2">
        <v>594.94</v>
      </c>
    </row>
    <row r="267">
      <c r="A267" s="3">
        <v>42593.99861111111</v>
      </c>
      <c r="B267" s="2">
        <v>587.91</v>
      </c>
    </row>
    <row r="268">
      <c r="A268" s="3">
        <v>42594.99861111111</v>
      </c>
      <c r="B268" s="2">
        <v>587.74</v>
      </c>
    </row>
    <row r="269">
      <c r="A269" s="3">
        <v>42595.99861111111</v>
      </c>
      <c r="B269" s="2">
        <v>586.45</v>
      </c>
    </row>
    <row r="270">
      <c r="A270" s="3">
        <v>42596.99861111111</v>
      </c>
      <c r="B270" s="2">
        <v>574.99</v>
      </c>
    </row>
    <row r="271">
      <c r="A271" s="3">
        <v>42597.99861111111</v>
      </c>
      <c r="B271" s="2">
        <v>567.79</v>
      </c>
    </row>
    <row r="272">
      <c r="A272" s="3">
        <v>42598.99861111111</v>
      </c>
      <c r="B272" s="2">
        <v>579.02</v>
      </c>
    </row>
    <row r="273">
      <c r="A273" s="3">
        <v>42599.99861111111</v>
      </c>
      <c r="B273" s="2">
        <v>574.45</v>
      </c>
    </row>
    <row r="274">
      <c r="A274" s="3">
        <v>42600.99861111111</v>
      </c>
      <c r="B274" s="2">
        <v>574.09</v>
      </c>
    </row>
    <row r="275">
      <c r="A275" s="3">
        <v>42601.99861111111</v>
      </c>
      <c r="B275" s="2">
        <v>573.67</v>
      </c>
    </row>
    <row r="276">
      <c r="A276" s="3">
        <v>42602.99861111111</v>
      </c>
      <c r="B276" s="2">
        <v>581.87</v>
      </c>
    </row>
    <row r="277">
      <c r="A277" s="3">
        <v>42603.99861111111</v>
      </c>
      <c r="B277" s="2">
        <v>581.29</v>
      </c>
    </row>
    <row r="278">
      <c r="A278" s="3">
        <v>42604.99861111111</v>
      </c>
      <c r="B278" s="2">
        <v>585.2</v>
      </c>
    </row>
    <row r="279">
      <c r="A279" s="3">
        <v>42605.99861111111</v>
      </c>
      <c r="B279" s="2">
        <v>582.39</v>
      </c>
    </row>
    <row r="280">
      <c r="A280" s="3">
        <v>42606.99861111111</v>
      </c>
      <c r="B280" s="2">
        <v>578.47</v>
      </c>
    </row>
    <row r="281">
      <c r="A281" s="3">
        <v>42607.99861111111</v>
      </c>
      <c r="B281" s="2">
        <v>575.58</v>
      </c>
    </row>
    <row r="282">
      <c r="A282" s="3">
        <v>42608.99861111111</v>
      </c>
      <c r="B282" s="2">
        <v>579.29</v>
      </c>
    </row>
    <row r="283">
      <c r="A283" s="3">
        <v>42609.99861111111</v>
      </c>
      <c r="B283" s="2">
        <v>570.84</v>
      </c>
    </row>
    <row r="284">
      <c r="A284" s="3">
        <v>42610.99861111111</v>
      </c>
      <c r="B284" s="2">
        <v>575.41</v>
      </c>
    </row>
    <row r="285">
      <c r="A285" s="3">
        <v>42611.99861111111</v>
      </c>
      <c r="B285" s="2">
        <v>573.21</v>
      </c>
    </row>
    <row r="286">
      <c r="A286" s="3">
        <v>42612.99861111111</v>
      </c>
      <c r="B286" s="2">
        <v>574.95</v>
      </c>
    </row>
    <row r="287">
      <c r="A287" s="3">
        <v>42613.99861111111</v>
      </c>
      <c r="B287" s="2">
        <v>572.89</v>
      </c>
    </row>
    <row r="288">
      <c r="A288" s="3">
        <v>42614.99861111111</v>
      </c>
      <c r="B288" s="2">
        <v>573.02</v>
      </c>
    </row>
    <row r="289">
      <c r="A289" s="3">
        <v>42615.99861111111</v>
      </c>
      <c r="B289" s="2">
        <v>576.21</v>
      </c>
    </row>
    <row r="290">
      <c r="A290" s="3">
        <v>42616.99861111111</v>
      </c>
      <c r="B290" s="2">
        <v>600.91</v>
      </c>
    </row>
    <row r="291">
      <c r="A291" s="3">
        <v>42617.99861111111</v>
      </c>
      <c r="B291" s="2">
        <v>611.92</v>
      </c>
    </row>
    <row r="292">
      <c r="A292" s="3">
        <v>42618.99861111111</v>
      </c>
      <c r="B292" s="2">
        <v>605.69</v>
      </c>
    </row>
    <row r="293">
      <c r="A293" s="3">
        <v>42619.99861111111</v>
      </c>
      <c r="B293" s="2">
        <v>612.99</v>
      </c>
    </row>
    <row r="294">
      <c r="A294" s="3">
        <v>42620.99861111111</v>
      </c>
      <c r="B294" s="2">
        <v>615.21</v>
      </c>
    </row>
    <row r="295">
      <c r="A295" s="3">
        <v>42621.99861111111</v>
      </c>
      <c r="B295" s="2">
        <v>627.97</v>
      </c>
    </row>
    <row r="296">
      <c r="A296" s="3">
        <v>42622.99861111111</v>
      </c>
      <c r="B296" s="2">
        <v>622.07</v>
      </c>
    </row>
    <row r="297">
      <c r="A297" s="3">
        <v>42623.99861111111</v>
      </c>
      <c r="B297" s="2">
        <v>623.74</v>
      </c>
    </row>
    <row r="298">
      <c r="A298" s="3">
        <v>42624.99861111111</v>
      </c>
      <c r="B298" s="2">
        <v>607.94</v>
      </c>
    </row>
    <row r="299">
      <c r="A299" s="3">
        <v>42625.99861111111</v>
      </c>
      <c r="B299" s="2">
        <v>606.74</v>
      </c>
    </row>
    <row r="300">
      <c r="A300" s="3">
        <v>42626.99861111111</v>
      </c>
      <c r="B300" s="2">
        <v>608.63</v>
      </c>
    </row>
    <row r="301">
      <c r="A301" s="3">
        <v>42627.99861111111</v>
      </c>
      <c r="B301" s="2">
        <v>608.43</v>
      </c>
    </row>
    <row r="302">
      <c r="A302" s="3">
        <v>42628.99861111111</v>
      </c>
      <c r="B302" s="2">
        <v>605.44</v>
      </c>
    </row>
    <row r="303">
      <c r="A303" s="3">
        <v>42629.99861111111</v>
      </c>
      <c r="B303" s="2">
        <v>607.93</v>
      </c>
    </row>
    <row r="304">
      <c r="A304" s="3">
        <v>42630.99861111111</v>
      </c>
      <c r="B304" s="2">
        <v>607.92</v>
      </c>
    </row>
    <row r="305">
      <c r="A305" s="3">
        <v>42631.99861111111</v>
      </c>
      <c r="B305" s="2">
        <v>611.4</v>
      </c>
    </row>
    <row r="306">
      <c r="A306" s="3">
        <v>42632.99861111111</v>
      </c>
      <c r="B306" s="2">
        <v>608.6</v>
      </c>
    </row>
    <row r="307">
      <c r="A307" s="3">
        <v>42633.99861111111</v>
      </c>
      <c r="B307" s="2">
        <v>605.6</v>
      </c>
    </row>
    <row r="308">
      <c r="A308" s="3">
        <v>42634.99861111111</v>
      </c>
      <c r="B308" s="2">
        <v>597.0</v>
      </c>
    </row>
    <row r="309">
      <c r="A309" s="3">
        <v>42635.99861111111</v>
      </c>
      <c r="B309" s="2">
        <v>596.21</v>
      </c>
    </row>
    <row r="310">
      <c r="A310" s="3">
        <v>42636.99861111111</v>
      </c>
      <c r="B310" s="2">
        <v>602.96</v>
      </c>
    </row>
    <row r="311">
      <c r="A311" s="3">
        <v>42637.99861111111</v>
      </c>
      <c r="B311" s="2">
        <v>603.68</v>
      </c>
    </row>
    <row r="312">
      <c r="A312" s="3">
        <v>42638.99861111111</v>
      </c>
      <c r="B312" s="2">
        <v>601.67</v>
      </c>
    </row>
    <row r="313">
      <c r="A313" s="3">
        <v>42639.99861111111</v>
      </c>
      <c r="B313" s="2">
        <v>607.08</v>
      </c>
    </row>
    <row r="314">
      <c r="A314" s="3">
        <v>42640.99861111111</v>
      </c>
      <c r="B314" s="2">
        <v>605.71</v>
      </c>
    </row>
    <row r="315">
      <c r="A315" s="3">
        <v>42641.99861111111</v>
      </c>
      <c r="B315" s="2">
        <v>605.04</v>
      </c>
    </row>
    <row r="316">
      <c r="A316" s="3">
        <v>42642.99861111111</v>
      </c>
      <c r="B316" s="2">
        <v>605.99</v>
      </c>
    </row>
    <row r="317">
      <c r="A317" s="3">
        <v>42643.99861111111</v>
      </c>
      <c r="B317" s="2">
        <v>608.99</v>
      </c>
    </row>
    <row r="318">
      <c r="A318" s="3">
        <v>42644.99861111111</v>
      </c>
      <c r="B318" s="2">
        <v>615.65</v>
      </c>
    </row>
    <row r="319">
      <c r="A319" s="3">
        <v>42645.99861111111</v>
      </c>
      <c r="B319" s="2">
        <v>612.4</v>
      </c>
    </row>
    <row r="320">
      <c r="A320" s="3">
        <v>42646.99861111111</v>
      </c>
      <c r="B320" s="2">
        <v>612.99</v>
      </c>
    </row>
    <row r="321">
      <c r="A321" s="3">
        <v>42647.99861111111</v>
      </c>
      <c r="B321" s="2">
        <v>610.34</v>
      </c>
    </row>
    <row r="322">
      <c r="A322" s="3">
        <v>42648.99861111111</v>
      </c>
      <c r="B322" s="2">
        <v>613.16</v>
      </c>
    </row>
    <row r="323">
      <c r="A323" s="3">
        <v>42649.99861111111</v>
      </c>
      <c r="B323" s="2">
        <v>611.88</v>
      </c>
    </row>
    <row r="324">
      <c r="A324" s="3">
        <v>42650.99861111111</v>
      </c>
      <c r="B324" s="2">
        <v>617.98</v>
      </c>
    </row>
    <row r="325">
      <c r="A325" s="3">
        <v>42651.99861111111</v>
      </c>
      <c r="B325" s="2">
        <v>619.5</v>
      </c>
    </row>
    <row r="326">
      <c r="A326" s="3">
        <v>42652.99861111111</v>
      </c>
      <c r="B326" s="2">
        <v>617.42</v>
      </c>
    </row>
    <row r="327">
      <c r="A327" s="3">
        <v>42653.99861111111</v>
      </c>
      <c r="B327" s="2">
        <v>618.72</v>
      </c>
    </row>
    <row r="328">
      <c r="A328" s="3">
        <v>42654.99861111111</v>
      </c>
      <c r="B328" s="2">
        <v>642.12</v>
      </c>
    </row>
    <row r="329">
      <c r="A329" s="3">
        <v>42655.99861111111</v>
      </c>
      <c r="B329" s="2">
        <v>635.79</v>
      </c>
    </row>
    <row r="330">
      <c r="A330" s="3">
        <v>42656.99861111111</v>
      </c>
      <c r="B330" s="2">
        <v>635.66</v>
      </c>
    </row>
    <row r="331">
      <c r="A331" s="3">
        <v>42657.99861111111</v>
      </c>
      <c r="B331" s="2">
        <v>638.03</v>
      </c>
    </row>
    <row r="332">
      <c r="A332" s="3">
        <v>42658.99861111111</v>
      </c>
      <c r="B332" s="2">
        <v>638.16</v>
      </c>
    </row>
    <row r="333">
      <c r="A333" s="3">
        <v>42659.99861111111</v>
      </c>
      <c r="B333" s="2">
        <v>641.92</v>
      </c>
    </row>
    <row r="334">
      <c r="A334" s="3">
        <v>42660.99861111111</v>
      </c>
      <c r="B334" s="2">
        <v>639.56</v>
      </c>
    </row>
    <row r="335">
      <c r="A335" s="3">
        <v>42661.99861111111</v>
      </c>
      <c r="B335" s="2">
        <v>635.11</v>
      </c>
    </row>
    <row r="336">
      <c r="A336" s="3">
        <v>42662.99861111111</v>
      </c>
      <c r="B336" s="2">
        <v>629.79</v>
      </c>
    </row>
    <row r="337">
      <c r="A337" s="3">
        <v>42663.99861111111</v>
      </c>
      <c r="B337" s="2">
        <v>628.05</v>
      </c>
    </row>
    <row r="338">
      <c r="A338" s="3">
        <v>42664.99861111111</v>
      </c>
      <c r="B338" s="2">
        <v>630.83</v>
      </c>
    </row>
    <row r="339">
      <c r="A339" s="3">
        <v>42665.99861111111</v>
      </c>
      <c r="B339" s="2">
        <v>652.75</v>
      </c>
    </row>
    <row r="340">
      <c r="A340" s="3">
        <v>42666.99861111111</v>
      </c>
      <c r="B340" s="2">
        <v>651.04</v>
      </c>
    </row>
    <row r="341">
      <c r="A341" s="3">
        <v>42667.99861111111</v>
      </c>
      <c r="B341" s="2">
        <v>649.98</v>
      </c>
    </row>
    <row r="342">
      <c r="A342" s="3">
        <v>42668.99861111111</v>
      </c>
      <c r="B342" s="2">
        <v>654.3</v>
      </c>
    </row>
    <row r="343">
      <c r="A343" s="3">
        <v>42669.99861111111</v>
      </c>
      <c r="B343" s="2">
        <v>674.0</v>
      </c>
    </row>
    <row r="344">
      <c r="A344" s="3">
        <v>42670.99861111111</v>
      </c>
      <c r="B344" s="2">
        <v>691.21</v>
      </c>
    </row>
    <row r="345">
      <c r="A345" s="3">
        <v>42671.99861111111</v>
      </c>
      <c r="B345" s="2">
        <v>689.95</v>
      </c>
    </row>
    <row r="346">
      <c r="A346" s="3">
        <v>42672.99861111111</v>
      </c>
      <c r="B346" s="2">
        <v>714.28</v>
      </c>
    </row>
    <row r="347">
      <c r="A347" s="3">
        <v>42673.99861111111</v>
      </c>
      <c r="B347" s="2">
        <v>697.41</v>
      </c>
    </row>
    <row r="348">
      <c r="A348" s="3">
        <v>42674.99861111111</v>
      </c>
      <c r="B348" s="2">
        <v>696.9</v>
      </c>
    </row>
    <row r="349">
      <c r="A349" s="3">
        <v>42675.99861111111</v>
      </c>
      <c r="B349" s="2">
        <v>730.7</v>
      </c>
    </row>
    <row r="350">
      <c r="A350" s="3">
        <v>42676.99861111111</v>
      </c>
      <c r="B350" s="2">
        <v>744.6</v>
      </c>
    </row>
    <row r="351">
      <c r="A351" s="3">
        <v>42677.99861111111</v>
      </c>
      <c r="B351" s="2">
        <v>690.0</v>
      </c>
    </row>
    <row r="352">
      <c r="A352" s="3">
        <v>42678.99861111111</v>
      </c>
      <c r="B352" s="2">
        <v>706.32</v>
      </c>
    </row>
    <row r="353">
      <c r="A353" s="3">
        <v>42679.99861111111</v>
      </c>
      <c r="B353" s="2">
        <v>706.99</v>
      </c>
    </row>
    <row r="354">
      <c r="A354" s="3">
        <v>42680.99861111111</v>
      </c>
      <c r="B354" s="2">
        <v>717.02</v>
      </c>
    </row>
    <row r="355">
      <c r="A355" s="3">
        <v>42681.99861111111</v>
      </c>
      <c r="B355" s="2">
        <v>706.42</v>
      </c>
    </row>
    <row r="356">
      <c r="A356" s="3">
        <v>42682.99861111111</v>
      </c>
      <c r="B356" s="2">
        <v>711.15</v>
      </c>
    </row>
    <row r="357">
      <c r="A357" s="3">
        <v>42683.99861111111</v>
      </c>
      <c r="B357" s="2">
        <v>720.97</v>
      </c>
    </row>
    <row r="358">
      <c r="A358" s="3">
        <v>42684.99861111111</v>
      </c>
      <c r="B358" s="2">
        <v>712.91</v>
      </c>
    </row>
    <row r="359">
      <c r="A359" s="3">
        <v>42685.99861111111</v>
      </c>
      <c r="B359" s="2">
        <v>716.9</v>
      </c>
    </row>
    <row r="360">
      <c r="A360" s="3">
        <v>42686.99861111111</v>
      </c>
      <c r="B360" s="2">
        <v>704.53</v>
      </c>
    </row>
    <row r="361">
      <c r="A361" s="3">
        <v>42687.99861111111</v>
      </c>
      <c r="B361" s="2">
        <v>704.01</v>
      </c>
    </row>
    <row r="362">
      <c r="A362" s="3">
        <v>42688.99861111111</v>
      </c>
      <c r="B362" s="2">
        <v>708.32</v>
      </c>
    </row>
    <row r="363">
      <c r="A363" s="3">
        <v>42689.99861111111</v>
      </c>
      <c r="B363" s="2">
        <v>712.29</v>
      </c>
    </row>
    <row r="364">
      <c r="A364" s="3">
        <v>42690.99861111111</v>
      </c>
      <c r="B364" s="2">
        <v>739.85</v>
      </c>
    </row>
    <row r="365">
      <c r="A365" s="3">
        <v>42691.99861111111</v>
      </c>
      <c r="B365" s="2">
        <v>730.71</v>
      </c>
    </row>
    <row r="366">
      <c r="A366" s="3">
        <v>42692.99861111111</v>
      </c>
      <c r="B366" s="2">
        <v>748.54</v>
      </c>
    </row>
    <row r="367">
      <c r="A367" s="3">
        <v>42693.99861111111</v>
      </c>
      <c r="B367" s="2">
        <v>750.77</v>
      </c>
    </row>
    <row r="368">
      <c r="A368" s="3">
        <v>42694.99861111111</v>
      </c>
      <c r="B368" s="2">
        <v>731.99</v>
      </c>
    </row>
    <row r="369">
      <c r="A369" s="3">
        <v>42695.99861111111</v>
      </c>
      <c r="B369" s="2">
        <v>736.4</v>
      </c>
    </row>
    <row r="370">
      <c r="A370" s="3">
        <v>42696.99861111111</v>
      </c>
      <c r="B370" s="2">
        <v>746.66</v>
      </c>
    </row>
    <row r="371">
      <c r="A371" s="3">
        <v>42697.99861111111</v>
      </c>
      <c r="B371" s="2">
        <v>741.52</v>
      </c>
    </row>
    <row r="372">
      <c r="A372" s="3">
        <v>42698.99861111111</v>
      </c>
      <c r="B372" s="2">
        <v>737.99</v>
      </c>
    </row>
    <row r="373">
      <c r="A373" s="3">
        <v>42699.99861111111</v>
      </c>
      <c r="B373" s="2">
        <v>739.74</v>
      </c>
    </row>
    <row r="374">
      <c r="A374" s="3">
        <v>42700.99861111111</v>
      </c>
      <c r="B374" s="2">
        <v>735.7</v>
      </c>
    </row>
    <row r="375">
      <c r="A375" s="3">
        <v>42701.99861111111</v>
      </c>
      <c r="B375" s="2">
        <v>729.24</v>
      </c>
    </row>
    <row r="376">
      <c r="A376" s="3">
        <v>42702.99861111111</v>
      </c>
      <c r="B376" s="2">
        <v>729.77</v>
      </c>
    </row>
    <row r="377">
      <c r="A377" s="3">
        <v>42703.99861111111</v>
      </c>
      <c r="B377" s="2">
        <v>732.37</v>
      </c>
    </row>
    <row r="378">
      <c r="A378" s="3">
        <v>42704.99861111111</v>
      </c>
      <c r="B378" s="2">
        <v>742.69</v>
      </c>
    </row>
    <row r="379">
      <c r="A379" s="3">
        <v>42705.99861111111</v>
      </c>
      <c r="B379" s="2">
        <v>754.0</v>
      </c>
    </row>
    <row r="380">
      <c r="A380" s="3">
        <v>42706.99861111111</v>
      </c>
      <c r="B380" s="2">
        <v>769.25</v>
      </c>
    </row>
    <row r="381">
      <c r="A381" s="3">
        <v>42707.99861111111</v>
      </c>
      <c r="B381" s="2">
        <v>766.98</v>
      </c>
    </row>
    <row r="382">
      <c r="A382" s="3">
        <v>42708.99861111111</v>
      </c>
      <c r="B382" s="2">
        <v>767.99</v>
      </c>
    </row>
    <row r="383">
      <c r="A383" s="3">
        <v>42709.99861111111</v>
      </c>
      <c r="B383" s="2">
        <v>752.0</v>
      </c>
    </row>
    <row r="384">
      <c r="A384" s="3">
        <v>42710.99861111111</v>
      </c>
      <c r="B384" s="2">
        <v>759.8</v>
      </c>
    </row>
    <row r="385">
      <c r="A385" s="3">
        <v>42711.99861111111</v>
      </c>
      <c r="B385" s="2">
        <v>764.34</v>
      </c>
    </row>
    <row r="386">
      <c r="A386" s="3">
        <v>42712.99861111111</v>
      </c>
      <c r="B386" s="2">
        <v>767.89</v>
      </c>
    </row>
    <row r="387">
      <c r="A387" s="3">
        <v>42713.99861111111</v>
      </c>
      <c r="B387" s="2">
        <v>773.22</v>
      </c>
    </row>
    <row r="388">
      <c r="A388" s="3">
        <v>42714.99861111111</v>
      </c>
      <c r="B388" s="2">
        <v>775.87</v>
      </c>
    </row>
    <row r="389">
      <c r="A389" s="3">
        <v>42715.99861111111</v>
      </c>
      <c r="B389" s="2">
        <v>771.05</v>
      </c>
    </row>
    <row r="390">
      <c r="A390" s="3">
        <v>42716.99861111111</v>
      </c>
      <c r="B390" s="2">
        <v>778.94</v>
      </c>
    </row>
    <row r="391">
      <c r="A391" s="3">
        <v>42717.99861111111</v>
      </c>
      <c r="B391" s="2">
        <v>776.18</v>
      </c>
    </row>
    <row r="392">
      <c r="A392" s="3">
        <v>42718.99861111111</v>
      </c>
      <c r="B392" s="2">
        <v>777.66</v>
      </c>
    </row>
    <row r="393">
      <c r="A393" s="3">
        <v>42719.99861111111</v>
      </c>
      <c r="B393" s="2">
        <v>776.16</v>
      </c>
    </row>
    <row r="394">
      <c r="A394" s="3">
        <v>42720.99861111111</v>
      </c>
      <c r="B394" s="2">
        <v>780.98</v>
      </c>
    </row>
    <row r="395">
      <c r="A395" s="3">
        <v>42721.99861111111</v>
      </c>
      <c r="B395" s="2">
        <v>788.57</v>
      </c>
    </row>
    <row r="396">
      <c r="A396" s="3">
        <v>42722.99861111111</v>
      </c>
      <c r="B396" s="2">
        <v>790.72</v>
      </c>
    </row>
    <row r="397">
      <c r="A397" s="3">
        <v>42723.99861111111</v>
      </c>
      <c r="B397" s="2">
        <v>790.81</v>
      </c>
    </row>
    <row r="398">
      <c r="A398" s="3">
        <v>42724.99861111111</v>
      </c>
      <c r="B398" s="2">
        <v>798.99</v>
      </c>
    </row>
    <row r="399">
      <c r="A399" s="3">
        <v>42725.99861111111</v>
      </c>
      <c r="B399" s="2">
        <v>834.5</v>
      </c>
    </row>
    <row r="400">
      <c r="A400" s="3">
        <v>42726.99861111111</v>
      </c>
      <c r="B400" s="2">
        <v>856.02</v>
      </c>
    </row>
    <row r="401">
      <c r="A401" s="3">
        <v>42727.99861111111</v>
      </c>
      <c r="B401" s="2">
        <v>917.26</v>
      </c>
    </row>
    <row r="402">
      <c r="A402" s="3">
        <v>42728.99861111111</v>
      </c>
      <c r="B402" s="2">
        <v>891.5</v>
      </c>
    </row>
    <row r="403">
      <c r="A403" s="3">
        <v>42729.99861111111</v>
      </c>
      <c r="B403" s="2">
        <v>896.12</v>
      </c>
    </row>
    <row r="404">
      <c r="A404" s="3">
        <v>42730.99861111111</v>
      </c>
      <c r="B404" s="2">
        <v>902.09</v>
      </c>
    </row>
    <row r="405">
      <c r="A405" s="3">
        <v>42731.99861111111</v>
      </c>
      <c r="B405" s="2">
        <v>925.2</v>
      </c>
    </row>
    <row r="406">
      <c r="A406" s="3">
        <v>42732.99861111111</v>
      </c>
      <c r="B406" s="2">
        <v>982.17</v>
      </c>
    </row>
    <row r="407">
      <c r="A407" s="3">
        <v>42733.99861111111</v>
      </c>
      <c r="B407" s="2">
        <v>970.72</v>
      </c>
    </row>
    <row r="408">
      <c r="A408" s="3">
        <v>42734.99861111111</v>
      </c>
      <c r="B408" s="2">
        <v>960.81</v>
      </c>
    </row>
    <row r="409">
      <c r="A409" s="3">
        <v>42735.99861111111</v>
      </c>
      <c r="B409" s="2">
        <v>973.37</v>
      </c>
    </row>
    <row r="410">
      <c r="A410" s="3">
        <v>42736.99861111111</v>
      </c>
      <c r="B410" s="2">
        <v>992.95</v>
      </c>
    </row>
    <row r="411">
      <c r="A411" s="3">
        <v>42737.99861111111</v>
      </c>
      <c r="B411" s="2">
        <v>1011.45</v>
      </c>
    </row>
    <row r="412">
      <c r="A412" s="3">
        <v>42738.99861111111</v>
      </c>
      <c r="B412" s="2">
        <v>1020.67</v>
      </c>
    </row>
    <row r="413">
      <c r="A413" s="3">
        <v>42739.99861111111</v>
      </c>
      <c r="B413" s="2">
        <v>1130.3</v>
      </c>
    </row>
    <row r="414">
      <c r="A414" s="3">
        <v>42740.99861111111</v>
      </c>
      <c r="B414" s="2">
        <v>1007.0</v>
      </c>
    </row>
    <row r="415">
      <c r="A415" s="3">
        <v>42741.99861111111</v>
      </c>
      <c r="B415" s="2">
        <v>895.71</v>
      </c>
    </row>
    <row r="416">
      <c r="A416" s="3">
        <v>42742.99861111111</v>
      </c>
      <c r="B416" s="2">
        <v>909.0</v>
      </c>
    </row>
    <row r="417">
      <c r="A417" s="3">
        <v>42743.99861111111</v>
      </c>
      <c r="B417" s="2">
        <v>923.33</v>
      </c>
    </row>
    <row r="418">
      <c r="A418" s="3">
        <v>42744.99861111111</v>
      </c>
      <c r="B418" s="2">
        <v>902.66</v>
      </c>
    </row>
    <row r="419">
      <c r="A419" s="3">
        <v>42745.99861111111</v>
      </c>
      <c r="B419" s="2">
        <v>907.0</v>
      </c>
    </row>
    <row r="420">
      <c r="A420" s="3">
        <v>42746.99861111111</v>
      </c>
      <c r="B420" s="2">
        <v>795.77</v>
      </c>
    </row>
    <row r="421">
      <c r="A421" s="3">
        <v>42747.99861111111</v>
      </c>
      <c r="B421" s="2">
        <v>812.25</v>
      </c>
    </row>
    <row r="422">
      <c r="A422" s="3">
        <v>42748.99861111111</v>
      </c>
      <c r="B422" s="2">
        <v>831.42</v>
      </c>
    </row>
    <row r="423">
      <c r="A423" s="3">
        <v>42749.99861111111</v>
      </c>
      <c r="B423" s="2">
        <v>828.0</v>
      </c>
    </row>
    <row r="424">
      <c r="A424" s="3">
        <v>42750.99861111111</v>
      </c>
      <c r="B424" s="2">
        <v>833.31</v>
      </c>
    </row>
    <row r="425">
      <c r="A425" s="3">
        <v>42751.99861111111</v>
      </c>
      <c r="B425" s="2">
        <v>834.41</v>
      </c>
    </row>
    <row r="426">
      <c r="A426" s="3">
        <v>42752.99861111111</v>
      </c>
      <c r="B426" s="2">
        <v>906.0</v>
      </c>
    </row>
    <row r="427">
      <c r="A427" s="3">
        <v>42753.99861111111</v>
      </c>
      <c r="B427" s="2">
        <v>887.99</v>
      </c>
    </row>
    <row r="428">
      <c r="A428" s="3">
        <v>42754.99861111111</v>
      </c>
      <c r="B428" s="2">
        <v>902.92</v>
      </c>
    </row>
    <row r="429">
      <c r="A429" s="3">
        <v>42755.99861111111</v>
      </c>
      <c r="B429" s="2">
        <v>894.31</v>
      </c>
    </row>
    <row r="430">
      <c r="A430" s="3">
        <v>42756.99861111111</v>
      </c>
      <c r="B430" s="2">
        <v>925.06</v>
      </c>
    </row>
    <row r="431">
      <c r="A431" s="3">
        <v>42757.99861111111</v>
      </c>
      <c r="B431" s="2">
        <v>931.22</v>
      </c>
    </row>
    <row r="432">
      <c r="A432" s="3">
        <v>42758.99861111111</v>
      </c>
      <c r="B432" s="2">
        <v>910.7</v>
      </c>
    </row>
    <row r="433">
      <c r="A433" s="3">
        <v>42759.99861111111</v>
      </c>
      <c r="B433" s="2">
        <v>887.0</v>
      </c>
    </row>
    <row r="434">
      <c r="A434" s="3">
        <v>42760.99861111111</v>
      </c>
      <c r="B434" s="2">
        <v>896.0</v>
      </c>
    </row>
    <row r="435">
      <c r="A435" s="3">
        <v>42761.99861111111</v>
      </c>
      <c r="B435" s="2">
        <v>917.02</v>
      </c>
    </row>
    <row r="436">
      <c r="A436" s="3">
        <v>42762.99861111111</v>
      </c>
      <c r="B436" s="2">
        <v>922.63</v>
      </c>
    </row>
    <row r="437">
      <c r="A437" s="3">
        <v>42763.99861111111</v>
      </c>
      <c r="B437" s="2">
        <v>924.98</v>
      </c>
    </row>
    <row r="438">
      <c r="A438" s="3">
        <v>42764.99861111111</v>
      </c>
      <c r="B438" s="2">
        <v>916.54</v>
      </c>
    </row>
    <row r="439">
      <c r="A439" s="3">
        <v>42765.99861111111</v>
      </c>
      <c r="B439" s="2">
        <v>923.23</v>
      </c>
    </row>
    <row r="440">
      <c r="A440" s="3">
        <v>42766.99861111111</v>
      </c>
      <c r="B440" s="2">
        <v>970.01</v>
      </c>
    </row>
    <row r="441">
      <c r="A441" s="3">
        <v>42767.99861111111</v>
      </c>
      <c r="B441" s="2">
        <v>992.75</v>
      </c>
    </row>
    <row r="442">
      <c r="A442" s="3">
        <v>42768.99861111111</v>
      </c>
      <c r="B442" s="2">
        <v>1008.38</v>
      </c>
    </row>
    <row r="443">
      <c r="A443" s="3">
        <v>42769.99861111111</v>
      </c>
      <c r="B443" s="2">
        <v>1018.0</v>
      </c>
    </row>
    <row r="444">
      <c r="A444" s="3">
        <v>42770.99861111111</v>
      </c>
      <c r="B444" s="2">
        <v>1035.54</v>
      </c>
    </row>
    <row r="445">
      <c r="A445" s="3">
        <v>42771.99861111111</v>
      </c>
      <c r="B445" s="2">
        <v>1016.32</v>
      </c>
    </row>
    <row r="446">
      <c r="A446" s="3">
        <v>42772.99861111111</v>
      </c>
      <c r="B446" s="2">
        <v>1022.58</v>
      </c>
    </row>
    <row r="447">
      <c r="A447" s="3">
        <v>42773.99861111111</v>
      </c>
      <c r="B447" s="2">
        <v>1053.96</v>
      </c>
    </row>
    <row r="448">
      <c r="A448" s="3">
        <v>42774.99861111111</v>
      </c>
      <c r="B448" s="2">
        <v>1056.7</v>
      </c>
    </row>
    <row r="449">
      <c r="A449" s="3">
        <v>42775.99861111111</v>
      </c>
      <c r="B449" s="2">
        <v>994.24</v>
      </c>
    </row>
    <row r="450">
      <c r="A450" s="3">
        <v>42776.99861111111</v>
      </c>
      <c r="B450" s="2">
        <v>1001.99</v>
      </c>
    </row>
    <row r="451">
      <c r="A451" s="3">
        <v>42777.99861111111</v>
      </c>
      <c r="B451" s="2">
        <v>1018.65</v>
      </c>
    </row>
    <row r="452">
      <c r="A452" s="3">
        <v>42778.99861111111</v>
      </c>
      <c r="B452" s="2">
        <v>1010.0</v>
      </c>
    </row>
    <row r="453">
      <c r="A453" s="3">
        <v>42779.99861111111</v>
      </c>
      <c r="B453" s="2">
        <v>1002.82</v>
      </c>
    </row>
    <row r="454">
      <c r="A454" s="3">
        <v>42780.99861111111</v>
      </c>
      <c r="B454" s="2">
        <v>1013.92</v>
      </c>
    </row>
    <row r="455">
      <c r="A455" s="3">
        <v>42781.99861111111</v>
      </c>
      <c r="B455" s="2">
        <v>1014.53</v>
      </c>
    </row>
    <row r="456">
      <c r="A456" s="3">
        <v>42782.99861111111</v>
      </c>
      <c r="B456" s="2">
        <v>1038.94</v>
      </c>
    </row>
    <row r="457">
      <c r="A457" s="3">
        <v>42783.99861111111</v>
      </c>
      <c r="B457" s="2">
        <v>1057.3</v>
      </c>
    </row>
    <row r="458">
      <c r="A458" s="3">
        <v>42784.99861111111</v>
      </c>
      <c r="B458" s="2">
        <v>1062.15</v>
      </c>
    </row>
    <row r="459">
      <c r="A459" s="3">
        <v>42785.99861111111</v>
      </c>
      <c r="B459" s="2">
        <v>1059.88</v>
      </c>
    </row>
    <row r="460">
      <c r="A460" s="3">
        <v>42786.99861111111</v>
      </c>
      <c r="B460" s="2">
        <v>1089.82</v>
      </c>
    </row>
    <row r="461">
      <c r="A461" s="3">
        <v>42787.99861111111</v>
      </c>
      <c r="B461" s="2">
        <v>1128.29</v>
      </c>
    </row>
    <row r="462">
      <c r="A462" s="3">
        <v>42788.99861111111</v>
      </c>
      <c r="B462" s="2">
        <v>1128.71</v>
      </c>
    </row>
    <row r="463">
      <c r="A463" s="3">
        <v>42789.99861111111</v>
      </c>
      <c r="B463" s="2">
        <v>1186.9</v>
      </c>
    </row>
    <row r="464">
      <c r="A464" s="3">
        <v>42790.99861111111</v>
      </c>
      <c r="B464" s="2">
        <v>1186.91</v>
      </c>
    </row>
    <row r="465">
      <c r="A465" s="3">
        <v>42791.99861111111</v>
      </c>
      <c r="B465" s="2">
        <v>1158.0</v>
      </c>
    </row>
    <row r="466">
      <c r="A466" s="3">
        <v>42792.99861111111</v>
      </c>
      <c r="B466" s="2">
        <v>1184.91</v>
      </c>
    </row>
    <row r="467">
      <c r="A467" s="3">
        <v>42793.99861111111</v>
      </c>
      <c r="B467" s="2">
        <v>1195.81</v>
      </c>
    </row>
    <row r="468">
      <c r="A468" s="3">
        <v>42794.99861111111</v>
      </c>
      <c r="B468" s="2">
        <v>1195.08</v>
      </c>
    </row>
    <row r="469">
      <c r="A469" s="3">
        <v>42795.99861111111</v>
      </c>
      <c r="B469" s="2">
        <v>1230.0</v>
      </c>
    </row>
    <row r="470">
      <c r="A470" s="3">
        <v>42796.99861111111</v>
      </c>
      <c r="B470" s="2">
        <v>1269.17</v>
      </c>
    </row>
    <row r="471">
      <c r="A471" s="3">
        <v>42797.99861111111</v>
      </c>
      <c r="B471" s="2">
        <v>1292.86</v>
      </c>
    </row>
    <row r="472">
      <c r="A472" s="3">
        <v>42798.99861111111</v>
      </c>
      <c r="B472" s="2">
        <v>1273.97</v>
      </c>
    </row>
    <row r="473">
      <c r="A473" s="3">
        <v>42799.99861111111</v>
      </c>
      <c r="B473" s="2">
        <v>1278.98</v>
      </c>
    </row>
    <row r="474">
      <c r="A474" s="3">
        <v>42800.99861111111</v>
      </c>
      <c r="B474" s="2">
        <v>1284.99</v>
      </c>
    </row>
    <row r="475">
      <c r="A475" s="3">
        <v>42801.99861111111</v>
      </c>
      <c r="B475" s="2">
        <v>1237.36</v>
      </c>
    </row>
    <row r="476">
      <c r="A476" s="3">
        <v>42802.99861111111</v>
      </c>
      <c r="B476" s="2">
        <v>1150.22</v>
      </c>
    </row>
    <row r="477">
      <c r="A477" s="3">
        <v>42803.99861111111</v>
      </c>
      <c r="B477" s="2">
        <v>1197.3</v>
      </c>
    </row>
    <row r="478">
      <c r="A478" s="3">
        <v>42804.99861111111</v>
      </c>
      <c r="B478" s="2">
        <v>1109.01</v>
      </c>
    </row>
    <row r="479">
      <c r="A479" s="3">
        <v>42805.99861111111</v>
      </c>
      <c r="B479" s="2">
        <v>1188.11</v>
      </c>
    </row>
    <row r="480">
      <c r="A480" s="3">
        <v>42806.99861111111</v>
      </c>
      <c r="B480" s="2">
        <v>1235.58</v>
      </c>
    </row>
    <row r="481">
      <c r="A481" s="3">
        <v>42807.99861111111</v>
      </c>
      <c r="B481" s="2">
        <v>1245.49</v>
      </c>
    </row>
    <row r="482">
      <c r="A482" s="3">
        <v>42808.99861111111</v>
      </c>
      <c r="B482" s="2">
        <v>1247.42</v>
      </c>
    </row>
    <row r="483">
      <c r="A483" s="3">
        <v>42809.99861111111</v>
      </c>
      <c r="B483" s="2">
        <v>1263.0</v>
      </c>
    </row>
    <row r="484">
      <c r="A484" s="3">
        <v>42810.99861111111</v>
      </c>
      <c r="B484" s="2">
        <v>1175.11</v>
      </c>
    </row>
    <row r="485">
      <c r="A485" s="3">
        <v>42811.99861111111</v>
      </c>
      <c r="B485" s="2">
        <v>1069.57</v>
      </c>
    </row>
    <row r="486">
      <c r="A486" s="3">
        <v>42812.99861111111</v>
      </c>
      <c r="B486" s="2">
        <v>970.0</v>
      </c>
    </row>
    <row r="487">
      <c r="A487" s="3">
        <v>42813.99861111111</v>
      </c>
      <c r="B487" s="2">
        <v>1019.49</v>
      </c>
    </row>
    <row r="488">
      <c r="A488" s="3">
        <v>42814.99861111111</v>
      </c>
      <c r="B488" s="2">
        <v>1044.96</v>
      </c>
    </row>
    <row r="489">
      <c r="A489" s="3">
        <v>42815.99861111111</v>
      </c>
      <c r="B489" s="2">
        <v>1114.42</v>
      </c>
    </row>
    <row r="490">
      <c r="A490" s="3">
        <v>42816.99861111111</v>
      </c>
      <c r="B490" s="2">
        <v>1034.57</v>
      </c>
    </row>
    <row r="491">
      <c r="A491" s="3">
        <v>42817.99861111111</v>
      </c>
      <c r="B491" s="2">
        <v>1025.14</v>
      </c>
    </row>
    <row r="492">
      <c r="A492" s="3">
        <v>42818.99861111111</v>
      </c>
      <c r="B492" s="2">
        <v>934.87</v>
      </c>
    </row>
    <row r="493">
      <c r="A493" s="3">
        <v>42819.99861111111</v>
      </c>
      <c r="B493" s="2">
        <v>963.72</v>
      </c>
    </row>
    <row r="494">
      <c r="A494" s="3">
        <v>42820.99861111111</v>
      </c>
      <c r="B494" s="2">
        <v>973.08</v>
      </c>
    </row>
    <row r="495">
      <c r="A495" s="3">
        <v>42821.99861111111</v>
      </c>
      <c r="B495" s="2">
        <v>1042.08</v>
      </c>
    </row>
    <row r="496">
      <c r="A496" s="3">
        <v>42822.99861111111</v>
      </c>
      <c r="B496" s="2">
        <v>1045.4</v>
      </c>
    </row>
    <row r="497">
      <c r="A497" s="3">
        <v>42823.99861111111</v>
      </c>
      <c r="B497" s="2">
        <v>1043.27</v>
      </c>
    </row>
    <row r="498">
      <c r="A498" s="3">
        <v>42824.99861111111</v>
      </c>
      <c r="B498" s="2">
        <v>1042.34</v>
      </c>
    </row>
    <row r="499">
      <c r="A499" s="3">
        <v>42825.99861111111</v>
      </c>
      <c r="B499" s="2">
        <v>1088.99</v>
      </c>
    </row>
    <row r="500">
      <c r="A500" s="3">
        <v>42826.99861111111</v>
      </c>
      <c r="B500" s="2">
        <v>1092.0</v>
      </c>
    </row>
    <row r="501">
      <c r="A501" s="3">
        <v>42827.99861111111</v>
      </c>
      <c r="B501" s="2">
        <v>1113.99</v>
      </c>
    </row>
    <row r="502">
      <c r="A502" s="3">
        <v>42828.99861111111</v>
      </c>
      <c r="B502" s="2">
        <v>1152.6</v>
      </c>
    </row>
    <row r="503">
      <c r="A503" s="3">
        <v>42829.99861111111</v>
      </c>
      <c r="B503" s="2">
        <v>1143.99</v>
      </c>
    </row>
    <row r="504">
      <c r="A504" s="3">
        <v>42830.99861111111</v>
      </c>
      <c r="B504" s="2">
        <v>1132.99</v>
      </c>
    </row>
    <row r="505">
      <c r="A505" s="3">
        <v>42831.99861111111</v>
      </c>
      <c r="B505" s="2">
        <v>1192.3</v>
      </c>
    </row>
    <row r="506">
      <c r="A506" s="3">
        <v>42832.99861111111</v>
      </c>
      <c r="B506" s="2">
        <v>1194.0</v>
      </c>
    </row>
    <row r="507">
      <c r="A507" s="3">
        <v>42833.99861111111</v>
      </c>
      <c r="B507" s="2">
        <v>1184.5</v>
      </c>
    </row>
    <row r="508">
      <c r="A508" s="3">
        <v>42834.99861111111</v>
      </c>
      <c r="B508" s="2">
        <v>1210.97</v>
      </c>
    </row>
    <row r="509">
      <c r="A509" s="3">
        <v>42835.99861111111</v>
      </c>
      <c r="B509" s="2">
        <v>1210.0</v>
      </c>
    </row>
    <row r="510">
      <c r="A510" s="3">
        <v>42836.99861111111</v>
      </c>
      <c r="B510" s="2">
        <v>1223.99</v>
      </c>
    </row>
    <row r="511">
      <c r="A511" s="3">
        <v>42837.99861111111</v>
      </c>
      <c r="B511" s="2">
        <v>1214.17</v>
      </c>
    </row>
    <row r="512">
      <c r="A512" s="3">
        <v>42838.99861111111</v>
      </c>
      <c r="B512" s="2">
        <v>1177.05</v>
      </c>
    </row>
    <row r="513">
      <c r="A513" s="3">
        <v>42839.99861111111</v>
      </c>
      <c r="B513" s="2">
        <v>1173.74</v>
      </c>
    </row>
    <row r="514">
      <c r="A514" s="3">
        <v>42840.99861111111</v>
      </c>
      <c r="B514" s="2">
        <v>1178.85</v>
      </c>
    </row>
    <row r="515">
      <c r="A515" s="3">
        <v>42841.99861111111</v>
      </c>
      <c r="B515" s="2">
        <v>1177.99</v>
      </c>
    </row>
    <row r="516">
      <c r="A516" s="3">
        <v>42842.99861111111</v>
      </c>
      <c r="B516" s="2">
        <v>1189.91</v>
      </c>
    </row>
    <row r="517">
      <c r="A517" s="3">
        <v>42843.99861111111</v>
      </c>
      <c r="B517" s="2">
        <v>1201.94</v>
      </c>
    </row>
    <row r="518">
      <c r="A518" s="3">
        <v>42844.99861111111</v>
      </c>
      <c r="B518" s="2">
        <v>1214.21</v>
      </c>
    </row>
    <row r="519">
      <c r="A519" s="3">
        <v>42845.99861111111</v>
      </c>
      <c r="B519" s="2">
        <v>1236.15</v>
      </c>
    </row>
    <row r="520">
      <c r="A520" s="3">
        <v>42846.99861111111</v>
      </c>
      <c r="B520" s="2">
        <v>1249.99</v>
      </c>
    </row>
    <row r="521">
      <c r="A521" s="3">
        <v>42847.99861111111</v>
      </c>
      <c r="B521" s="2">
        <v>1247.0</v>
      </c>
    </row>
    <row r="522">
      <c r="A522" s="3">
        <v>42848.99861111111</v>
      </c>
      <c r="B522" s="2">
        <v>1251.98</v>
      </c>
    </row>
    <row r="523">
      <c r="A523" s="3">
        <v>42849.99861111111</v>
      </c>
      <c r="B523" s="2">
        <v>1257.29</v>
      </c>
    </row>
    <row r="524">
      <c r="A524" s="3">
        <v>42850.99861111111</v>
      </c>
      <c r="B524" s="2">
        <v>1281.16</v>
      </c>
    </row>
    <row r="525">
      <c r="A525" s="3">
        <v>42851.99861111111</v>
      </c>
      <c r="B525" s="2">
        <v>1298.44</v>
      </c>
    </row>
    <row r="526">
      <c r="A526" s="3">
        <v>42852.99861111111</v>
      </c>
      <c r="B526" s="2">
        <v>1349.26</v>
      </c>
    </row>
    <row r="527">
      <c r="A527" s="3">
        <v>42853.99861111111</v>
      </c>
      <c r="B527" s="2">
        <v>1353.34</v>
      </c>
    </row>
    <row r="528">
      <c r="A528" s="3">
        <v>42854.99861111111</v>
      </c>
      <c r="B528" s="2">
        <v>1365.43</v>
      </c>
    </row>
    <row r="529">
      <c r="A529" s="3">
        <v>42855.99861111111</v>
      </c>
      <c r="B529" s="2">
        <v>1384.55</v>
      </c>
    </row>
    <row r="530">
      <c r="A530" s="3">
        <v>42856.99861111111</v>
      </c>
      <c r="B530" s="2">
        <v>1436.5</v>
      </c>
    </row>
    <row r="531">
      <c r="A531" s="3">
        <v>42857.99861111111</v>
      </c>
      <c r="B531" s="2">
        <v>1471.99</v>
      </c>
    </row>
    <row r="532">
      <c r="A532" s="3">
        <v>42858.99861111111</v>
      </c>
      <c r="B532" s="2">
        <v>1533.0</v>
      </c>
    </row>
    <row r="533">
      <c r="A533" s="3">
        <v>42859.99861111111</v>
      </c>
      <c r="B533" s="2">
        <v>1563.39</v>
      </c>
    </row>
    <row r="534">
      <c r="A534" s="3">
        <v>42860.99861111111</v>
      </c>
      <c r="B534" s="2">
        <v>1551.3</v>
      </c>
    </row>
    <row r="535">
      <c r="A535" s="3">
        <v>42861.99861111111</v>
      </c>
      <c r="B535" s="2">
        <v>1585.39</v>
      </c>
    </row>
    <row r="536">
      <c r="A536" s="3">
        <v>42862.99861111111</v>
      </c>
      <c r="B536" s="2">
        <v>1609.57</v>
      </c>
    </row>
    <row r="537">
      <c r="A537" s="3">
        <v>42863.99861111111</v>
      </c>
      <c r="B537" s="2">
        <v>1713.0</v>
      </c>
    </row>
    <row r="538">
      <c r="A538" s="3">
        <v>42864.99861111111</v>
      </c>
      <c r="B538" s="2">
        <v>1720.43</v>
      </c>
    </row>
    <row r="539">
      <c r="A539" s="3">
        <v>42865.99861111111</v>
      </c>
      <c r="B539" s="2">
        <v>1794.99</v>
      </c>
    </row>
    <row r="540">
      <c r="A540" s="3">
        <v>42866.99861111111</v>
      </c>
      <c r="B540" s="2">
        <v>1837.93</v>
      </c>
    </row>
    <row r="541">
      <c r="A541" s="3">
        <v>42867.99861111111</v>
      </c>
      <c r="B541" s="2">
        <v>1695.61</v>
      </c>
    </row>
    <row r="542">
      <c r="A542" s="3">
        <v>42868.99861111111</v>
      </c>
      <c r="B542" s="2">
        <v>1792.73</v>
      </c>
    </row>
    <row r="543">
      <c r="A543" s="3">
        <v>42869.99861111111</v>
      </c>
      <c r="B543" s="2">
        <v>1799.99</v>
      </c>
    </row>
    <row r="544">
      <c r="A544" s="3">
        <v>42870.99861111111</v>
      </c>
      <c r="B544" s="2">
        <v>1747.81</v>
      </c>
    </row>
    <row r="545">
      <c r="A545" s="3">
        <v>42871.99861111111</v>
      </c>
      <c r="B545" s="2">
        <v>1777.48</v>
      </c>
    </row>
    <row r="546">
      <c r="A546" s="3">
        <v>42872.99861111111</v>
      </c>
      <c r="B546" s="2">
        <v>1813.23</v>
      </c>
    </row>
    <row r="547">
      <c r="A547" s="3">
        <v>42873.99861111111</v>
      </c>
      <c r="B547" s="2">
        <v>1899.16</v>
      </c>
    </row>
    <row r="548">
      <c r="A548" s="3">
        <v>42874.99861111111</v>
      </c>
      <c r="B548" s="2">
        <v>1976.23</v>
      </c>
    </row>
    <row r="549">
      <c r="A549" s="3">
        <v>42875.99861111111</v>
      </c>
      <c r="B549" s="2">
        <v>2058.91</v>
      </c>
    </row>
    <row r="550">
      <c r="A550" s="3">
        <v>42876.99861111111</v>
      </c>
      <c r="B550" s="2">
        <v>2057.0</v>
      </c>
    </row>
    <row r="551">
      <c r="A551" s="3">
        <v>42877.99861111111</v>
      </c>
      <c r="B551" s="2">
        <v>2123.29</v>
      </c>
    </row>
    <row r="552">
      <c r="A552" s="3">
        <v>42878.99861111111</v>
      </c>
      <c r="B552" s="2">
        <v>2272.75</v>
      </c>
    </row>
    <row r="553">
      <c r="A553" s="3">
        <v>42879.99861111111</v>
      </c>
      <c r="B553" s="2">
        <v>2432.97</v>
      </c>
    </row>
    <row r="554">
      <c r="A554" s="3">
        <v>42880.99861111111</v>
      </c>
      <c r="B554" s="2">
        <v>2355.0</v>
      </c>
    </row>
    <row r="555">
      <c r="A555" s="3">
        <v>42881.99861111111</v>
      </c>
      <c r="B555" s="2">
        <v>2272.7</v>
      </c>
    </row>
    <row r="556">
      <c r="A556" s="3">
        <v>42882.99861111111</v>
      </c>
      <c r="B556" s="2">
        <v>2099.99</v>
      </c>
    </row>
    <row r="557">
      <c r="A557" s="3">
        <v>42883.99861111111</v>
      </c>
      <c r="B557" s="2">
        <v>2232.78</v>
      </c>
    </row>
    <row r="558">
      <c r="A558" s="3">
        <v>42884.99861111111</v>
      </c>
      <c r="B558" s="2">
        <v>2279.48</v>
      </c>
    </row>
    <row r="559">
      <c r="A559" s="3">
        <v>42885.99861111111</v>
      </c>
      <c r="B559" s="2">
        <v>2191.58</v>
      </c>
    </row>
    <row r="560">
      <c r="A560" s="3">
        <v>42886.99861111111</v>
      </c>
      <c r="B560" s="2">
        <v>2303.29</v>
      </c>
    </row>
    <row r="561">
      <c r="A561" s="3">
        <v>42887.99861111111</v>
      </c>
      <c r="B561" s="2">
        <v>2419.99</v>
      </c>
    </row>
    <row r="562">
      <c r="A562" s="3">
        <v>42888.99861111111</v>
      </c>
      <c r="B562" s="2">
        <v>2478.99</v>
      </c>
    </row>
    <row r="563">
      <c r="A563" s="3">
        <v>42889.99861111111</v>
      </c>
      <c r="B563" s="2">
        <v>2548.05</v>
      </c>
    </row>
    <row r="564">
      <c r="A564" s="3">
        <v>42890.99861111111</v>
      </c>
      <c r="B564" s="2">
        <v>2521.36</v>
      </c>
    </row>
    <row r="565">
      <c r="A565" s="3">
        <v>42891.99861111111</v>
      </c>
      <c r="B565" s="2">
        <v>2698.0</v>
      </c>
    </row>
    <row r="566">
      <c r="A566" s="3">
        <v>42892.99861111111</v>
      </c>
      <c r="B566" s="2">
        <v>2871.29</v>
      </c>
    </row>
    <row r="567">
      <c r="A567" s="3">
        <v>42893.99861111111</v>
      </c>
      <c r="B567" s="2">
        <v>2685.64</v>
      </c>
    </row>
    <row r="568">
      <c r="A568" s="3">
        <v>42894.99861111111</v>
      </c>
      <c r="B568" s="2">
        <v>2799.73</v>
      </c>
    </row>
    <row r="569">
      <c r="A569" s="3">
        <v>42895.99861111111</v>
      </c>
      <c r="B569" s="2">
        <v>2811.39</v>
      </c>
    </row>
    <row r="570">
      <c r="A570" s="3">
        <v>42896.99861111111</v>
      </c>
      <c r="B570" s="2">
        <v>2931.15</v>
      </c>
    </row>
    <row r="571">
      <c r="A571" s="3">
        <v>42897.99861111111</v>
      </c>
      <c r="B571" s="2">
        <v>2998.98</v>
      </c>
    </row>
    <row r="572">
      <c r="A572" s="3">
        <v>42898.99861111111</v>
      </c>
      <c r="B572" s="2">
        <v>2655.71</v>
      </c>
    </row>
    <row r="573">
      <c r="A573" s="3">
        <v>42899.99861111111</v>
      </c>
      <c r="B573" s="2">
        <v>2709.01</v>
      </c>
    </row>
    <row r="574">
      <c r="A574" s="3">
        <v>42900.99861111111</v>
      </c>
      <c r="B574" s="2">
        <v>2432.21</v>
      </c>
    </row>
    <row r="575">
      <c r="A575" s="3">
        <v>42901.99861111111</v>
      </c>
      <c r="B575" s="2">
        <v>2409.98</v>
      </c>
    </row>
    <row r="576">
      <c r="A576" s="3">
        <v>42902.99861111111</v>
      </c>
      <c r="B576" s="2">
        <v>2480.43</v>
      </c>
    </row>
    <row r="577">
      <c r="A577" s="3">
        <v>42903.99861111111</v>
      </c>
      <c r="B577" s="2">
        <v>2634.94</v>
      </c>
    </row>
    <row r="578">
      <c r="A578" s="3">
        <v>42904.99861111111</v>
      </c>
      <c r="B578" s="2">
        <v>2515.25</v>
      </c>
    </row>
    <row r="579">
      <c r="A579" s="3">
        <v>42905.99861111111</v>
      </c>
      <c r="B579" s="2">
        <v>2596.98</v>
      </c>
    </row>
    <row r="580">
      <c r="A580" s="3">
        <v>42906.99861111111</v>
      </c>
      <c r="B580" s="2">
        <v>2725.08</v>
      </c>
    </row>
    <row r="581">
      <c r="A581" s="3">
        <v>42907.99861111111</v>
      </c>
      <c r="B581" s="2">
        <v>2643.35</v>
      </c>
    </row>
    <row r="582">
      <c r="A582" s="3">
        <v>42908.99861111111</v>
      </c>
      <c r="B582" s="2">
        <v>2679.99</v>
      </c>
    </row>
    <row r="583">
      <c r="A583" s="3">
        <v>42909.99861111111</v>
      </c>
      <c r="B583" s="2">
        <v>2690.76</v>
      </c>
    </row>
    <row r="584">
      <c r="A584" s="3">
        <v>42910.99861111111</v>
      </c>
      <c r="B584" s="2">
        <v>2574.84</v>
      </c>
    </row>
    <row r="585">
      <c r="A585" s="3">
        <v>42911.99861111111</v>
      </c>
      <c r="B585" s="2">
        <v>2505.61</v>
      </c>
    </row>
    <row r="586">
      <c r="A586" s="3">
        <v>42912.99861111111</v>
      </c>
      <c r="B586" s="2">
        <v>2407.91</v>
      </c>
    </row>
    <row r="587">
      <c r="A587" s="3">
        <v>42913.99861111111</v>
      </c>
      <c r="B587" s="2">
        <v>2575.75</v>
      </c>
    </row>
    <row r="588">
      <c r="A588" s="3">
        <v>42914.99861111111</v>
      </c>
      <c r="B588" s="2">
        <v>2553.12</v>
      </c>
    </row>
    <row r="589">
      <c r="A589" s="3">
        <v>42915.99861111111</v>
      </c>
      <c r="B589" s="2">
        <v>2530.0</v>
      </c>
    </row>
    <row r="590">
      <c r="A590" s="3">
        <v>42916.99861111111</v>
      </c>
      <c r="B590" s="2">
        <v>2455.19</v>
      </c>
    </row>
    <row r="591">
      <c r="A591" s="3">
        <v>42917.99861111111</v>
      </c>
      <c r="B591" s="2">
        <v>2423.63</v>
      </c>
    </row>
    <row r="592">
      <c r="A592" s="3">
        <v>42918.99861111111</v>
      </c>
      <c r="B592" s="2">
        <v>2516.66</v>
      </c>
    </row>
    <row r="593">
      <c r="A593" s="3">
        <v>42919.99861111111</v>
      </c>
      <c r="B593" s="2">
        <v>2542.41</v>
      </c>
    </row>
    <row r="594">
      <c r="A594" s="3">
        <v>42920.99861111111</v>
      </c>
      <c r="B594" s="2">
        <v>2602.0</v>
      </c>
    </row>
    <row r="595">
      <c r="A595" s="3">
        <v>42921.99861111111</v>
      </c>
      <c r="B595" s="2">
        <v>2616.96</v>
      </c>
    </row>
    <row r="596">
      <c r="A596" s="3">
        <v>42922.99861111111</v>
      </c>
      <c r="B596" s="2">
        <v>2604.84</v>
      </c>
    </row>
    <row r="597">
      <c r="A597" s="3">
        <v>42923.99861111111</v>
      </c>
      <c r="B597" s="2">
        <v>2501.15</v>
      </c>
    </row>
    <row r="598">
      <c r="A598" s="3">
        <v>42924.99861111111</v>
      </c>
      <c r="B598" s="2">
        <v>2561.11</v>
      </c>
    </row>
    <row r="599">
      <c r="A599" s="3">
        <v>42925.99861111111</v>
      </c>
      <c r="B599" s="2">
        <v>2508.99</v>
      </c>
    </row>
    <row r="600">
      <c r="A600" s="3">
        <v>42926.99861111111</v>
      </c>
      <c r="B600" s="2">
        <v>2331.05</v>
      </c>
    </row>
    <row r="601">
      <c r="A601" s="3">
        <v>42927.99861111111</v>
      </c>
      <c r="B601" s="2">
        <v>2310.01</v>
      </c>
    </row>
    <row r="602">
      <c r="A602" s="3">
        <v>42928.99861111111</v>
      </c>
      <c r="B602" s="2">
        <v>2383.42</v>
      </c>
    </row>
    <row r="603">
      <c r="A603" s="3">
        <v>42929.99861111111</v>
      </c>
      <c r="B603" s="2">
        <v>2340.0</v>
      </c>
    </row>
    <row r="604">
      <c r="A604" s="3">
        <v>42930.99861111111</v>
      </c>
      <c r="B604" s="2">
        <v>2217.24</v>
      </c>
    </row>
    <row r="605">
      <c r="A605" s="3">
        <v>42931.99861111111</v>
      </c>
      <c r="B605" s="2">
        <v>1964.31</v>
      </c>
    </row>
    <row r="606">
      <c r="A606" s="3">
        <v>42932.99861111111</v>
      </c>
      <c r="B606" s="2">
        <v>1911.78</v>
      </c>
    </row>
    <row r="607">
      <c r="A607" s="3">
        <v>42933.99861111111</v>
      </c>
      <c r="B607" s="2">
        <v>2235.19</v>
      </c>
    </row>
    <row r="608">
      <c r="A608" s="3">
        <v>42934.99861111111</v>
      </c>
      <c r="B608" s="2">
        <v>2308.15</v>
      </c>
    </row>
    <row r="609">
      <c r="A609" s="3">
        <v>42935.99861111111</v>
      </c>
      <c r="B609" s="2">
        <v>2258.99</v>
      </c>
    </row>
    <row r="610">
      <c r="A610" s="3">
        <v>42936.99861111111</v>
      </c>
      <c r="B610" s="2">
        <v>2873.48</v>
      </c>
    </row>
    <row r="611">
      <c r="A611" s="3">
        <v>42937.99861111111</v>
      </c>
      <c r="B611" s="2">
        <v>2657.45</v>
      </c>
    </row>
    <row r="612">
      <c r="A612" s="3">
        <v>42938.99861111111</v>
      </c>
      <c r="B612" s="2">
        <v>2825.27</v>
      </c>
    </row>
    <row r="613">
      <c r="A613" s="3">
        <v>42939.99861111111</v>
      </c>
      <c r="B613" s="2">
        <v>2754.28</v>
      </c>
    </row>
    <row r="614">
      <c r="A614" s="3">
        <v>42940.99861111111</v>
      </c>
      <c r="B614" s="2">
        <v>2762.26</v>
      </c>
    </row>
    <row r="615">
      <c r="A615" s="3">
        <v>42941.99861111111</v>
      </c>
      <c r="B615" s="2">
        <v>2564.0</v>
      </c>
    </row>
    <row r="616">
      <c r="A616" s="3">
        <v>42942.99861111111</v>
      </c>
      <c r="B616" s="2">
        <v>2525.99</v>
      </c>
    </row>
    <row r="617">
      <c r="A617" s="3">
        <v>42943.99861111111</v>
      </c>
      <c r="B617" s="2">
        <v>2664.99</v>
      </c>
    </row>
    <row r="618">
      <c r="A618" s="3">
        <v>42944.99861111111</v>
      </c>
      <c r="B618" s="2">
        <v>2786.07</v>
      </c>
    </row>
    <row r="619">
      <c r="A619" s="3">
        <v>42945.99861111111</v>
      </c>
      <c r="B619" s="2">
        <v>2700.21</v>
      </c>
    </row>
    <row r="620">
      <c r="A620" s="3">
        <v>42946.99861111111</v>
      </c>
      <c r="B620" s="2">
        <v>2723.99</v>
      </c>
    </row>
    <row r="621">
      <c r="A621" s="3">
        <v>42947.99861111111</v>
      </c>
      <c r="B621" s="2">
        <v>2856.88</v>
      </c>
    </row>
    <row r="622">
      <c r="A622" s="3">
        <v>42948.99861111111</v>
      </c>
      <c r="B622" s="2">
        <v>2732.59</v>
      </c>
    </row>
    <row r="623">
      <c r="A623" s="3">
        <v>42949.99861111111</v>
      </c>
      <c r="B623" s="2">
        <v>2699.9</v>
      </c>
    </row>
    <row r="624">
      <c r="A624" s="3">
        <v>42950.99861111111</v>
      </c>
      <c r="B624" s="2">
        <v>2787.02</v>
      </c>
    </row>
    <row r="625">
      <c r="A625" s="3">
        <v>42951.99861111111</v>
      </c>
      <c r="B625" s="2">
        <v>2857.34</v>
      </c>
    </row>
    <row r="626">
      <c r="A626" s="3">
        <v>42952.99861111111</v>
      </c>
      <c r="B626" s="2">
        <v>3243.49</v>
      </c>
    </row>
    <row r="627">
      <c r="A627" s="3">
        <v>42953.99861111111</v>
      </c>
      <c r="B627" s="2">
        <v>3222.22</v>
      </c>
    </row>
    <row r="628">
      <c r="A628" s="3">
        <v>42954.99861111111</v>
      </c>
      <c r="B628" s="2">
        <v>3398.23</v>
      </c>
    </row>
    <row r="629">
      <c r="A629" s="3">
        <v>42955.99861111111</v>
      </c>
      <c r="B629" s="2">
        <v>3422.43</v>
      </c>
    </row>
    <row r="630">
      <c r="A630" s="3">
        <v>42956.99861111111</v>
      </c>
      <c r="B630" s="2">
        <v>3342.8</v>
      </c>
    </row>
    <row r="631">
      <c r="A631" s="3">
        <v>42957.99861111111</v>
      </c>
      <c r="B631" s="2">
        <v>3444.98</v>
      </c>
    </row>
    <row r="632">
      <c r="A632" s="3">
        <v>42958.99861111111</v>
      </c>
      <c r="B632" s="2">
        <v>3656.15</v>
      </c>
    </row>
    <row r="633">
      <c r="A633" s="3">
        <v>42959.99861111111</v>
      </c>
      <c r="B633" s="2">
        <v>3874.0</v>
      </c>
    </row>
    <row r="634">
      <c r="A634" s="3">
        <v>42960.99861111111</v>
      </c>
      <c r="B634" s="2">
        <v>4060.47</v>
      </c>
    </row>
    <row r="635">
      <c r="A635" s="3">
        <v>42961.99861111111</v>
      </c>
      <c r="B635" s="2">
        <v>4320.6</v>
      </c>
    </row>
    <row r="636">
      <c r="A636" s="3">
        <v>42962.99861111111</v>
      </c>
      <c r="B636" s="2">
        <v>4159.93</v>
      </c>
    </row>
    <row r="637">
      <c r="A637" s="3">
        <v>42963.99861111111</v>
      </c>
      <c r="B637" s="2">
        <v>4370.01</v>
      </c>
    </row>
    <row r="638">
      <c r="A638" s="3">
        <v>42964.99861111111</v>
      </c>
      <c r="B638" s="2">
        <v>4280.01</v>
      </c>
    </row>
    <row r="639">
      <c r="A639" s="3">
        <v>42965.99861111111</v>
      </c>
      <c r="B639" s="2">
        <v>4101.72</v>
      </c>
    </row>
    <row r="640">
      <c r="A640" s="3">
        <v>42966.99861111111</v>
      </c>
      <c r="B640" s="2">
        <v>4157.41</v>
      </c>
    </row>
    <row r="641">
      <c r="A641" s="3">
        <v>42967.99861111111</v>
      </c>
      <c r="B641" s="2">
        <v>4050.99</v>
      </c>
    </row>
    <row r="642">
      <c r="A642" s="3">
        <v>42968.99861111111</v>
      </c>
      <c r="B642" s="2">
        <v>4002.0</v>
      </c>
    </row>
    <row r="643">
      <c r="A643" s="3">
        <v>42969.99861111111</v>
      </c>
      <c r="B643" s="2">
        <v>4092.0</v>
      </c>
    </row>
    <row r="644">
      <c r="A644" s="3">
        <v>42970.99861111111</v>
      </c>
      <c r="B644" s="2">
        <v>4143.49</v>
      </c>
    </row>
    <row r="645">
      <c r="A645" s="3">
        <v>42971.99861111111</v>
      </c>
      <c r="B645" s="2">
        <v>4312.03</v>
      </c>
    </row>
    <row r="646">
      <c r="A646" s="3">
        <v>42972.99861111111</v>
      </c>
      <c r="B646" s="2">
        <v>4360.0</v>
      </c>
    </row>
    <row r="647">
      <c r="A647" s="3">
        <v>42973.99861111111</v>
      </c>
      <c r="B647" s="2">
        <v>4344.32</v>
      </c>
    </row>
    <row r="648">
      <c r="A648" s="3">
        <v>42974.99861111111</v>
      </c>
      <c r="B648" s="2">
        <v>4340.11</v>
      </c>
    </row>
    <row r="649">
      <c r="A649" s="3">
        <v>42975.99861111111</v>
      </c>
      <c r="B649" s="2">
        <v>4384.99</v>
      </c>
    </row>
    <row r="650">
      <c r="A650" s="3">
        <v>42976.99861111111</v>
      </c>
      <c r="B650" s="2">
        <v>4599.0</v>
      </c>
    </row>
    <row r="651">
      <c r="A651" s="3">
        <v>42977.99861111111</v>
      </c>
      <c r="B651" s="2">
        <v>4581.98</v>
      </c>
    </row>
    <row r="652">
      <c r="A652" s="3">
        <v>42978.99861111111</v>
      </c>
      <c r="B652" s="2">
        <v>4743.94</v>
      </c>
    </row>
    <row r="653">
      <c r="A653" s="3">
        <v>42979.99861111111</v>
      </c>
      <c r="B653" s="2">
        <v>4947.99</v>
      </c>
    </row>
    <row r="654">
      <c r="A654" s="3">
        <v>42980.99861111111</v>
      </c>
      <c r="B654" s="2">
        <v>4649.99</v>
      </c>
    </row>
    <row r="655">
      <c r="A655" s="3">
        <v>42981.99861111111</v>
      </c>
      <c r="B655" s="2">
        <v>4626.05</v>
      </c>
    </row>
    <row r="656">
      <c r="A656" s="3">
        <v>42982.99861111111</v>
      </c>
      <c r="B656" s="2">
        <v>4498.25</v>
      </c>
    </row>
    <row r="657">
      <c r="A657" s="3">
        <v>42983.99861111111</v>
      </c>
      <c r="B657" s="2">
        <v>4432.51</v>
      </c>
    </row>
    <row r="658">
      <c r="A658" s="3">
        <v>42984.99861111111</v>
      </c>
      <c r="B658" s="2">
        <v>4616.18</v>
      </c>
    </row>
    <row r="659">
      <c r="A659" s="3">
        <v>42985.99861111111</v>
      </c>
      <c r="B659" s="2">
        <v>4624.18</v>
      </c>
    </row>
    <row r="660">
      <c r="A660" s="3">
        <v>42986.99861111111</v>
      </c>
      <c r="B660" s="2">
        <v>4350.0</v>
      </c>
    </row>
    <row r="661">
      <c r="A661" s="3">
        <v>42987.99861111111</v>
      </c>
      <c r="B661" s="2">
        <v>4334.36</v>
      </c>
    </row>
    <row r="662">
      <c r="A662" s="3">
        <v>42988.99861111111</v>
      </c>
      <c r="B662" s="2">
        <v>4251.36</v>
      </c>
    </row>
    <row r="663">
      <c r="A663" s="3">
        <v>42989.99861111111</v>
      </c>
      <c r="B663" s="2">
        <v>4210.72</v>
      </c>
    </row>
    <row r="664">
      <c r="A664" s="3">
        <v>42990.99861111111</v>
      </c>
      <c r="B664" s="2">
        <v>4164.52</v>
      </c>
    </row>
    <row r="665">
      <c r="A665" s="3">
        <v>42991.99861111111</v>
      </c>
      <c r="B665" s="2">
        <v>3855.32</v>
      </c>
    </row>
    <row r="666">
      <c r="A666" s="3">
        <v>42992.99861111111</v>
      </c>
      <c r="B666" s="2">
        <v>3250.4</v>
      </c>
    </row>
    <row r="667">
      <c r="A667" s="3">
        <v>42993.99861111111</v>
      </c>
      <c r="B667" s="2">
        <v>3740.02</v>
      </c>
    </row>
    <row r="668">
      <c r="A668" s="3">
        <v>42994.99861111111</v>
      </c>
      <c r="B668" s="2">
        <v>3726.51</v>
      </c>
    </row>
    <row r="669">
      <c r="A669" s="3">
        <v>42995.99861111111</v>
      </c>
      <c r="B669" s="2">
        <v>3719.97</v>
      </c>
    </row>
    <row r="670">
      <c r="A670" s="3">
        <v>42996.99861111111</v>
      </c>
      <c r="B670" s="2">
        <v>4100.0</v>
      </c>
    </row>
    <row r="671">
      <c r="A671" s="3">
        <v>42997.99861111111</v>
      </c>
      <c r="B671" s="2">
        <v>3910.11</v>
      </c>
    </row>
    <row r="672">
      <c r="A672" s="3">
        <v>42998.99861111111</v>
      </c>
      <c r="B672" s="2">
        <v>3872.06</v>
      </c>
    </row>
    <row r="673">
      <c r="A673" s="3">
        <v>42999.99861111111</v>
      </c>
      <c r="B673" s="2">
        <v>3617.47</v>
      </c>
    </row>
    <row r="674">
      <c r="A674" s="3">
        <v>43000.99861111111</v>
      </c>
      <c r="B674" s="2">
        <v>3619.01</v>
      </c>
    </row>
    <row r="675">
      <c r="A675" s="3">
        <v>43001.99861111111</v>
      </c>
      <c r="B675" s="2">
        <v>3787.33</v>
      </c>
    </row>
    <row r="676">
      <c r="A676" s="3">
        <v>43002.99861111111</v>
      </c>
      <c r="B676" s="2">
        <v>3669.01</v>
      </c>
    </row>
    <row r="677">
      <c r="A677" s="3">
        <v>43003.99861111111</v>
      </c>
      <c r="B677" s="2">
        <v>3919.78</v>
      </c>
    </row>
    <row r="678">
      <c r="A678" s="3">
        <v>43004.99861111111</v>
      </c>
      <c r="B678" s="2">
        <v>3885.09</v>
      </c>
    </row>
    <row r="679">
      <c r="A679" s="3">
        <v>43005.99861111111</v>
      </c>
      <c r="B679" s="2">
        <v>4200.0</v>
      </c>
    </row>
    <row r="680">
      <c r="A680" s="3">
        <v>43006.99861111111</v>
      </c>
      <c r="B680" s="2">
        <v>4189.42</v>
      </c>
    </row>
    <row r="681">
      <c r="A681" s="3">
        <v>43007.99861111111</v>
      </c>
      <c r="B681" s="2">
        <v>4156.99</v>
      </c>
    </row>
    <row r="682">
      <c r="A682" s="3">
        <v>43008.99861111111</v>
      </c>
      <c r="B682" s="2">
        <v>4339.0</v>
      </c>
    </row>
    <row r="683">
      <c r="A683" s="3">
        <v>43009.99861111111</v>
      </c>
      <c r="B683" s="2">
        <v>4394.81</v>
      </c>
    </row>
    <row r="684">
      <c r="A684" s="3">
        <v>43010.99861111111</v>
      </c>
      <c r="B684" s="2">
        <v>4392.71</v>
      </c>
    </row>
    <row r="685">
      <c r="A685" s="3">
        <v>43011.99861111111</v>
      </c>
      <c r="B685" s="2">
        <v>4307.99</v>
      </c>
    </row>
    <row r="686">
      <c r="A686" s="3">
        <v>43012.99861111111</v>
      </c>
      <c r="B686" s="2">
        <v>4214.84</v>
      </c>
    </row>
    <row r="687">
      <c r="A687" s="3">
        <v>43013.99861111111</v>
      </c>
      <c r="B687" s="2">
        <v>4320.04</v>
      </c>
    </row>
    <row r="688">
      <c r="A688" s="3">
        <v>43014.99861111111</v>
      </c>
      <c r="B688" s="2">
        <v>4362.99</v>
      </c>
    </row>
    <row r="689">
      <c r="A689" s="3">
        <v>43015.99861111111</v>
      </c>
      <c r="B689" s="2">
        <v>4425.0</v>
      </c>
    </row>
    <row r="690">
      <c r="A690" s="3">
        <v>43016.99861111111</v>
      </c>
      <c r="B690" s="2">
        <v>4603.49</v>
      </c>
    </row>
    <row r="691">
      <c r="A691" s="3">
        <v>43017.99861111111</v>
      </c>
      <c r="B691" s="2">
        <v>4769.55</v>
      </c>
    </row>
    <row r="692">
      <c r="A692" s="3">
        <v>43018.99861111111</v>
      </c>
      <c r="B692" s="2">
        <v>4750.0</v>
      </c>
    </row>
    <row r="693">
      <c r="A693" s="3">
        <v>43019.99861111111</v>
      </c>
      <c r="B693" s="2">
        <v>4814.99</v>
      </c>
    </row>
    <row r="694">
      <c r="A694" s="3">
        <v>43020.99861111111</v>
      </c>
      <c r="B694" s="2">
        <v>5440.0</v>
      </c>
    </row>
    <row r="695">
      <c r="A695" s="3">
        <v>43021.99861111111</v>
      </c>
      <c r="B695" s="2">
        <v>5624.8</v>
      </c>
    </row>
    <row r="696">
      <c r="A696" s="3">
        <v>43022.99861111111</v>
      </c>
      <c r="B696" s="2">
        <v>5819.13</v>
      </c>
    </row>
    <row r="697">
      <c r="A697" s="3">
        <v>43023.99861111111</v>
      </c>
      <c r="B697" s="2">
        <v>5693.7</v>
      </c>
    </row>
    <row r="698">
      <c r="A698" s="3">
        <v>43024.99861111111</v>
      </c>
      <c r="B698" s="2">
        <v>5754.9</v>
      </c>
    </row>
    <row r="699">
      <c r="A699" s="3">
        <v>43025.99861111111</v>
      </c>
      <c r="B699" s="2">
        <v>5594.0</v>
      </c>
    </row>
    <row r="700">
      <c r="A700" s="3">
        <v>43026.99861111111</v>
      </c>
      <c r="B700" s="2">
        <v>5574.44</v>
      </c>
    </row>
    <row r="701">
      <c r="A701" s="3">
        <v>43027.99861111111</v>
      </c>
      <c r="B701" s="2">
        <v>5704.01</v>
      </c>
    </row>
    <row r="702">
      <c r="A702" s="3">
        <v>43028.99861111111</v>
      </c>
      <c r="B702" s="2">
        <v>5989.1</v>
      </c>
    </row>
    <row r="703">
      <c r="A703" s="3">
        <v>43029.99861111111</v>
      </c>
      <c r="B703" s="2">
        <v>6024.86</v>
      </c>
    </row>
    <row r="704">
      <c r="A704" s="3">
        <v>43030.99861111111</v>
      </c>
      <c r="B704" s="2">
        <v>6005.05</v>
      </c>
    </row>
    <row r="705">
      <c r="A705" s="3">
        <v>43031.99861111111</v>
      </c>
      <c r="B705" s="2">
        <v>5905.99</v>
      </c>
    </row>
    <row r="706">
      <c r="A706" s="3">
        <v>43032.99861111111</v>
      </c>
      <c r="B706" s="2">
        <v>5525.43</v>
      </c>
    </row>
    <row r="707">
      <c r="A707" s="3">
        <v>43033.99861111111</v>
      </c>
      <c r="B707" s="2">
        <v>5739.97</v>
      </c>
    </row>
    <row r="708">
      <c r="A708" s="3">
        <v>43034.99861111111</v>
      </c>
      <c r="B708" s="2">
        <v>5891.61</v>
      </c>
    </row>
    <row r="709">
      <c r="A709" s="3">
        <v>43035.99861111111</v>
      </c>
      <c r="B709" s="2">
        <v>5780.0</v>
      </c>
    </row>
    <row r="710">
      <c r="A710" s="3">
        <v>43036.99861111111</v>
      </c>
      <c r="B710" s="2">
        <v>5752.01</v>
      </c>
    </row>
    <row r="711">
      <c r="A711" s="3">
        <v>43037.99861111111</v>
      </c>
      <c r="B711" s="2">
        <v>6140.01</v>
      </c>
    </row>
    <row r="712">
      <c r="A712" s="3">
        <v>43038.99861111111</v>
      </c>
      <c r="B712" s="2">
        <v>6124.16</v>
      </c>
    </row>
    <row r="713">
      <c r="A713" s="3">
        <v>43039.99861111111</v>
      </c>
      <c r="B713" s="2">
        <v>6445.01</v>
      </c>
    </row>
    <row r="714">
      <c r="A714" s="3">
        <v>43040.99861111111</v>
      </c>
      <c r="B714" s="2">
        <v>6783.69</v>
      </c>
    </row>
    <row r="715">
      <c r="A715" s="3">
        <v>43041.99861111111</v>
      </c>
      <c r="B715" s="2">
        <v>7039.98</v>
      </c>
    </row>
    <row r="716">
      <c r="A716" s="3">
        <v>43042.99861111111</v>
      </c>
      <c r="B716" s="2">
        <v>7170.01</v>
      </c>
    </row>
    <row r="717">
      <c r="A717" s="3">
        <v>43043.99861111111</v>
      </c>
      <c r="B717" s="2">
        <v>7412.55</v>
      </c>
    </row>
    <row r="718">
      <c r="A718" s="3">
        <v>43044.99861111111</v>
      </c>
      <c r="B718" s="2">
        <v>7392.0</v>
      </c>
    </row>
    <row r="719">
      <c r="A719" s="3">
        <v>43045.99861111111</v>
      </c>
      <c r="B719" s="2">
        <v>6969.76</v>
      </c>
    </row>
    <row r="720">
      <c r="A720" s="3">
        <v>43046.99861111111</v>
      </c>
      <c r="B720" s="2">
        <v>7126.63</v>
      </c>
    </row>
    <row r="721">
      <c r="A721" s="3">
        <v>43047.99861111111</v>
      </c>
      <c r="B721" s="2">
        <v>7467.96</v>
      </c>
    </row>
    <row r="722">
      <c r="A722" s="3">
        <v>43048.99861111111</v>
      </c>
      <c r="B722" s="2">
        <v>7156.0</v>
      </c>
    </row>
    <row r="723">
      <c r="A723" s="3">
        <v>43049.99861111111</v>
      </c>
      <c r="B723" s="2">
        <v>6577.62</v>
      </c>
    </row>
    <row r="724">
      <c r="A724" s="3">
        <v>43050.99861111111</v>
      </c>
      <c r="B724" s="2">
        <v>6346.7</v>
      </c>
    </row>
    <row r="725">
      <c r="A725" s="3">
        <v>43051.99861111111</v>
      </c>
      <c r="B725" s="2">
        <v>5886.35</v>
      </c>
    </row>
    <row r="726">
      <c r="A726" s="3">
        <v>43052.99861111111</v>
      </c>
      <c r="B726" s="2">
        <v>6535.87</v>
      </c>
    </row>
    <row r="727">
      <c r="A727" s="3">
        <v>43053.99861111111</v>
      </c>
      <c r="B727" s="2">
        <v>6605.0</v>
      </c>
    </row>
    <row r="728">
      <c r="A728" s="3">
        <v>43054.99861111111</v>
      </c>
      <c r="B728" s="2">
        <v>7294.0</v>
      </c>
    </row>
    <row r="729">
      <c r="A729" s="3">
        <v>43055.99861111111</v>
      </c>
      <c r="B729" s="2">
        <v>7838.53</v>
      </c>
    </row>
    <row r="730">
      <c r="A730" s="3">
        <v>43056.99861111111</v>
      </c>
      <c r="B730" s="2">
        <v>7714.71</v>
      </c>
    </row>
    <row r="731">
      <c r="A731" s="3">
        <v>43057.99861111111</v>
      </c>
      <c r="B731" s="2">
        <v>7777.01</v>
      </c>
    </row>
    <row r="732">
      <c r="A732" s="3">
        <v>43058.99861111111</v>
      </c>
      <c r="B732" s="2">
        <v>8031.82</v>
      </c>
    </row>
    <row r="733">
      <c r="A733" s="3">
        <v>43059.99861111111</v>
      </c>
      <c r="B733" s="2">
        <v>8256.01</v>
      </c>
    </row>
    <row r="734">
      <c r="A734" s="3">
        <v>43060.99861111111</v>
      </c>
      <c r="B734" s="2">
        <v>8109.0</v>
      </c>
    </row>
    <row r="735">
      <c r="A735" s="3">
        <v>43061.99861111111</v>
      </c>
      <c r="B735" s="2">
        <v>8250.0</v>
      </c>
    </row>
    <row r="736">
      <c r="A736" s="3">
        <v>43062.99861111111</v>
      </c>
      <c r="B736" s="2">
        <v>8031.16</v>
      </c>
    </row>
    <row r="737">
      <c r="A737" s="3">
        <v>43063.99861111111</v>
      </c>
      <c r="B737" s="2">
        <v>8215.01</v>
      </c>
    </row>
    <row r="738">
      <c r="A738" s="3">
        <v>43064.99861111111</v>
      </c>
      <c r="B738" s="2">
        <v>8795.5</v>
      </c>
    </row>
    <row r="739">
      <c r="A739" s="3">
        <v>43065.99861111111</v>
      </c>
      <c r="B739" s="2">
        <v>9401.11</v>
      </c>
    </row>
    <row r="740">
      <c r="A740" s="3">
        <v>43066.99861111111</v>
      </c>
      <c r="B740" s="2">
        <v>9768.71</v>
      </c>
    </row>
    <row r="741">
      <c r="A741" s="3">
        <v>43067.99861111111</v>
      </c>
      <c r="B741" s="2">
        <v>9949.0</v>
      </c>
    </row>
    <row r="742">
      <c r="A742" s="3">
        <v>43068.99861111111</v>
      </c>
      <c r="B742" s="2">
        <v>9935.98</v>
      </c>
    </row>
    <row r="743">
      <c r="A743" s="3">
        <v>43069.99861111111</v>
      </c>
      <c r="B743" s="2">
        <v>9903.0</v>
      </c>
    </row>
    <row r="744">
      <c r="A744" s="3">
        <v>43070.99861111111</v>
      </c>
      <c r="B744" s="2">
        <v>10869.84</v>
      </c>
    </row>
    <row r="745">
      <c r="A745" s="3">
        <v>43071.99861111111</v>
      </c>
      <c r="B745" s="2">
        <v>10930.24</v>
      </c>
    </row>
    <row r="746">
      <c r="A746" s="3">
        <v>43072.99861111111</v>
      </c>
      <c r="B746" s="2">
        <v>11290.0</v>
      </c>
    </row>
    <row r="747">
      <c r="A747" s="3">
        <v>43073.99861111111</v>
      </c>
      <c r="B747" s="2">
        <v>11643.98</v>
      </c>
    </row>
    <row r="748">
      <c r="A748" s="3">
        <v>43074.99861111111</v>
      </c>
      <c r="B748" s="2">
        <v>11718.35</v>
      </c>
    </row>
    <row r="749">
      <c r="A749" s="3">
        <v>43075.99861111111</v>
      </c>
      <c r="B749" s="2">
        <v>14090.0</v>
      </c>
    </row>
    <row r="750">
      <c r="A750" s="3">
        <v>43076.99861111111</v>
      </c>
      <c r="B750" s="2">
        <v>17390.01</v>
      </c>
    </row>
    <row r="751">
      <c r="A751" s="3">
        <v>43077.99861111111</v>
      </c>
      <c r="B751" s="2">
        <v>16367.03</v>
      </c>
    </row>
    <row r="752">
      <c r="A752" s="3">
        <v>43078.99861111111</v>
      </c>
      <c r="B752" s="2">
        <v>15309.98</v>
      </c>
    </row>
    <row r="753">
      <c r="A753" s="3">
        <v>43079.99861111111</v>
      </c>
      <c r="B753" s="2">
        <v>15290.01</v>
      </c>
    </row>
    <row r="754">
      <c r="A754" s="3">
        <v>43080.99861111111</v>
      </c>
      <c r="B754" s="2">
        <v>16885.76</v>
      </c>
    </row>
    <row r="755">
      <c r="A755" s="3">
        <v>43081.99861111111</v>
      </c>
      <c r="B755" s="2">
        <v>17730.12</v>
      </c>
    </row>
    <row r="756">
      <c r="A756" s="3">
        <v>43082.99861111111</v>
      </c>
      <c r="B756" s="2">
        <v>16689.61</v>
      </c>
    </row>
    <row r="757">
      <c r="A757" s="3">
        <v>43083.99861111111</v>
      </c>
      <c r="B757" s="2">
        <v>16749.78</v>
      </c>
    </row>
    <row r="758">
      <c r="A758" s="3">
        <v>43084.99861111111</v>
      </c>
      <c r="B758" s="2">
        <v>17738.67</v>
      </c>
    </row>
    <row r="759">
      <c r="A759" s="3">
        <v>43085.99861111111</v>
      </c>
      <c r="B759" s="2">
        <v>19650.01</v>
      </c>
    </row>
    <row r="760">
      <c r="A760" s="3">
        <v>43086.99861111111</v>
      </c>
      <c r="B760" s="2">
        <v>19378.99</v>
      </c>
    </row>
    <row r="761">
      <c r="A761" s="3">
        <v>43087.99861111111</v>
      </c>
      <c r="B761" s="2">
        <v>19039.01</v>
      </c>
    </row>
    <row r="762">
      <c r="A762" s="3">
        <v>43088.99861111111</v>
      </c>
      <c r="B762" s="2">
        <v>17838.73</v>
      </c>
    </row>
    <row r="763">
      <c r="A763" s="3">
        <v>43089.99861111111</v>
      </c>
      <c r="B763" s="2">
        <v>16496.89</v>
      </c>
    </row>
    <row r="764">
      <c r="A764" s="3">
        <v>43090.99861111111</v>
      </c>
      <c r="B764" s="2">
        <v>15758.8</v>
      </c>
    </row>
    <row r="765">
      <c r="A765" s="3">
        <v>43091.99861111111</v>
      </c>
      <c r="B765" s="2">
        <v>14210.57</v>
      </c>
    </row>
    <row r="766">
      <c r="A766" s="3">
        <v>43092.99861111111</v>
      </c>
      <c r="B766" s="2">
        <v>15075.89</v>
      </c>
    </row>
    <row r="767">
      <c r="A767" s="3">
        <v>43093.99861111111</v>
      </c>
      <c r="B767" s="2">
        <v>14221.94</v>
      </c>
    </row>
    <row r="768">
      <c r="A768" s="3">
        <v>43094.99861111111</v>
      </c>
      <c r="B768" s="2">
        <v>14171.98</v>
      </c>
    </row>
    <row r="769">
      <c r="A769" s="3">
        <v>43095.99861111111</v>
      </c>
      <c r="B769" s="2">
        <v>15790.88</v>
      </c>
    </row>
    <row r="770">
      <c r="A770" s="3">
        <v>43096.99861111111</v>
      </c>
      <c r="B770" s="2">
        <v>15367.08</v>
      </c>
    </row>
    <row r="771">
      <c r="A771" s="3">
        <v>43097.99861111111</v>
      </c>
      <c r="B771" s="2">
        <v>14450.01</v>
      </c>
    </row>
    <row r="772">
      <c r="A772" s="3">
        <v>43098.99861111111</v>
      </c>
      <c r="B772" s="2">
        <v>14565.05</v>
      </c>
    </row>
    <row r="773">
      <c r="A773" s="3">
        <v>43099.99861111111</v>
      </c>
      <c r="B773" s="2">
        <v>12839.99</v>
      </c>
    </row>
    <row r="774">
      <c r="A774" s="3">
        <v>43100.99861111111</v>
      </c>
      <c r="B774" s="2">
        <v>13863.13</v>
      </c>
    </row>
    <row r="775">
      <c r="A775" s="3">
        <v>43101.99861111111</v>
      </c>
      <c r="B775" s="2">
        <v>13480.01</v>
      </c>
    </row>
    <row r="776">
      <c r="A776" s="3">
        <v>43102.99861111111</v>
      </c>
      <c r="B776" s="2">
        <v>14781.51</v>
      </c>
    </row>
    <row r="777">
      <c r="A777" s="3">
        <v>43103.99861111111</v>
      </c>
      <c r="B777" s="2">
        <v>15098.14</v>
      </c>
    </row>
    <row r="778">
      <c r="A778" s="3">
        <v>43104.99861111111</v>
      </c>
      <c r="B778" s="2">
        <v>15144.99</v>
      </c>
    </row>
    <row r="779">
      <c r="A779" s="3">
        <v>43105.99861111111</v>
      </c>
      <c r="B779" s="2">
        <v>16960.01</v>
      </c>
    </row>
    <row r="780">
      <c r="A780" s="3">
        <v>43106.99861111111</v>
      </c>
      <c r="B780" s="2">
        <v>17098.99</v>
      </c>
    </row>
    <row r="781">
      <c r="A781" s="3">
        <v>43107.99861111111</v>
      </c>
      <c r="B781" s="2">
        <v>16174.22</v>
      </c>
    </row>
    <row r="782">
      <c r="A782" s="3">
        <v>43108.99861111111</v>
      </c>
      <c r="B782" s="2">
        <v>14993.74</v>
      </c>
    </row>
    <row r="783">
      <c r="A783" s="3">
        <v>43109.99861111111</v>
      </c>
      <c r="B783" s="2">
        <v>14480.99</v>
      </c>
    </row>
    <row r="784">
      <c r="A784" s="3">
        <v>43110.99861111111</v>
      </c>
      <c r="B784" s="2">
        <v>14875.18</v>
      </c>
    </row>
    <row r="785">
      <c r="A785" s="3">
        <v>43111.99861111111</v>
      </c>
      <c r="B785" s="2">
        <v>13308.06</v>
      </c>
    </row>
    <row r="786">
      <c r="A786" s="3">
        <v>43112.99861111111</v>
      </c>
      <c r="B786" s="2">
        <v>13820.0</v>
      </c>
    </row>
    <row r="787">
      <c r="A787" s="3">
        <v>43113.99861111111</v>
      </c>
      <c r="B787" s="2">
        <v>14187.95</v>
      </c>
    </row>
    <row r="788">
      <c r="A788" s="3">
        <v>43114.99861111111</v>
      </c>
      <c r="B788" s="2">
        <v>13656.23</v>
      </c>
    </row>
    <row r="789">
      <c r="A789" s="3">
        <v>43115.99861111111</v>
      </c>
      <c r="B789" s="2">
        <v>13590.0</v>
      </c>
    </row>
    <row r="790">
      <c r="A790" s="3">
        <v>43116.99861111111</v>
      </c>
      <c r="B790" s="2">
        <v>11570.01</v>
      </c>
    </row>
    <row r="791">
      <c r="A791" s="3">
        <v>43117.99861111111</v>
      </c>
      <c r="B791" s="2">
        <v>11200.01</v>
      </c>
    </row>
    <row r="792">
      <c r="A792" s="3">
        <v>43118.99861111111</v>
      </c>
      <c r="B792" s="2">
        <v>11305.53</v>
      </c>
    </row>
    <row r="793">
      <c r="A793" s="3">
        <v>43119.99861111111</v>
      </c>
      <c r="B793" s="2">
        <v>11498.99</v>
      </c>
    </row>
    <row r="794">
      <c r="A794" s="3">
        <v>43120.99861111111</v>
      </c>
      <c r="B794" s="2">
        <v>12762.8</v>
      </c>
    </row>
    <row r="795">
      <c r="A795" s="3">
        <v>43121.99861111111</v>
      </c>
      <c r="B795" s="2">
        <v>11518.17</v>
      </c>
    </row>
    <row r="796">
      <c r="A796" s="3">
        <v>43122.99861111111</v>
      </c>
      <c r="B796" s="2">
        <v>10766.7</v>
      </c>
    </row>
    <row r="797">
      <c r="A797" s="3">
        <v>43123.99861111111</v>
      </c>
      <c r="B797" s="2">
        <v>10824.94</v>
      </c>
    </row>
    <row r="798">
      <c r="A798" s="3">
        <v>43124.99861111111</v>
      </c>
      <c r="B798" s="2">
        <v>11356.79</v>
      </c>
    </row>
    <row r="799">
      <c r="A799" s="3">
        <v>43125.99861111111</v>
      </c>
      <c r="B799" s="2">
        <v>11118.0</v>
      </c>
    </row>
    <row r="800">
      <c r="A800" s="3">
        <v>43126.99861111111</v>
      </c>
      <c r="B800" s="2">
        <v>11086.89</v>
      </c>
    </row>
    <row r="801">
      <c r="A801" s="3">
        <v>43127.99861111111</v>
      </c>
      <c r="B801" s="2">
        <v>11319.0</v>
      </c>
    </row>
    <row r="802">
      <c r="A802" s="3">
        <v>43128.99861111111</v>
      </c>
      <c r="B802" s="2">
        <v>11536.0</v>
      </c>
    </row>
    <row r="803">
      <c r="A803" s="3">
        <v>43129.99861111111</v>
      </c>
      <c r="B803" s="2">
        <v>11123.01</v>
      </c>
    </row>
    <row r="804">
      <c r="A804" s="3">
        <v>43130.99861111111</v>
      </c>
      <c r="B804" s="2">
        <v>9995.0</v>
      </c>
    </row>
    <row r="805">
      <c r="A805" s="3">
        <v>43131.99861111111</v>
      </c>
      <c r="B805" s="2">
        <v>10099.99</v>
      </c>
    </row>
    <row r="806">
      <c r="A806" s="3">
        <v>43132.99861111111</v>
      </c>
      <c r="B806" s="2">
        <v>9014.23</v>
      </c>
    </row>
    <row r="807">
      <c r="A807" s="3">
        <v>43133.99861111111</v>
      </c>
      <c r="B807" s="2">
        <v>8787.52</v>
      </c>
    </row>
    <row r="808">
      <c r="A808" s="3">
        <v>43134.99861111111</v>
      </c>
      <c r="B808" s="2">
        <v>9240.0</v>
      </c>
    </row>
    <row r="809">
      <c r="A809" s="3">
        <v>43135.99861111111</v>
      </c>
      <c r="B809" s="2">
        <v>8167.91</v>
      </c>
    </row>
    <row r="810">
      <c r="A810" s="3">
        <v>43136.99861111111</v>
      </c>
      <c r="B810" s="2">
        <v>6905.19</v>
      </c>
    </row>
    <row r="811">
      <c r="A811" s="3">
        <v>43137.99861111111</v>
      </c>
      <c r="B811" s="2">
        <v>7688.46</v>
      </c>
    </row>
    <row r="812">
      <c r="A812" s="3">
        <v>43138.99861111111</v>
      </c>
      <c r="B812" s="2">
        <v>7575.75</v>
      </c>
    </row>
    <row r="813">
      <c r="A813" s="3">
        <v>43139.99861111111</v>
      </c>
      <c r="B813" s="2">
        <v>8218.1</v>
      </c>
    </row>
    <row r="814">
      <c r="A814" s="3">
        <v>43140.99861111111</v>
      </c>
      <c r="B814" s="2">
        <v>8671.01</v>
      </c>
    </row>
    <row r="815">
      <c r="A815" s="3">
        <v>43141.99861111111</v>
      </c>
      <c r="B815" s="2">
        <v>8547.49</v>
      </c>
    </row>
    <row r="816">
      <c r="A816" s="3">
        <v>43142.99861111111</v>
      </c>
      <c r="B816" s="2">
        <v>8072.99</v>
      </c>
    </row>
    <row r="817">
      <c r="A817" s="3">
        <v>43143.99861111111</v>
      </c>
      <c r="B817" s="2">
        <v>8872.28</v>
      </c>
    </row>
    <row r="818">
      <c r="A818" s="3">
        <v>43144.99861111111</v>
      </c>
      <c r="B818" s="2">
        <v>8520.01</v>
      </c>
    </row>
    <row r="819">
      <c r="A819" s="3">
        <v>43145.99861111111</v>
      </c>
      <c r="B819" s="2">
        <v>9472.98</v>
      </c>
    </row>
    <row r="820">
      <c r="A820" s="3">
        <v>43146.99861111111</v>
      </c>
      <c r="B820" s="2">
        <v>10031.23</v>
      </c>
    </row>
    <row r="821">
      <c r="A821" s="3">
        <v>43147.99861111111</v>
      </c>
      <c r="B821" s="2">
        <v>10167.49</v>
      </c>
    </row>
    <row r="822">
      <c r="A822" s="3">
        <v>43148.99861111111</v>
      </c>
      <c r="B822" s="2">
        <v>11121.5</v>
      </c>
    </row>
    <row r="823">
      <c r="A823" s="3">
        <v>43149.99861111111</v>
      </c>
      <c r="B823" s="2">
        <v>10380.04</v>
      </c>
    </row>
    <row r="824">
      <c r="A824" s="3">
        <v>43150.99861111111</v>
      </c>
      <c r="B824" s="2">
        <v>11140.0</v>
      </c>
    </row>
    <row r="825">
      <c r="A825" s="3">
        <v>43151.99861111111</v>
      </c>
      <c r="B825" s="2">
        <v>11235.57</v>
      </c>
    </row>
    <row r="826">
      <c r="A826" s="3">
        <v>43152.99861111111</v>
      </c>
      <c r="B826" s="2">
        <v>10454.27</v>
      </c>
    </row>
    <row r="827">
      <c r="A827" s="3">
        <v>43153.99861111111</v>
      </c>
      <c r="B827" s="2">
        <v>9830.0</v>
      </c>
    </row>
    <row r="828">
      <c r="A828" s="3">
        <v>43154.99861111111</v>
      </c>
      <c r="B828" s="2">
        <v>10144.99</v>
      </c>
    </row>
    <row r="829">
      <c r="A829" s="3">
        <v>43155.99861111111</v>
      </c>
      <c r="B829" s="2">
        <v>9688.62</v>
      </c>
    </row>
    <row r="830">
      <c r="A830" s="3">
        <v>43156.99861111111</v>
      </c>
      <c r="B830" s="2">
        <v>9597.99</v>
      </c>
    </row>
    <row r="831">
      <c r="A831" s="3">
        <v>43157.99861111111</v>
      </c>
      <c r="B831" s="2">
        <v>10300.0</v>
      </c>
    </row>
    <row r="832">
      <c r="A832" s="3">
        <v>43158.99861111111</v>
      </c>
      <c r="B832" s="2">
        <v>10566.57</v>
      </c>
    </row>
    <row r="833">
      <c r="A833" s="3">
        <v>43159.99861111111</v>
      </c>
      <c r="B833" s="2">
        <v>10307.27</v>
      </c>
    </row>
    <row r="834">
      <c r="A834" s="3">
        <v>43160.99861111111</v>
      </c>
      <c r="B834" s="2">
        <v>10895.92</v>
      </c>
    </row>
    <row r="835">
      <c r="A835" s="3">
        <v>43161.99861111111</v>
      </c>
      <c r="B835" s="2">
        <v>11000.0</v>
      </c>
    </row>
    <row r="836">
      <c r="A836" s="3">
        <v>43162.99861111111</v>
      </c>
      <c r="B836" s="2">
        <v>11432.5</v>
      </c>
    </row>
    <row r="837">
      <c r="A837" s="3">
        <v>43163.99861111111</v>
      </c>
      <c r="B837" s="2">
        <v>11469.9</v>
      </c>
    </row>
    <row r="838">
      <c r="A838" s="3">
        <v>43164.99861111111</v>
      </c>
      <c r="B838" s="2">
        <v>11377.54</v>
      </c>
    </row>
    <row r="839">
      <c r="A839" s="3">
        <v>43165.99861111111</v>
      </c>
      <c r="B839" s="2">
        <v>10700.0</v>
      </c>
    </row>
    <row r="840">
      <c r="A840" s="3">
        <v>43166.99861111111</v>
      </c>
      <c r="B840" s="2">
        <v>9925.0</v>
      </c>
    </row>
    <row r="841">
      <c r="A841" s="3">
        <v>43167.99861111111</v>
      </c>
      <c r="B841" s="2">
        <v>9304.89</v>
      </c>
    </row>
    <row r="842">
      <c r="A842" s="3">
        <v>43168.99861111111</v>
      </c>
      <c r="B842" s="2">
        <v>9255.0</v>
      </c>
    </row>
    <row r="843">
      <c r="A843" s="3">
        <v>43169.99861111111</v>
      </c>
      <c r="B843" s="2">
        <v>8795.44</v>
      </c>
    </row>
    <row r="844">
      <c r="A844" s="3">
        <v>43170.99861111111</v>
      </c>
      <c r="B844" s="2">
        <v>9533.88</v>
      </c>
    </row>
    <row r="845">
      <c r="A845" s="3">
        <v>43171.99861111111</v>
      </c>
      <c r="B845" s="2">
        <v>9120.0</v>
      </c>
    </row>
    <row r="846">
      <c r="A846" s="3">
        <v>43172.99861111111</v>
      </c>
      <c r="B846" s="2">
        <v>9145.41</v>
      </c>
    </row>
    <row r="847">
      <c r="A847" s="3">
        <v>43173.99861111111</v>
      </c>
      <c r="B847" s="2">
        <v>8207.02</v>
      </c>
    </row>
    <row r="848">
      <c r="A848" s="3">
        <v>43174.99861111111</v>
      </c>
      <c r="B848" s="2">
        <v>8259.99</v>
      </c>
    </row>
    <row r="849">
      <c r="A849" s="3">
        <v>43175.99861111111</v>
      </c>
      <c r="B849" s="2">
        <v>8275.0</v>
      </c>
    </row>
    <row r="850">
      <c r="A850" s="3">
        <v>43176.99861111111</v>
      </c>
      <c r="B850" s="2">
        <v>7857.6</v>
      </c>
    </row>
    <row r="851">
      <c r="A851" s="3">
        <v>43177.99861111111</v>
      </c>
      <c r="B851" s="2">
        <v>8192.0</v>
      </c>
    </row>
    <row r="852">
      <c r="A852" s="3">
        <v>43178.99861111111</v>
      </c>
      <c r="B852" s="2">
        <v>8589.0</v>
      </c>
    </row>
    <row r="853">
      <c r="A853" s="3">
        <v>43179.99861111111</v>
      </c>
      <c r="B853" s="2">
        <v>8900.0</v>
      </c>
    </row>
    <row r="854">
      <c r="A854" s="3">
        <v>43180.99861111111</v>
      </c>
      <c r="B854" s="2">
        <v>8891.81</v>
      </c>
    </row>
    <row r="855">
      <c r="A855" s="3">
        <v>43181.99861111111</v>
      </c>
      <c r="B855" s="2">
        <v>8715.09</v>
      </c>
    </row>
    <row r="856">
      <c r="A856" s="3">
        <v>43182.99861111111</v>
      </c>
      <c r="B856" s="2">
        <v>8927.1</v>
      </c>
    </row>
    <row r="857">
      <c r="A857" s="3">
        <v>43183.99861111111</v>
      </c>
      <c r="B857" s="2">
        <v>8531.34</v>
      </c>
    </row>
    <row r="858">
      <c r="A858" s="3">
        <v>43184.99861111111</v>
      </c>
      <c r="B858" s="2">
        <v>8453.0</v>
      </c>
    </row>
    <row r="859">
      <c r="A859" s="3">
        <v>43185.99861111111</v>
      </c>
      <c r="B859" s="2">
        <v>8145.0</v>
      </c>
    </row>
    <row r="860">
      <c r="A860" s="3">
        <v>43186.99861111111</v>
      </c>
      <c r="B860" s="2">
        <v>7793.61</v>
      </c>
    </row>
    <row r="861">
      <c r="A861" s="3">
        <v>43187.99861111111</v>
      </c>
      <c r="B861" s="2">
        <v>7942.72</v>
      </c>
    </row>
    <row r="862">
      <c r="A862" s="3">
        <v>43188.99861111111</v>
      </c>
      <c r="B862" s="2">
        <v>7080.0</v>
      </c>
    </row>
    <row r="863">
      <c r="A863" s="3">
        <v>43189.99861111111</v>
      </c>
      <c r="B863" s="2">
        <v>6848.01</v>
      </c>
    </row>
    <row r="864">
      <c r="A864" s="3">
        <v>43190.99861111111</v>
      </c>
      <c r="B864" s="2">
        <v>6928.5</v>
      </c>
    </row>
    <row r="865">
      <c r="A865" s="3">
        <v>43191.99861111111</v>
      </c>
      <c r="B865" s="2">
        <v>6816.01</v>
      </c>
    </row>
    <row r="866">
      <c r="A866" s="3">
        <v>43192.99861111111</v>
      </c>
      <c r="B866" s="2">
        <v>7045.01</v>
      </c>
    </row>
    <row r="867">
      <c r="A867" s="3">
        <v>43193.99861111111</v>
      </c>
      <c r="B867" s="2">
        <v>7424.9</v>
      </c>
    </row>
    <row r="868">
      <c r="A868" s="3">
        <v>43194.99861111111</v>
      </c>
      <c r="B868" s="2">
        <v>6791.68</v>
      </c>
    </row>
    <row r="869">
      <c r="A869" s="3">
        <v>43195.99861111111</v>
      </c>
      <c r="B869" s="2">
        <v>6785.85</v>
      </c>
    </row>
    <row r="870">
      <c r="A870" s="3">
        <v>43196.99861111111</v>
      </c>
      <c r="B870" s="2">
        <v>6619.01</v>
      </c>
    </row>
    <row r="871">
      <c r="A871" s="3">
        <v>43197.99861111111</v>
      </c>
      <c r="B871" s="2">
        <v>6894.01</v>
      </c>
    </row>
    <row r="872">
      <c r="A872" s="3">
        <v>43198.99861111111</v>
      </c>
      <c r="B872" s="2">
        <v>7020.01</v>
      </c>
    </row>
    <row r="873">
      <c r="A873" s="3">
        <v>43199.99861111111</v>
      </c>
      <c r="B873" s="2">
        <v>6771.13</v>
      </c>
    </row>
    <row r="874">
      <c r="A874" s="3">
        <v>43200.99861111111</v>
      </c>
      <c r="B874" s="2">
        <v>6824.99</v>
      </c>
    </row>
    <row r="875">
      <c r="A875" s="3">
        <v>43201.99861111111</v>
      </c>
      <c r="B875" s="2">
        <v>6942.99</v>
      </c>
    </row>
    <row r="876">
      <c r="A876" s="3">
        <v>43202.99861111111</v>
      </c>
      <c r="B876" s="2">
        <v>7916.0</v>
      </c>
    </row>
    <row r="877">
      <c r="A877" s="3">
        <v>43203.99861111111</v>
      </c>
      <c r="B877" s="2">
        <v>7893.19</v>
      </c>
    </row>
    <row r="878">
      <c r="A878" s="3">
        <v>43204.99861111111</v>
      </c>
      <c r="B878" s="2">
        <v>8003.11</v>
      </c>
    </row>
    <row r="879">
      <c r="A879" s="3">
        <v>43205.99861111111</v>
      </c>
      <c r="B879" s="2">
        <v>8355.25</v>
      </c>
    </row>
    <row r="880">
      <c r="A880" s="3">
        <v>43206.99861111111</v>
      </c>
      <c r="B880" s="2">
        <v>8048.93</v>
      </c>
    </row>
    <row r="881">
      <c r="A881" s="3">
        <v>43207.99861111111</v>
      </c>
      <c r="B881" s="2">
        <v>7892.1</v>
      </c>
    </row>
    <row r="882">
      <c r="A882" s="3">
        <v>43208.99861111111</v>
      </c>
      <c r="B882" s="2">
        <v>8152.05</v>
      </c>
    </row>
    <row r="883">
      <c r="A883" s="3">
        <v>43209.99861111111</v>
      </c>
      <c r="B883" s="2">
        <v>8274.0</v>
      </c>
    </row>
    <row r="884">
      <c r="A884" s="3">
        <v>43210.99861111111</v>
      </c>
      <c r="B884" s="2">
        <v>8866.27</v>
      </c>
    </row>
    <row r="885">
      <c r="A885" s="3">
        <v>43211.99861111111</v>
      </c>
      <c r="B885" s="2">
        <v>8915.42</v>
      </c>
    </row>
    <row r="886">
      <c r="A886" s="3">
        <v>43212.99861111111</v>
      </c>
      <c r="B886" s="2">
        <v>8795.01</v>
      </c>
    </row>
    <row r="887">
      <c r="A887" s="3">
        <v>43213.99861111111</v>
      </c>
      <c r="B887" s="2">
        <v>8931.3</v>
      </c>
    </row>
    <row r="888">
      <c r="A888" s="3">
        <v>43214.99861111111</v>
      </c>
      <c r="B888" s="2">
        <v>9645.1</v>
      </c>
    </row>
    <row r="889">
      <c r="A889" s="3">
        <v>43215.99861111111</v>
      </c>
      <c r="B889" s="2">
        <v>8865.98</v>
      </c>
    </row>
    <row r="890">
      <c r="A890" s="3">
        <v>43216.99861111111</v>
      </c>
      <c r="B890" s="2">
        <v>9272.11</v>
      </c>
    </row>
    <row r="891">
      <c r="A891" s="3">
        <v>43217.99861111111</v>
      </c>
      <c r="B891" s="2">
        <v>8922.55</v>
      </c>
    </row>
    <row r="892">
      <c r="A892" s="3">
        <v>43218.99861111111</v>
      </c>
      <c r="B892" s="2">
        <v>9329.99</v>
      </c>
    </row>
    <row r="893">
      <c r="A893" s="3">
        <v>43219.99861111111</v>
      </c>
      <c r="B893" s="2">
        <v>9389.01</v>
      </c>
    </row>
    <row r="894">
      <c r="A894" s="3">
        <v>43220.99861111111</v>
      </c>
      <c r="B894" s="2">
        <v>9243.83</v>
      </c>
    </row>
    <row r="895">
      <c r="A895" s="3">
        <v>43221.99861111111</v>
      </c>
      <c r="B895" s="2">
        <v>9072.29</v>
      </c>
    </row>
    <row r="896">
      <c r="A896" s="3">
        <v>43222.99861111111</v>
      </c>
      <c r="B896" s="2">
        <v>9190.48</v>
      </c>
    </row>
    <row r="897">
      <c r="A897" s="3">
        <v>43223.99861111111</v>
      </c>
      <c r="B897" s="2">
        <v>9725.74</v>
      </c>
    </row>
    <row r="898">
      <c r="A898" s="3">
        <v>43224.99861111111</v>
      </c>
      <c r="B898" s="2">
        <v>9685.0</v>
      </c>
    </row>
    <row r="899">
      <c r="A899" s="3">
        <v>43225.99861111111</v>
      </c>
      <c r="B899" s="2">
        <v>9800.0</v>
      </c>
    </row>
    <row r="900">
      <c r="A900" s="3">
        <v>43226.99861111111</v>
      </c>
      <c r="B900" s="2">
        <v>9600.0</v>
      </c>
    </row>
    <row r="901">
      <c r="A901" s="3">
        <v>43227.99861111111</v>
      </c>
      <c r="B901" s="2">
        <v>9353.0</v>
      </c>
    </row>
    <row r="902">
      <c r="A902" s="3">
        <v>43228.99861111111</v>
      </c>
      <c r="B902" s="2">
        <v>9177.82</v>
      </c>
    </row>
    <row r="903">
      <c r="A903" s="3">
        <v>43229.99861111111</v>
      </c>
      <c r="B903" s="2">
        <v>9300.08</v>
      </c>
    </row>
    <row r="904">
      <c r="A904" s="3">
        <v>43230.99861111111</v>
      </c>
      <c r="B904" s="2">
        <v>9010.51</v>
      </c>
    </row>
    <row r="905">
      <c r="A905" s="3">
        <v>43231.99861111111</v>
      </c>
      <c r="B905" s="2">
        <v>8403.33</v>
      </c>
    </row>
    <row r="906">
      <c r="A906" s="3">
        <v>43232.99861111111</v>
      </c>
      <c r="B906" s="2">
        <v>8475.0</v>
      </c>
    </row>
    <row r="907">
      <c r="A907" s="3">
        <v>43233.99861111111</v>
      </c>
      <c r="B907" s="2">
        <v>8686.1</v>
      </c>
    </row>
    <row r="908">
      <c r="A908" s="3">
        <v>43234.99861111111</v>
      </c>
      <c r="B908" s="2">
        <v>8670.0</v>
      </c>
    </row>
    <row r="909">
      <c r="A909" s="3">
        <v>43235.99861111111</v>
      </c>
      <c r="B909" s="2">
        <v>8477.46</v>
      </c>
    </row>
    <row r="910">
      <c r="A910" s="3">
        <v>43236.99861111111</v>
      </c>
      <c r="B910" s="2">
        <v>8344.0</v>
      </c>
    </row>
    <row r="911">
      <c r="A911" s="3">
        <v>43237.99861111111</v>
      </c>
      <c r="B911" s="2">
        <v>8059.0</v>
      </c>
    </row>
    <row r="912">
      <c r="A912" s="3">
        <v>43238.99861111111</v>
      </c>
      <c r="B912" s="2">
        <v>8238.51</v>
      </c>
    </row>
    <row r="913">
      <c r="A913" s="3">
        <v>43239.99861111111</v>
      </c>
      <c r="B913" s="2">
        <v>8235.6</v>
      </c>
    </row>
    <row r="914">
      <c r="A914" s="3">
        <v>43240.99861111111</v>
      </c>
      <c r="B914" s="2">
        <v>8516.86</v>
      </c>
    </row>
    <row r="915">
      <c r="A915" s="3">
        <v>43241.99861111111</v>
      </c>
      <c r="B915" s="2">
        <v>8393.44</v>
      </c>
    </row>
    <row r="916">
      <c r="A916" s="3">
        <v>43242.99861111111</v>
      </c>
      <c r="B916" s="2">
        <v>7987.7</v>
      </c>
    </row>
    <row r="917">
      <c r="A917" s="3">
        <v>43243.99861111111</v>
      </c>
      <c r="B917" s="2">
        <v>7505.0</v>
      </c>
    </row>
    <row r="918">
      <c r="A918" s="3">
        <v>43244.99861111111</v>
      </c>
      <c r="B918" s="2">
        <v>7584.15</v>
      </c>
    </row>
    <row r="919">
      <c r="A919" s="3">
        <v>43245.99861111111</v>
      </c>
      <c r="B919" s="2">
        <v>7459.11</v>
      </c>
    </row>
    <row r="920">
      <c r="A920" s="3">
        <v>43246.99861111111</v>
      </c>
      <c r="B920" s="2">
        <v>7337.95</v>
      </c>
    </row>
    <row r="921">
      <c r="A921" s="3">
        <v>43247.99861111111</v>
      </c>
      <c r="B921" s="2">
        <v>7346.64</v>
      </c>
    </row>
    <row r="922">
      <c r="A922" s="3">
        <v>43248.99861111111</v>
      </c>
      <c r="B922" s="2">
        <v>7107.94</v>
      </c>
    </row>
    <row r="923">
      <c r="A923" s="3">
        <v>43249.99861111111</v>
      </c>
      <c r="B923" s="2">
        <v>7460.0</v>
      </c>
    </row>
    <row r="924">
      <c r="A924" s="3">
        <v>43250.99861111111</v>
      </c>
      <c r="B924" s="2">
        <v>7380.01</v>
      </c>
    </row>
    <row r="925">
      <c r="A925" s="3">
        <v>43251.99861111111</v>
      </c>
      <c r="B925" s="2">
        <v>7485.0</v>
      </c>
    </row>
    <row r="926">
      <c r="A926" s="3">
        <v>43252.99861111111</v>
      </c>
      <c r="B926" s="2">
        <v>7514.32</v>
      </c>
    </row>
    <row r="927">
      <c r="A927" s="3">
        <v>43253.99861111111</v>
      </c>
      <c r="B927" s="2">
        <v>7636.42</v>
      </c>
    </row>
    <row r="928">
      <c r="A928" s="3">
        <v>43254.99861111111</v>
      </c>
      <c r="B928" s="2">
        <v>7706.37</v>
      </c>
    </row>
    <row r="929">
      <c r="A929" s="3">
        <v>43255.99861111111</v>
      </c>
      <c r="B929" s="2">
        <v>7487.37</v>
      </c>
    </row>
    <row r="930">
      <c r="A930" s="3">
        <v>43256.99861111111</v>
      </c>
      <c r="B930" s="2">
        <v>7612.51</v>
      </c>
    </row>
    <row r="931">
      <c r="A931" s="3">
        <v>43257.99861111111</v>
      </c>
      <c r="B931" s="2">
        <v>7655.0</v>
      </c>
    </row>
    <row r="932">
      <c r="A932" s="3">
        <v>43258.99861111111</v>
      </c>
      <c r="B932" s="2">
        <v>7684.93</v>
      </c>
    </row>
    <row r="933">
      <c r="A933" s="3">
        <v>43259.99861111111</v>
      </c>
      <c r="B933" s="2">
        <v>7618.8</v>
      </c>
    </row>
    <row r="934">
      <c r="A934" s="3">
        <v>43260.99861111111</v>
      </c>
      <c r="B934" s="2">
        <v>7496.4</v>
      </c>
    </row>
    <row r="935">
      <c r="A935" s="3">
        <v>43261.99861111111</v>
      </c>
      <c r="B935" s="2">
        <v>6770.31</v>
      </c>
    </row>
    <row r="936">
      <c r="A936" s="3">
        <v>43262.99861111111</v>
      </c>
      <c r="B936" s="2">
        <v>6881.0</v>
      </c>
    </row>
    <row r="937">
      <c r="A937" s="3">
        <v>43263.99861111111</v>
      </c>
      <c r="B937" s="2">
        <v>6545.0</v>
      </c>
    </row>
    <row r="938">
      <c r="A938" s="3">
        <v>43264.99861111111</v>
      </c>
      <c r="B938" s="2">
        <v>6302.31</v>
      </c>
    </row>
    <row r="939">
      <c r="A939" s="3">
        <v>43265.99861111111</v>
      </c>
      <c r="B939" s="2">
        <v>6638.49</v>
      </c>
    </row>
    <row r="940">
      <c r="A940" s="3">
        <v>43266.99861111111</v>
      </c>
      <c r="B940" s="2">
        <v>6391.22</v>
      </c>
    </row>
    <row r="941">
      <c r="A941" s="3">
        <v>43267.99861111111</v>
      </c>
      <c r="B941" s="2">
        <v>6484.29</v>
      </c>
    </row>
    <row r="942">
      <c r="A942" s="3">
        <v>43268.99861111111</v>
      </c>
      <c r="B942" s="2">
        <v>6447.16</v>
      </c>
    </row>
    <row r="943">
      <c r="A943" s="3">
        <v>43269.99861111111</v>
      </c>
      <c r="B943" s="2">
        <v>6709.02</v>
      </c>
    </row>
    <row r="944">
      <c r="A944" s="3">
        <v>43270.99861111111</v>
      </c>
      <c r="B944" s="2">
        <v>6736.41</v>
      </c>
    </row>
    <row r="945">
      <c r="A945" s="3">
        <v>43271.99861111111</v>
      </c>
      <c r="B945" s="2">
        <v>6759.18</v>
      </c>
    </row>
    <row r="946">
      <c r="A946" s="3">
        <v>43272.99861111111</v>
      </c>
      <c r="B946" s="2">
        <v>6719.01</v>
      </c>
    </row>
    <row r="947">
      <c r="A947" s="3">
        <v>43273.99861111111</v>
      </c>
      <c r="B947" s="2">
        <v>6059.82</v>
      </c>
    </row>
    <row r="948">
      <c r="A948" s="3">
        <v>43274.99861111111</v>
      </c>
      <c r="B948" s="2">
        <v>6178.29</v>
      </c>
    </row>
    <row r="949">
      <c r="A949" s="3">
        <v>43275.99861111111</v>
      </c>
      <c r="B949" s="2">
        <v>6149.99</v>
      </c>
    </row>
    <row r="950">
      <c r="A950" s="3">
        <v>43276.99861111111</v>
      </c>
      <c r="B950" s="2">
        <v>6246.01</v>
      </c>
    </row>
    <row r="951">
      <c r="A951" s="3">
        <v>43277.99861111111</v>
      </c>
      <c r="B951" s="2">
        <v>6074.0</v>
      </c>
    </row>
    <row r="952">
      <c r="A952" s="3">
        <v>43278.99861111111</v>
      </c>
      <c r="B952" s="2">
        <v>6132.17</v>
      </c>
    </row>
    <row r="953">
      <c r="A953" s="3">
        <v>43279.99861111111</v>
      </c>
      <c r="B953" s="2">
        <v>5851.66</v>
      </c>
    </row>
    <row r="954">
      <c r="A954" s="3">
        <v>43280.99861111111</v>
      </c>
      <c r="B954" s="2">
        <v>6202.36</v>
      </c>
    </row>
    <row r="955">
      <c r="A955" s="3">
        <v>43281.99861111111</v>
      </c>
      <c r="B955" s="2">
        <v>6383.19</v>
      </c>
    </row>
    <row r="956">
      <c r="A956" s="3">
        <v>43282.99861111111</v>
      </c>
      <c r="B956" s="2">
        <v>6349.5</v>
      </c>
    </row>
    <row r="957">
      <c r="A957" s="3">
        <v>43283.99861111111</v>
      </c>
      <c r="B957" s="2">
        <v>6611.79</v>
      </c>
    </row>
    <row r="958">
      <c r="A958" s="3">
        <v>43284.99861111111</v>
      </c>
      <c r="B958" s="2">
        <v>6502.62</v>
      </c>
    </row>
    <row r="959">
      <c r="A959" s="3">
        <v>43285.99861111111</v>
      </c>
      <c r="B959" s="2">
        <v>6587.47</v>
      </c>
    </row>
    <row r="960">
      <c r="A960" s="3">
        <v>43286.99861111111</v>
      </c>
      <c r="B960" s="2">
        <v>6532.95</v>
      </c>
    </row>
    <row r="961">
      <c r="A961" s="3">
        <v>43287.99861111111</v>
      </c>
      <c r="B961" s="2">
        <v>6600.0</v>
      </c>
    </row>
    <row r="962">
      <c r="A962" s="3">
        <v>43288.99861111111</v>
      </c>
      <c r="B962" s="2">
        <v>6753.28</v>
      </c>
    </row>
    <row r="963">
      <c r="A963" s="3">
        <v>43289.99861111111</v>
      </c>
      <c r="B963" s="2">
        <v>6701.97</v>
      </c>
    </row>
    <row r="964">
      <c r="A964" s="3">
        <v>43290.99861111111</v>
      </c>
      <c r="B964" s="2">
        <v>6664.01</v>
      </c>
    </row>
    <row r="965">
      <c r="A965" s="3">
        <v>43291.99861111111</v>
      </c>
      <c r="B965" s="2">
        <v>6303.7</v>
      </c>
    </row>
    <row r="966">
      <c r="A966" s="3">
        <v>43292.99861111111</v>
      </c>
      <c r="B966" s="2">
        <v>6390.04</v>
      </c>
    </row>
    <row r="967">
      <c r="A967" s="3">
        <v>43293.99861111111</v>
      </c>
      <c r="B967" s="2">
        <v>6249.75</v>
      </c>
    </row>
    <row r="968">
      <c r="A968" s="3">
        <v>43294.99861111111</v>
      </c>
      <c r="B968" s="2">
        <v>6216.29</v>
      </c>
    </row>
    <row r="969">
      <c r="A969" s="3">
        <v>43295.99861111111</v>
      </c>
      <c r="B969" s="2">
        <v>6248.65</v>
      </c>
    </row>
    <row r="970">
      <c r="A970" s="3">
        <v>43296.99861111111</v>
      </c>
      <c r="B970" s="2">
        <v>6348.73</v>
      </c>
    </row>
    <row r="971">
      <c r="A971" s="3">
        <v>43297.99861111111</v>
      </c>
      <c r="B971" s="2">
        <v>6728.81</v>
      </c>
    </row>
    <row r="972">
      <c r="A972" s="3">
        <v>43298.99861111111</v>
      </c>
      <c r="B972" s="2">
        <v>7315.01</v>
      </c>
    </row>
    <row r="973">
      <c r="A973" s="3">
        <v>43299.99861111111</v>
      </c>
      <c r="B973" s="2">
        <v>7378.99</v>
      </c>
    </row>
    <row r="974">
      <c r="A974" s="3">
        <v>43300.99861111111</v>
      </c>
      <c r="B974" s="2">
        <v>7470.01</v>
      </c>
    </row>
    <row r="975">
      <c r="A975" s="3">
        <v>43301.99861111111</v>
      </c>
      <c r="B975" s="2">
        <v>7334.46</v>
      </c>
    </row>
    <row r="976">
      <c r="A976" s="3">
        <v>43302.99861111111</v>
      </c>
      <c r="B976" s="2">
        <v>7408.0</v>
      </c>
    </row>
    <row r="977">
      <c r="A977" s="3">
        <v>43303.99861111111</v>
      </c>
      <c r="B977" s="2">
        <v>7397.8</v>
      </c>
    </row>
    <row r="978">
      <c r="A978" s="3">
        <v>43304.99861111111</v>
      </c>
      <c r="B978" s="2">
        <v>7720.09</v>
      </c>
    </row>
    <row r="979">
      <c r="A979" s="3">
        <v>43305.99861111111</v>
      </c>
      <c r="B979" s="2">
        <v>8385.5</v>
      </c>
    </row>
    <row r="980">
      <c r="A980" s="3">
        <v>43306.99861111111</v>
      </c>
      <c r="B980" s="2">
        <v>8157.15</v>
      </c>
    </row>
    <row r="981">
      <c r="A981" s="3">
        <v>43307.99861111111</v>
      </c>
      <c r="B981" s="2">
        <v>7931.99</v>
      </c>
    </row>
    <row r="982">
      <c r="A982" s="3">
        <v>43308.99861111111</v>
      </c>
      <c r="B982" s="2">
        <v>8184.21</v>
      </c>
    </row>
    <row r="983">
      <c r="A983" s="3">
        <v>43309.99861111111</v>
      </c>
      <c r="B983" s="2">
        <v>8228.9</v>
      </c>
    </row>
    <row r="984">
      <c r="A984" s="3">
        <v>43310.99861111111</v>
      </c>
      <c r="B984" s="2">
        <v>8216.34</v>
      </c>
    </row>
    <row r="985">
      <c r="A985" s="3">
        <v>43311.99861111111</v>
      </c>
      <c r="B985" s="2">
        <v>8170.01</v>
      </c>
    </row>
    <row r="986">
      <c r="A986" s="3">
        <v>43312.99861111111</v>
      </c>
      <c r="B986" s="2">
        <v>7727.27</v>
      </c>
    </row>
    <row r="987">
      <c r="A987" s="3">
        <v>43313.99861111111</v>
      </c>
      <c r="B987" s="2">
        <v>7603.99</v>
      </c>
    </row>
    <row r="988">
      <c r="A988" s="3">
        <v>43314.99861111111</v>
      </c>
      <c r="B988" s="2">
        <v>7533.92</v>
      </c>
    </row>
    <row r="989">
      <c r="A989" s="3">
        <v>43315.99861111111</v>
      </c>
      <c r="B989" s="2">
        <v>7414.08</v>
      </c>
    </row>
    <row r="990">
      <c r="A990" s="3">
        <v>43316.99861111111</v>
      </c>
      <c r="B990" s="2">
        <v>7005.0</v>
      </c>
    </row>
    <row r="991">
      <c r="A991" s="3">
        <v>43317.99861111111</v>
      </c>
      <c r="B991" s="2">
        <v>7030.01</v>
      </c>
    </row>
    <row r="992">
      <c r="A992" s="3">
        <v>43318.99861111111</v>
      </c>
      <c r="B992" s="2">
        <v>6938.0</v>
      </c>
    </row>
    <row r="993">
      <c r="A993" s="3">
        <v>43319.99861111111</v>
      </c>
      <c r="B993" s="2">
        <v>6718.22</v>
      </c>
    </row>
    <row r="994">
      <c r="A994" s="3">
        <v>43320.99861111111</v>
      </c>
      <c r="B994" s="2">
        <v>6282.5</v>
      </c>
    </row>
    <row r="995">
      <c r="A995" s="3">
        <v>43321.99861111111</v>
      </c>
      <c r="B995" s="2">
        <v>6546.45</v>
      </c>
    </row>
    <row r="996">
      <c r="A996" s="3">
        <v>43322.99861111111</v>
      </c>
      <c r="B996" s="2">
        <v>6146.01</v>
      </c>
    </row>
    <row r="997">
      <c r="A997" s="3">
        <v>43323.99861111111</v>
      </c>
      <c r="B997" s="2">
        <v>6235.56</v>
      </c>
    </row>
    <row r="998">
      <c r="A998" s="3">
        <v>43324.99861111111</v>
      </c>
      <c r="B998" s="2">
        <v>6316.01</v>
      </c>
    </row>
    <row r="999">
      <c r="A999" s="3">
        <v>43325.99861111111</v>
      </c>
      <c r="B999" s="2">
        <v>6253.67</v>
      </c>
    </row>
    <row r="1000">
      <c r="A1000" s="3">
        <v>43326.99861111111</v>
      </c>
      <c r="B1000" s="2">
        <v>6195.01</v>
      </c>
    </row>
    <row r="1001">
      <c r="A1001" s="3">
        <v>43327.99861111111</v>
      </c>
      <c r="B1001" s="2">
        <v>6269.01</v>
      </c>
    </row>
    <row r="1002">
      <c r="A1002" s="3">
        <v>43328.99861111111</v>
      </c>
      <c r="B1002" s="2">
        <v>6315.9</v>
      </c>
    </row>
    <row r="1003">
      <c r="A1003" s="3">
        <v>43329.99861111111</v>
      </c>
      <c r="B1003" s="2">
        <v>6585.49</v>
      </c>
    </row>
    <row r="1004">
      <c r="A1004" s="3">
        <v>43330.99861111111</v>
      </c>
      <c r="B1004" s="2">
        <v>6396.64</v>
      </c>
    </row>
    <row r="1005">
      <c r="A1005" s="3">
        <v>43331.99861111111</v>
      </c>
      <c r="B1005" s="2">
        <v>6489.53</v>
      </c>
    </row>
    <row r="1006">
      <c r="A1006" s="3">
        <v>43332.99861111111</v>
      </c>
      <c r="B1006" s="2">
        <v>6258.74</v>
      </c>
    </row>
    <row r="1007">
      <c r="A1007" s="3">
        <v>43333.99861111111</v>
      </c>
      <c r="B1007" s="2">
        <v>6475.89</v>
      </c>
    </row>
    <row r="1008">
      <c r="A1008" s="3">
        <v>43334.99861111111</v>
      </c>
      <c r="B1008" s="2">
        <v>6359.99</v>
      </c>
    </row>
    <row r="1009">
      <c r="A1009" s="3">
        <v>43335.99861111111</v>
      </c>
      <c r="B1009" s="2">
        <v>6526.36</v>
      </c>
    </row>
    <row r="1010">
      <c r="A1010" s="3">
        <v>43336.99861111111</v>
      </c>
      <c r="B1010" s="2">
        <v>6690.88</v>
      </c>
    </row>
    <row r="1011">
      <c r="A1011" s="3">
        <v>43337.99861111111</v>
      </c>
      <c r="B1011" s="2">
        <v>6737.52</v>
      </c>
    </row>
    <row r="1012">
      <c r="A1012" s="3">
        <v>43338.99861111111</v>
      </c>
      <c r="B1012" s="2">
        <v>6709.98</v>
      </c>
    </row>
    <row r="1013">
      <c r="A1013" s="3">
        <v>43339.99861111111</v>
      </c>
      <c r="B1013" s="2">
        <v>6911.9</v>
      </c>
    </row>
    <row r="1014">
      <c r="A1014" s="3">
        <v>43340.99861111111</v>
      </c>
      <c r="B1014" s="2">
        <v>7071.01</v>
      </c>
    </row>
    <row r="1015">
      <c r="A1015" s="3">
        <v>43341.99861111111</v>
      </c>
      <c r="B1015" s="2">
        <v>7030.9</v>
      </c>
    </row>
    <row r="1016">
      <c r="A1016" s="3">
        <v>43342.99861111111</v>
      </c>
      <c r="B1016" s="2">
        <v>6983.0</v>
      </c>
    </row>
    <row r="1017">
      <c r="A1017" s="3">
        <v>43343.99861111111</v>
      </c>
      <c r="B1017" s="2">
        <v>7015.01</v>
      </c>
    </row>
    <row r="1018">
      <c r="A1018" s="3">
        <v>43344.99861111111</v>
      </c>
      <c r="B1018" s="2">
        <v>7191.08</v>
      </c>
    </row>
    <row r="1019">
      <c r="A1019" s="3">
        <v>43345.99861111111</v>
      </c>
      <c r="B1019" s="2">
        <v>7295.0</v>
      </c>
    </row>
    <row r="1020">
      <c r="A1020" s="3">
        <v>43346.99861111111</v>
      </c>
      <c r="B1020" s="2">
        <v>7256.98</v>
      </c>
    </row>
    <row r="1021">
      <c r="A1021" s="3">
        <v>43347.99861111111</v>
      </c>
      <c r="B1021" s="2">
        <v>7360.0</v>
      </c>
    </row>
    <row r="1022">
      <c r="A1022" s="3">
        <v>43348.99861111111</v>
      </c>
      <c r="B1022" s="2">
        <v>6687.96</v>
      </c>
    </row>
    <row r="1023">
      <c r="A1023" s="3">
        <v>43349.99861111111</v>
      </c>
      <c r="B1023" s="2">
        <v>6495.0</v>
      </c>
    </row>
    <row r="1024">
      <c r="A1024" s="3">
        <v>43350.99861111111</v>
      </c>
      <c r="B1024" s="2">
        <v>6395.01</v>
      </c>
    </row>
    <row r="1025">
      <c r="A1025" s="3">
        <v>43351.99861111111</v>
      </c>
      <c r="B1025" s="2">
        <v>6188.0</v>
      </c>
    </row>
    <row r="1026">
      <c r="A1026" s="3">
        <v>43352.99861111111</v>
      </c>
      <c r="B1026" s="2">
        <v>6235.01</v>
      </c>
    </row>
    <row r="1027">
      <c r="A1027" s="3">
        <v>43353.99861111111</v>
      </c>
      <c r="B1027" s="2">
        <v>6300.0</v>
      </c>
    </row>
    <row r="1028">
      <c r="A1028" s="3">
        <v>43354.99861111111</v>
      </c>
      <c r="B1028" s="2">
        <v>6282.53</v>
      </c>
    </row>
    <row r="1029">
      <c r="A1029" s="3">
        <v>43355.99861111111</v>
      </c>
      <c r="B1029" s="2">
        <v>6326.0</v>
      </c>
    </row>
    <row r="1030">
      <c r="A1030" s="3">
        <v>43356.99861111111</v>
      </c>
      <c r="B1030" s="2">
        <v>6485.99</v>
      </c>
    </row>
    <row r="1031">
      <c r="A1031" s="3">
        <v>43357.99861111111</v>
      </c>
      <c r="B1031" s="2">
        <v>6478.04</v>
      </c>
    </row>
    <row r="1032">
      <c r="A1032" s="3">
        <v>43358.99861111111</v>
      </c>
      <c r="B1032" s="2">
        <v>6518.68</v>
      </c>
    </row>
    <row r="1033">
      <c r="A1033" s="3">
        <v>43359.99861111111</v>
      </c>
      <c r="B1033" s="2">
        <v>6498.0</v>
      </c>
    </row>
    <row r="1034">
      <c r="A1034" s="3">
        <v>43360.99861111111</v>
      </c>
      <c r="B1034" s="2">
        <v>6250.7</v>
      </c>
    </row>
    <row r="1035">
      <c r="A1035" s="3">
        <v>43361.99861111111</v>
      </c>
      <c r="B1035" s="2">
        <v>6335.7</v>
      </c>
    </row>
    <row r="1036">
      <c r="A1036" s="3">
        <v>43362.99861111111</v>
      </c>
      <c r="B1036" s="2">
        <v>6386.94</v>
      </c>
    </row>
    <row r="1037">
      <c r="A1037" s="3">
        <v>43363.99861111111</v>
      </c>
      <c r="B1037" s="2">
        <v>6493.11</v>
      </c>
    </row>
    <row r="1038">
      <c r="A1038" s="3">
        <v>43364.99861111111</v>
      </c>
      <c r="B1038" s="2">
        <v>6750.0</v>
      </c>
    </row>
    <row r="1039">
      <c r="A1039" s="3">
        <v>43365.99861111111</v>
      </c>
      <c r="B1039" s="2">
        <v>6707.33</v>
      </c>
    </row>
    <row r="1040">
      <c r="A1040" s="3">
        <v>43366.99861111111</v>
      </c>
      <c r="B1040" s="2">
        <v>6696.99</v>
      </c>
    </row>
    <row r="1041">
      <c r="A1041" s="3">
        <v>43367.99861111111</v>
      </c>
      <c r="B1041" s="2">
        <v>6582.09</v>
      </c>
    </row>
    <row r="1042">
      <c r="A1042" s="3">
        <v>43368.99861111111</v>
      </c>
      <c r="B1042" s="2">
        <v>6436.89</v>
      </c>
    </row>
    <row r="1043">
      <c r="A1043" s="3">
        <v>43369.99861111111</v>
      </c>
      <c r="B1043" s="2">
        <v>6455.66</v>
      </c>
    </row>
    <row r="1044">
      <c r="A1044" s="3">
        <v>43370.99861111111</v>
      </c>
      <c r="B1044" s="2">
        <v>6680.01</v>
      </c>
    </row>
    <row r="1045">
      <c r="A1045" s="3">
        <v>43371.99861111111</v>
      </c>
      <c r="B1045" s="2">
        <v>6620.01</v>
      </c>
    </row>
    <row r="1046">
      <c r="A1046" s="3">
        <v>43372.99861111111</v>
      </c>
      <c r="B1046" s="2">
        <v>6581.0</v>
      </c>
    </row>
    <row r="1047">
      <c r="A1047" s="3">
        <v>43373.99861111111</v>
      </c>
      <c r="B1047" s="2">
        <v>6605.0</v>
      </c>
    </row>
    <row r="1048">
      <c r="A1048" s="3">
        <v>43374.99861111111</v>
      </c>
      <c r="B1048" s="2">
        <v>6572.83</v>
      </c>
    </row>
    <row r="1049">
      <c r="A1049" s="3">
        <v>43375.99861111111</v>
      </c>
      <c r="B1049" s="2">
        <v>6498.46</v>
      </c>
    </row>
    <row r="1050">
      <c r="A1050" s="3">
        <v>43376.99861111111</v>
      </c>
      <c r="B1050" s="2">
        <v>6466.03</v>
      </c>
    </row>
    <row r="1051">
      <c r="A1051" s="3">
        <v>43377.99861111111</v>
      </c>
      <c r="B1051" s="2">
        <v>6547.45</v>
      </c>
    </row>
    <row r="1052">
      <c r="A1052" s="3">
        <v>43378.99861111111</v>
      </c>
      <c r="B1052" s="2">
        <v>6593.94</v>
      </c>
    </row>
    <row r="1053">
      <c r="A1053" s="3">
        <v>43379.99861111111</v>
      </c>
      <c r="B1053" s="2">
        <v>6552.43</v>
      </c>
    </row>
    <row r="1054">
      <c r="A1054" s="3">
        <v>43380.99861111111</v>
      </c>
      <c r="B1054" s="2">
        <v>6570.0</v>
      </c>
    </row>
    <row r="1055">
      <c r="A1055" s="3">
        <v>43381.99861111111</v>
      </c>
      <c r="B1055" s="2">
        <v>6608.07</v>
      </c>
    </row>
    <row r="1056">
      <c r="A1056" s="3">
        <v>43382.99861111111</v>
      </c>
      <c r="B1056" s="2">
        <v>6589.48</v>
      </c>
    </row>
    <row r="1057">
      <c r="A1057" s="3">
        <v>43383.99861111111</v>
      </c>
      <c r="B1057" s="2">
        <v>6524.56</v>
      </c>
    </row>
    <row r="1058">
      <c r="A1058" s="3">
        <v>43384.99861111111</v>
      </c>
      <c r="B1058" s="2">
        <v>6154.69</v>
      </c>
    </row>
    <row r="1059">
      <c r="A1059" s="3">
        <v>43385.99861111111</v>
      </c>
      <c r="B1059" s="2">
        <v>6188.01</v>
      </c>
    </row>
    <row r="1060">
      <c r="A1060" s="3">
        <v>43386.99861111111</v>
      </c>
      <c r="B1060" s="2">
        <v>6196.0</v>
      </c>
    </row>
    <row r="1061">
      <c r="A1061" s="3">
        <v>43387.99861111111</v>
      </c>
      <c r="B1061" s="2">
        <v>6183.49</v>
      </c>
    </row>
    <row r="1062">
      <c r="A1062" s="3">
        <v>43388.99861111111</v>
      </c>
      <c r="B1062" s="2">
        <v>6440.42</v>
      </c>
    </row>
    <row r="1063">
      <c r="A1063" s="3">
        <v>43389.99861111111</v>
      </c>
      <c r="B1063" s="2">
        <v>6457.11</v>
      </c>
    </row>
    <row r="1064">
      <c r="A1064" s="3">
        <v>43390.99861111111</v>
      </c>
      <c r="B1064" s="2">
        <v>6443.7</v>
      </c>
    </row>
    <row r="1065">
      <c r="A1065" s="3">
        <v>43391.99861111111</v>
      </c>
      <c r="B1065" s="2">
        <v>6394.96</v>
      </c>
    </row>
    <row r="1066">
      <c r="A1066" s="3">
        <v>43392.99861111111</v>
      </c>
      <c r="B1066" s="2">
        <v>6382.99</v>
      </c>
    </row>
    <row r="1067">
      <c r="A1067" s="3">
        <v>43393.99861111111</v>
      </c>
      <c r="B1067" s="2">
        <v>6414.0</v>
      </c>
    </row>
    <row r="1068">
      <c r="A1068" s="3">
        <v>43394.99861111111</v>
      </c>
      <c r="B1068" s="2">
        <v>6415.88</v>
      </c>
    </row>
    <row r="1069">
      <c r="A1069" s="3">
        <v>43395.99861111111</v>
      </c>
      <c r="B1069" s="2">
        <v>6407.65</v>
      </c>
    </row>
    <row r="1070">
      <c r="A1070" s="3">
        <v>43396.99861111111</v>
      </c>
      <c r="B1070" s="2">
        <v>6395.14</v>
      </c>
    </row>
    <row r="1071">
      <c r="A1071" s="3">
        <v>43397.99861111111</v>
      </c>
      <c r="B1071" s="2">
        <v>6415.98</v>
      </c>
    </row>
    <row r="1072">
      <c r="A1072" s="3">
        <v>43398.99861111111</v>
      </c>
      <c r="B1072" s="2">
        <v>6395.58</v>
      </c>
    </row>
    <row r="1073">
      <c r="A1073" s="3">
        <v>43399.99861111111</v>
      </c>
      <c r="B1073" s="2">
        <v>6404.87</v>
      </c>
    </row>
    <row r="1074">
      <c r="A1074" s="3">
        <v>43400.99861111111</v>
      </c>
      <c r="B1074" s="2">
        <v>6409.12</v>
      </c>
    </row>
    <row r="1075">
      <c r="A1075" s="3">
        <v>43401.99861111111</v>
      </c>
      <c r="B1075" s="2">
        <v>6403.62</v>
      </c>
    </row>
    <row r="1076">
      <c r="A1076" s="3">
        <v>43402.99861111111</v>
      </c>
      <c r="B1076" s="2">
        <v>6266.0</v>
      </c>
    </row>
    <row r="1077">
      <c r="A1077" s="3">
        <v>43403.99861111111</v>
      </c>
      <c r="B1077" s="2">
        <v>6267.63</v>
      </c>
    </row>
    <row r="1078">
      <c r="A1078" s="3">
        <v>43404.99861111111</v>
      </c>
      <c r="B1078" s="2">
        <v>6304.18</v>
      </c>
    </row>
    <row r="1079">
      <c r="A1079" s="3">
        <v>43405.99861111111</v>
      </c>
      <c r="B1079" s="2">
        <v>6344.0</v>
      </c>
    </row>
    <row r="1080">
      <c r="A1080" s="3">
        <v>43406.99861111111</v>
      </c>
      <c r="B1080" s="2">
        <v>6349.8</v>
      </c>
    </row>
    <row r="1081">
      <c r="A1081" s="3">
        <v>43407.99861111111</v>
      </c>
      <c r="B1081" s="2">
        <v>6331.96</v>
      </c>
    </row>
    <row r="1082">
      <c r="A1082" s="3">
        <v>43408.99861111111</v>
      </c>
      <c r="B1082" s="2">
        <v>6423.28</v>
      </c>
    </row>
    <row r="1083">
      <c r="A1083" s="3">
        <v>43409.99861111111</v>
      </c>
      <c r="B1083" s="2">
        <v>6404.0</v>
      </c>
    </row>
    <row r="1084">
      <c r="A1084" s="3">
        <v>43410.99861111111</v>
      </c>
      <c r="B1084" s="2">
        <v>6448.5</v>
      </c>
    </row>
    <row r="1085">
      <c r="A1085" s="3">
        <v>43411.99861111111</v>
      </c>
      <c r="B1085" s="2">
        <v>6503.12</v>
      </c>
    </row>
    <row r="1086">
      <c r="A1086" s="3">
        <v>43412.99861111111</v>
      </c>
      <c r="B1086" s="2">
        <v>6406.24</v>
      </c>
    </row>
    <row r="1087">
      <c r="A1087" s="3">
        <v>43413.99861111111</v>
      </c>
      <c r="B1087" s="2">
        <v>6334.89</v>
      </c>
    </row>
    <row r="1088">
      <c r="A1088" s="3">
        <v>43414.99861111111</v>
      </c>
      <c r="B1088" s="2">
        <v>6347.42</v>
      </c>
    </row>
    <row r="1089">
      <c r="A1089" s="3">
        <v>43415.99861111111</v>
      </c>
      <c r="B1089" s="2">
        <v>6357.6</v>
      </c>
    </row>
    <row r="1090">
      <c r="A1090" s="3">
        <v>43416.99861111111</v>
      </c>
      <c r="B1090" s="2">
        <v>6327.87</v>
      </c>
    </row>
    <row r="1091">
      <c r="A1091" s="3">
        <v>43417.99861111111</v>
      </c>
      <c r="B1091" s="2">
        <v>6259.34</v>
      </c>
    </row>
    <row r="1092">
      <c r="A1092" s="3">
        <v>43418.99861111111</v>
      </c>
      <c r="B1092" s="2">
        <v>5605.46</v>
      </c>
    </row>
    <row r="1093">
      <c r="A1093" s="3">
        <v>43419.99861111111</v>
      </c>
      <c r="B1093" s="2">
        <v>5579.52</v>
      </c>
    </row>
    <row r="1094">
      <c r="A1094" s="3">
        <v>43420.99861111111</v>
      </c>
      <c r="B1094" s="2">
        <v>5512.24</v>
      </c>
    </row>
    <row r="1095">
      <c r="A1095" s="3">
        <v>43421.99861111111</v>
      </c>
      <c r="B1095" s="2">
        <v>5504.17</v>
      </c>
    </row>
    <row r="1096">
      <c r="A1096" s="3">
        <v>43422.99861111111</v>
      </c>
      <c r="B1096" s="2">
        <v>5560.0</v>
      </c>
    </row>
    <row r="1097">
      <c r="A1097" s="3">
        <v>43423.99861111111</v>
      </c>
      <c r="B1097" s="2">
        <v>4733.5</v>
      </c>
    </row>
    <row r="1098">
      <c r="A1098" s="3">
        <v>43424.99861111111</v>
      </c>
      <c r="B1098" s="2">
        <v>4349.23</v>
      </c>
    </row>
    <row r="1099">
      <c r="A1099" s="3">
        <v>43425.99861111111</v>
      </c>
      <c r="B1099" s="2">
        <v>4545.11</v>
      </c>
    </row>
    <row r="1100">
      <c r="A1100" s="3">
        <v>43426.99861111111</v>
      </c>
      <c r="B1100" s="2">
        <v>4265.36</v>
      </c>
    </row>
    <row r="1101">
      <c r="A1101" s="3">
        <v>43427.99861111111</v>
      </c>
      <c r="B1101" s="2">
        <v>4283.8</v>
      </c>
    </row>
    <row r="1102">
      <c r="A1102" s="3">
        <v>43428.99861111111</v>
      </c>
      <c r="B1102" s="2">
        <v>3774.99</v>
      </c>
    </row>
    <row r="1103">
      <c r="A1103" s="3">
        <v>43429.99861111111</v>
      </c>
      <c r="B1103" s="2">
        <v>3936.69</v>
      </c>
    </row>
    <row r="1104">
      <c r="A1104" s="3">
        <v>43430.99861111111</v>
      </c>
      <c r="B1104" s="2">
        <v>3731.32</v>
      </c>
    </row>
    <row r="1105">
      <c r="A1105" s="3">
        <v>43431.99861111111</v>
      </c>
      <c r="B1105" s="2">
        <v>3775.0</v>
      </c>
    </row>
    <row r="1106">
      <c r="A1106" s="3">
        <v>43432.99861111111</v>
      </c>
      <c r="B1106" s="2">
        <v>4225.03</v>
      </c>
    </row>
    <row r="1107">
      <c r="A1107" s="3">
        <v>43433.99861111111</v>
      </c>
      <c r="B1107" s="2">
        <v>4248.0</v>
      </c>
    </row>
    <row r="1108">
      <c r="A1108" s="3">
        <v>43434.99861111111</v>
      </c>
      <c r="B1108" s="2">
        <v>3976.0</v>
      </c>
    </row>
    <row r="1109">
      <c r="A1109" s="3">
        <v>43435.99861111111</v>
      </c>
      <c r="B1109" s="2">
        <v>4142.01</v>
      </c>
    </row>
    <row r="1110">
      <c r="A1110" s="3">
        <v>43436.99861111111</v>
      </c>
      <c r="B1110" s="2">
        <v>4103.19</v>
      </c>
    </row>
    <row r="1111">
      <c r="A1111" s="3">
        <v>43437.99861111111</v>
      </c>
      <c r="B1111" s="2">
        <v>3833.47</v>
      </c>
    </row>
    <row r="1112">
      <c r="A1112" s="3">
        <v>43438.99861111111</v>
      </c>
      <c r="B1112" s="2">
        <v>3901.84</v>
      </c>
    </row>
    <row r="1113">
      <c r="A1113" s="3">
        <v>43439.99861111111</v>
      </c>
      <c r="B1113" s="2">
        <v>3694.39</v>
      </c>
    </row>
    <row r="1114">
      <c r="A1114" s="3">
        <v>43440.99861111111</v>
      </c>
      <c r="B1114" s="2">
        <v>3433.26</v>
      </c>
    </row>
    <row r="1115">
      <c r="A1115" s="3">
        <v>43441.99861111111</v>
      </c>
      <c r="B1115" s="2">
        <v>3380.01</v>
      </c>
    </row>
    <row r="1116">
      <c r="A1116" s="3">
        <v>43442.99861111111</v>
      </c>
      <c r="B1116" s="2">
        <v>3401.0</v>
      </c>
    </row>
    <row r="1117">
      <c r="A1117" s="3">
        <v>43443.99861111111</v>
      </c>
      <c r="B1117" s="2">
        <v>3531.18</v>
      </c>
    </row>
    <row r="1118">
      <c r="A1118" s="3">
        <v>43444.99861111111</v>
      </c>
      <c r="B1118" s="2">
        <v>3410.15</v>
      </c>
    </row>
    <row r="1119">
      <c r="A1119" s="3">
        <v>43445.99861111111</v>
      </c>
      <c r="B1119" s="2">
        <v>3349.36</v>
      </c>
    </row>
    <row r="1120">
      <c r="A1120" s="3">
        <v>43446.99861111111</v>
      </c>
      <c r="B1120" s="2">
        <v>3430.24</v>
      </c>
    </row>
    <row r="1121">
      <c r="A1121" s="3">
        <v>43447.99861111111</v>
      </c>
      <c r="B1121" s="2">
        <v>3265.0</v>
      </c>
    </row>
    <row r="1122">
      <c r="A1122" s="3">
        <v>43448.99861111111</v>
      </c>
      <c r="B1122" s="2">
        <v>3195.71</v>
      </c>
    </row>
    <row r="1123">
      <c r="A1123" s="3">
        <v>43449.99861111111</v>
      </c>
      <c r="B1123" s="2">
        <v>3183.0</v>
      </c>
    </row>
    <row r="1124">
      <c r="A1124" s="3">
        <v>43450.99861111111</v>
      </c>
      <c r="B1124" s="2">
        <v>3195.0</v>
      </c>
    </row>
    <row r="1125">
      <c r="A1125" s="3">
        <v>43451.99861111111</v>
      </c>
      <c r="B1125" s="2">
        <v>3496.82</v>
      </c>
    </row>
    <row r="1126">
      <c r="A1126" s="3">
        <v>43452.99861111111</v>
      </c>
      <c r="B1126" s="2">
        <v>3667.77</v>
      </c>
    </row>
    <row r="1127">
      <c r="A1127" s="3">
        <v>43453.99861111111</v>
      </c>
      <c r="B1127" s="2">
        <v>3682.51</v>
      </c>
    </row>
    <row r="1128">
      <c r="A1128" s="3">
        <v>43454.99861111111</v>
      </c>
      <c r="B1128" s="2">
        <v>4075.34</v>
      </c>
    </row>
    <row r="1129">
      <c r="A1129" s="3">
        <v>43455.99861111111</v>
      </c>
      <c r="B1129" s="2">
        <v>3839.06</v>
      </c>
    </row>
    <row r="1130">
      <c r="A1130" s="3">
        <v>43456.99861111111</v>
      </c>
      <c r="B1130" s="2">
        <v>3980.46</v>
      </c>
    </row>
    <row r="1131">
      <c r="A1131" s="3">
        <v>43457.99861111111</v>
      </c>
      <c r="B1131" s="2">
        <v>3944.93</v>
      </c>
    </row>
    <row r="1132">
      <c r="A1132" s="3">
        <v>43458.99861111111</v>
      </c>
      <c r="B1132" s="2">
        <v>4034.0</v>
      </c>
    </row>
    <row r="1133">
      <c r="A1133" s="3">
        <v>43459.99861111111</v>
      </c>
      <c r="B1133" s="2">
        <v>3780.0</v>
      </c>
    </row>
    <row r="1134">
      <c r="A1134" s="3">
        <v>43460.99861111111</v>
      </c>
      <c r="B1134" s="2">
        <v>3809.88</v>
      </c>
    </row>
    <row r="1135">
      <c r="A1135" s="3">
        <v>43461.99861111111</v>
      </c>
      <c r="B1135" s="2">
        <v>3589.89</v>
      </c>
    </row>
    <row r="1136">
      <c r="A1136" s="3">
        <v>43462.99861111111</v>
      </c>
      <c r="B1136" s="2">
        <v>3888.06</v>
      </c>
    </row>
    <row r="1137">
      <c r="A1137" s="3">
        <v>43463.99861111111</v>
      </c>
      <c r="B1137" s="2">
        <v>3729.31</v>
      </c>
    </row>
    <row r="1138">
      <c r="A1138" s="3">
        <v>43464.99861111111</v>
      </c>
      <c r="B1138" s="2">
        <v>3829.0</v>
      </c>
    </row>
    <row r="1139">
      <c r="A1139" s="3">
        <v>43465.99861111111</v>
      </c>
      <c r="B1139" s="2">
        <v>3691.86</v>
      </c>
    </row>
    <row r="1140">
      <c r="A1140" s="3">
        <v>43466.99861111111</v>
      </c>
      <c r="B1140" s="2">
        <v>3826.1</v>
      </c>
    </row>
    <row r="1141">
      <c r="A1141" s="3">
        <v>43467.99861111111</v>
      </c>
      <c r="B1141" s="2">
        <v>3890.79</v>
      </c>
    </row>
    <row r="1142">
      <c r="A1142" s="3">
        <v>43468.99861111111</v>
      </c>
      <c r="B1142" s="2">
        <v>3787.57</v>
      </c>
    </row>
    <row r="1143">
      <c r="A1143" s="3">
        <v>43469.99861111111</v>
      </c>
      <c r="B1143" s="2">
        <v>3820.25</v>
      </c>
    </row>
    <row r="1144">
      <c r="A1144" s="3">
        <v>43470.99861111111</v>
      </c>
      <c r="B1144" s="2">
        <v>3798.62</v>
      </c>
    </row>
    <row r="1145">
      <c r="A1145" s="3">
        <v>43471.99861111111</v>
      </c>
      <c r="B1145" s="2">
        <v>4040.99</v>
      </c>
    </row>
    <row r="1146">
      <c r="A1146" s="3">
        <v>43472.99861111111</v>
      </c>
      <c r="B1146" s="2">
        <v>4006.01</v>
      </c>
    </row>
    <row r="1147">
      <c r="A1147" s="3">
        <v>43473.99861111111</v>
      </c>
      <c r="B1147" s="2">
        <v>3993.86</v>
      </c>
    </row>
    <row r="1148">
      <c r="A1148" s="3">
        <v>43474.99861111111</v>
      </c>
      <c r="B1148" s="2">
        <v>4004.12</v>
      </c>
    </row>
    <row r="1149">
      <c r="A1149" s="3">
        <v>43475.99861111111</v>
      </c>
      <c r="B1149" s="2">
        <v>3626.12</v>
      </c>
    </row>
    <row r="1150">
      <c r="A1150" s="3">
        <v>43476.99861111111</v>
      </c>
      <c r="B1150" s="2">
        <v>3635.69</v>
      </c>
    </row>
    <row r="1151">
      <c r="A1151" s="3">
        <v>43477.99861111111</v>
      </c>
      <c r="B1151" s="2">
        <v>3619.41</v>
      </c>
    </row>
    <row r="1152">
      <c r="A1152" s="3">
        <v>43478.99861111111</v>
      </c>
      <c r="B1152" s="2">
        <v>3514.24</v>
      </c>
    </row>
    <row r="1153">
      <c r="A1153" s="3">
        <v>43479.99861111111</v>
      </c>
      <c r="B1153" s="2">
        <v>3664.19</v>
      </c>
    </row>
    <row r="1154">
      <c r="A1154" s="3">
        <v>43480.99861111111</v>
      </c>
      <c r="B1154" s="2">
        <v>3580.76</v>
      </c>
    </row>
    <row r="1155">
      <c r="A1155" s="3">
        <v>43481.99861111111</v>
      </c>
      <c r="B1155" s="2">
        <v>3609.71</v>
      </c>
    </row>
    <row r="1156">
      <c r="A1156" s="3">
        <v>43482.99861111111</v>
      </c>
      <c r="B1156" s="2">
        <v>3640.65</v>
      </c>
    </row>
    <row r="1157">
      <c r="A1157" s="3">
        <v>43483.99861111111</v>
      </c>
      <c r="B1157" s="2">
        <v>3607.85</v>
      </c>
    </row>
    <row r="1158">
      <c r="A1158" s="3">
        <v>43484.99861111111</v>
      </c>
      <c r="B1158" s="2">
        <v>3682.65</v>
      </c>
    </row>
    <row r="1159">
      <c r="A1159" s="3">
        <v>43485.99861111111</v>
      </c>
      <c r="B1159" s="2">
        <v>3536.19</v>
      </c>
    </row>
    <row r="1160">
      <c r="A1160" s="3">
        <v>43486.99861111111</v>
      </c>
      <c r="B1160" s="2">
        <v>3531.76</v>
      </c>
    </row>
    <row r="1161">
      <c r="A1161" s="3">
        <v>43487.99861111111</v>
      </c>
      <c r="B1161" s="2">
        <v>3577.03</v>
      </c>
    </row>
    <row r="1162">
      <c r="A1162" s="3">
        <v>43488.99861111111</v>
      </c>
      <c r="B1162" s="2">
        <v>3553.01</v>
      </c>
    </row>
    <row r="1163">
      <c r="A1163" s="3">
        <v>43489.99861111111</v>
      </c>
      <c r="B1163" s="2">
        <v>3568.97</v>
      </c>
    </row>
    <row r="1164">
      <c r="A1164" s="3">
        <v>43490.99861111111</v>
      </c>
      <c r="B1164" s="2">
        <v>3562.17</v>
      </c>
    </row>
    <row r="1165">
      <c r="A1165" s="3">
        <v>43491.99861111111</v>
      </c>
      <c r="B1165" s="2">
        <v>3556.07</v>
      </c>
    </row>
    <row r="1166">
      <c r="A1166" s="3">
        <v>43492.99861111111</v>
      </c>
      <c r="B1166" s="2">
        <v>3531.02</v>
      </c>
    </row>
    <row r="1167">
      <c r="A1167" s="3">
        <v>43493.99861111111</v>
      </c>
      <c r="B1167" s="2">
        <v>3429.95</v>
      </c>
    </row>
    <row r="1168">
      <c r="A1168" s="3">
        <v>43494.99861111111</v>
      </c>
      <c r="B1168" s="2">
        <v>3397.42</v>
      </c>
    </row>
    <row r="1169">
      <c r="A1169" s="3">
        <v>43495.99861111111</v>
      </c>
      <c r="B1169" s="2">
        <v>3437.55</v>
      </c>
    </row>
    <row r="1170">
      <c r="A1170" s="3">
        <v>43496.99861111111</v>
      </c>
      <c r="B1170" s="2">
        <v>3411.5</v>
      </c>
    </row>
    <row r="1171">
      <c r="A1171" s="3">
        <v>43497.99861111111</v>
      </c>
      <c r="B1171" s="2">
        <v>3437.5</v>
      </c>
    </row>
    <row r="1172">
      <c r="A1172" s="3">
        <v>43498.99861111111</v>
      </c>
      <c r="B1172" s="2">
        <v>3468.43</v>
      </c>
    </row>
    <row r="1173">
      <c r="A1173" s="3">
        <v>43499.99861111111</v>
      </c>
      <c r="B1173" s="2">
        <v>3414.78</v>
      </c>
    </row>
    <row r="1174">
      <c r="A1174" s="3">
        <v>43500.99861111111</v>
      </c>
      <c r="B1174" s="2">
        <v>3409.57</v>
      </c>
    </row>
    <row r="1175">
      <c r="A1175" s="3">
        <v>43501.99861111111</v>
      </c>
      <c r="B1175" s="2">
        <v>3428.4</v>
      </c>
    </row>
    <row r="1176">
      <c r="A1176" s="3">
        <v>43502.99861111111</v>
      </c>
      <c r="B1176" s="2">
        <v>3367.36</v>
      </c>
    </row>
    <row r="1177">
      <c r="A1177" s="3">
        <v>43503.99861111111</v>
      </c>
      <c r="B1177" s="2">
        <v>3359.0</v>
      </c>
    </row>
    <row r="1178">
      <c r="A1178" s="3">
        <v>43504.99861111111</v>
      </c>
      <c r="B1178" s="2">
        <v>3621.99</v>
      </c>
    </row>
    <row r="1179">
      <c r="A1179" s="3">
        <v>43505.99861111111</v>
      </c>
      <c r="B1179" s="2">
        <v>3623.73</v>
      </c>
    </row>
    <row r="1180">
      <c r="A1180" s="3">
        <v>43506.99861111111</v>
      </c>
      <c r="B1180" s="2">
        <v>3648.84</v>
      </c>
    </row>
    <row r="1181">
      <c r="A1181" s="3">
        <v>43507.99861111111</v>
      </c>
      <c r="B1181" s="2">
        <v>3590.36</v>
      </c>
    </row>
    <row r="1182">
      <c r="A1182" s="3">
        <v>43508.99861111111</v>
      </c>
      <c r="B1182" s="2">
        <v>3588.06</v>
      </c>
    </row>
    <row r="1183">
      <c r="A1183" s="3">
        <v>43509.99861111111</v>
      </c>
      <c r="B1183" s="2">
        <v>3576.68</v>
      </c>
    </row>
    <row r="1184">
      <c r="A1184" s="3">
        <v>43510.99861111111</v>
      </c>
      <c r="B1184" s="2">
        <v>3561.5</v>
      </c>
    </row>
    <row r="1185">
      <c r="A1185" s="3">
        <v>43511.99861111111</v>
      </c>
      <c r="B1185" s="2">
        <v>3566.59</v>
      </c>
    </row>
    <row r="1186">
      <c r="A1186" s="3">
        <v>43512.99861111111</v>
      </c>
      <c r="B1186" s="2">
        <v>3582.37</v>
      </c>
    </row>
    <row r="1187">
      <c r="A1187" s="3">
        <v>43513.99861111111</v>
      </c>
      <c r="B1187" s="2">
        <v>3625.08</v>
      </c>
    </row>
    <row r="1188">
      <c r="A1188" s="3">
        <v>43514.99861111111</v>
      </c>
      <c r="B1188" s="2">
        <v>3867.0</v>
      </c>
    </row>
    <row r="1189">
      <c r="A1189" s="3">
        <v>43515.99861111111</v>
      </c>
      <c r="B1189" s="2">
        <v>3888.01</v>
      </c>
    </row>
    <row r="1190">
      <c r="A1190" s="3">
        <v>43516.99861111111</v>
      </c>
      <c r="B1190" s="2">
        <v>3938.99</v>
      </c>
    </row>
    <row r="1191">
      <c r="A1191" s="3">
        <v>43517.99861111111</v>
      </c>
      <c r="B1191" s="2">
        <v>3897.71</v>
      </c>
    </row>
    <row r="1192">
      <c r="A1192" s="3">
        <v>43518.99861111111</v>
      </c>
      <c r="B1192" s="2">
        <v>3942.02</v>
      </c>
    </row>
    <row r="1193">
      <c r="A1193" s="3">
        <v>43519.99861111111</v>
      </c>
      <c r="B1193" s="2">
        <v>4110.0</v>
      </c>
    </row>
    <row r="1194">
      <c r="A1194" s="3">
        <v>43520.99861111111</v>
      </c>
      <c r="B1194" s="2">
        <v>3734.22</v>
      </c>
    </row>
    <row r="1195">
      <c r="A1195" s="3">
        <v>43521.99861111111</v>
      </c>
      <c r="B1195" s="2">
        <v>3818.79</v>
      </c>
    </row>
    <row r="1196">
      <c r="A1196" s="3">
        <v>43522.99861111111</v>
      </c>
      <c r="B1196" s="2">
        <v>3799.48</v>
      </c>
    </row>
    <row r="1197">
      <c r="A1197" s="3">
        <v>43523.99861111111</v>
      </c>
      <c r="B1197" s="2">
        <v>3799.91</v>
      </c>
    </row>
    <row r="1198">
      <c r="A1198" s="3">
        <v>43524.99861111111</v>
      </c>
      <c r="B1198" s="2">
        <v>3792.14</v>
      </c>
    </row>
    <row r="1199">
      <c r="A1199" s="3">
        <v>43525.99861111111</v>
      </c>
      <c r="B1199" s="2">
        <v>3806.17</v>
      </c>
    </row>
    <row r="1200">
      <c r="A1200" s="3">
        <v>43526.99861111111</v>
      </c>
      <c r="B1200" s="2">
        <v>3809.7</v>
      </c>
    </row>
    <row r="1201">
      <c r="A1201" s="3">
        <v>43527.99861111111</v>
      </c>
      <c r="B1201" s="2">
        <v>3786.93</v>
      </c>
    </row>
    <row r="1202">
      <c r="A1202" s="3">
        <v>43528.99861111111</v>
      </c>
      <c r="B1202" s="2">
        <v>3700.72</v>
      </c>
    </row>
    <row r="1203">
      <c r="A1203" s="3">
        <v>43529.99861111111</v>
      </c>
      <c r="B1203" s="2">
        <v>3844.59</v>
      </c>
    </row>
    <row r="1204">
      <c r="A1204" s="3">
        <v>43530.99861111111</v>
      </c>
      <c r="B1204" s="2">
        <v>3851.89</v>
      </c>
    </row>
    <row r="1205">
      <c r="A1205" s="3">
        <v>43531.99861111111</v>
      </c>
      <c r="B1205" s="2">
        <v>3857.05</v>
      </c>
    </row>
    <row r="1206">
      <c r="A1206" s="3">
        <v>43532.99861111111</v>
      </c>
      <c r="B1206" s="2">
        <v>3843.12</v>
      </c>
    </row>
    <row r="1207">
      <c r="A1207" s="3">
        <v>43533.99861111111</v>
      </c>
      <c r="B1207" s="2">
        <v>3917.0</v>
      </c>
    </row>
    <row r="1208">
      <c r="A1208" s="3">
        <v>43534.99861111111</v>
      </c>
      <c r="B1208" s="2">
        <v>3900.92</v>
      </c>
    </row>
    <row r="1209">
      <c r="A1209" s="3">
        <v>43535.99861111111</v>
      </c>
      <c r="B1209" s="2">
        <v>3849.68</v>
      </c>
    </row>
    <row r="1210">
      <c r="A1210" s="3">
        <v>43536.99861111111</v>
      </c>
      <c r="B1210" s="2">
        <v>3860.0</v>
      </c>
    </row>
    <row r="1211">
      <c r="A1211" s="3">
        <v>43537.99861111111</v>
      </c>
      <c r="B1211" s="2">
        <v>3851.02</v>
      </c>
    </row>
    <row r="1212">
      <c r="A1212" s="3">
        <v>43538.99861111111</v>
      </c>
      <c r="B1212" s="2">
        <v>3853.95</v>
      </c>
    </row>
    <row r="1213">
      <c r="A1213" s="3">
        <v>43539.99861111111</v>
      </c>
      <c r="B1213" s="2">
        <v>3902.8</v>
      </c>
    </row>
    <row r="1214">
      <c r="A1214" s="3">
        <v>43540.99861111111</v>
      </c>
      <c r="B1214" s="2">
        <v>3990.0</v>
      </c>
    </row>
    <row r="1215">
      <c r="A1215" s="3">
        <v>43541.99861111111</v>
      </c>
      <c r="B1215" s="2">
        <v>3967.01</v>
      </c>
    </row>
    <row r="1216">
      <c r="A1216" s="3">
        <v>43542.99861111111</v>
      </c>
      <c r="B1216" s="2">
        <v>3970.5</v>
      </c>
    </row>
    <row r="1217">
      <c r="A1217" s="3">
        <v>43543.99861111111</v>
      </c>
      <c r="B1217" s="2">
        <v>4000.85</v>
      </c>
    </row>
    <row r="1218">
      <c r="A1218" s="3">
        <v>43544.99861111111</v>
      </c>
      <c r="B1218" s="2">
        <v>4033.0</v>
      </c>
    </row>
    <row r="1219">
      <c r="A1219" s="3">
        <v>43545.99861111111</v>
      </c>
      <c r="B1219" s="2">
        <v>3972.76</v>
      </c>
    </row>
    <row r="1220">
      <c r="A1220" s="3">
        <v>43546.99861111111</v>
      </c>
      <c r="B1220" s="2">
        <v>3983.78</v>
      </c>
    </row>
    <row r="1221">
      <c r="A1221" s="3">
        <v>43547.99861111111</v>
      </c>
      <c r="B1221" s="2">
        <v>3983.43</v>
      </c>
    </row>
    <row r="1222">
      <c r="A1222" s="3">
        <v>43548.99861111111</v>
      </c>
      <c r="B1222" s="2">
        <v>3969.52</v>
      </c>
    </row>
    <row r="1223">
      <c r="A1223" s="3">
        <v>43549.99861111111</v>
      </c>
      <c r="B1223" s="2">
        <v>3908.01</v>
      </c>
    </row>
    <row r="1224">
      <c r="A1224" s="3">
        <v>43550.99861111111</v>
      </c>
      <c r="B1224" s="2">
        <v>3922.42</v>
      </c>
    </row>
    <row r="1225">
      <c r="A1225" s="3">
        <v>43551.99861111111</v>
      </c>
      <c r="B1225" s="2">
        <v>4026.53</v>
      </c>
    </row>
    <row r="1226">
      <c r="A1226" s="3">
        <v>43552.99861111111</v>
      </c>
      <c r="B1226" s="2">
        <v>4011.17</v>
      </c>
    </row>
    <row r="1227">
      <c r="A1227" s="3">
        <v>43553.99861111111</v>
      </c>
      <c r="B1227" s="2">
        <v>4091.01</v>
      </c>
    </row>
    <row r="1228">
      <c r="A1228" s="3">
        <v>43554.99861111111</v>
      </c>
      <c r="B1228" s="2">
        <v>4094.14</v>
      </c>
    </row>
    <row r="1229">
      <c r="A1229" s="3">
        <v>43555.99861111111</v>
      </c>
      <c r="B1229" s="2">
        <v>4095.0</v>
      </c>
    </row>
    <row r="1230">
      <c r="A1230" s="3">
        <v>43556.99861111111</v>
      </c>
      <c r="B1230" s="2">
        <v>4137.01</v>
      </c>
    </row>
    <row r="1231">
      <c r="A1231" s="3">
        <v>43557.99861111111</v>
      </c>
      <c r="B1231" s="2">
        <v>4901.93</v>
      </c>
    </row>
    <row r="1232">
      <c r="A1232" s="3">
        <v>43558.99861111111</v>
      </c>
      <c r="B1232" s="2">
        <v>4975.07</v>
      </c>
    </row>
    <row r="1233">
      <c r="A1233" s="3">
        <v>43559.99861111111</v>
      </c>
      <c r="B1233" s="2">
        <v>4906.49</v>
      </c>
    </row>
    <row r="1234">
      <c r="A1234" s="3">
        <v>43560.99861111111</v>
      </c>
      <c r="B1234" s="2">
        <v>5040.66</v>
      </c>
    </row>
    <row r="1235">
      <c r="A1235" s="3">
        <v>43561.99861111111</v>
      </c>
      <c r="B1235" s="2">
        <v>5049.22</v>
      </c>
    </row>
    <row r="1236">
      <c r="A1236" s="3">
        <v>43562.99861111111</v>
      </c>
      <c r="B1236" s="2">
        <v>5190.2</v>
      </c>
    </row>
    <row r="1237">
      <c r="A1237" s="3">
        <v>43563.99861111111</v>
      </c>
      <c r="B1237" s="2">
        <v>5285.54</v>
      </c>
    </row>
    <row r="1238">
      <c r="A1238" s="3">
        <v>43564.99861111111</v>
      </c>
      <c r="B1238" s="2">
        <v>5193.49</v>
      </c>
    </row>
    <row r="1239">
      <c r="A1239" s="3">
        <v>43565.99861111111</v>
      </c>
      <c r="B1239" s="2">
        <v>5320.81</v>
      </c>
    </row>
    <row r="1240">
      <c r="A1240" s="3">
        <v>43566.99861111111</v>
      </c>
      <c r="B1240" s="2">
        <v>5041.32</v>
      </c>
    </row>
    <row r="1241">
      <c r="A1241" s="3">
        <v>43567.99861111111</v>
      </c>
      <c r="B1241" s="2">
        <v>5078.18</v>
      </c>
    </row>
    <row r="1242">
      <c r="A1242" s="3">
        <v>43568.99861111111</v>
      </c>
      <c r="B1242" s="2">
        <v>5066.22</v>
      </c>
    </row>
    <row r="1243">
      <c r="A1243" s="3">
        <v>43569.99861111111</v>
      </c>
      <c r="B1243" s="2">
        <v>5164.0</v>
      </c>
    </row>
    <row r="1244">
      <c r="A1244" s="3">
        <v>43570.99861111111</v>
      </c>
      <c r="B1244" s="2">
        <v>5029.99</v>
      </c>
    </row>
    <row r="1245">
      <c r="A1245" s="3">
        <v>43571.99861111111</v>
      </c>
      <c r="B1245" s="2">
        <v>5204.92</v>
      </c>
    </row>
    <row r="1246">
      <c r="A1246" s="3">
        <v>43572.99861111111</v>
      </c>
      <c r="B1246" s="2">
        <v>5227.0</v>
      </c>
    </row>
    <row r="1247">
      <c r="A1247" s="3">
        <v>43573.99861111111</v>
      </c>
      <c r="B1247" s="2">
        <v>5282.32</v>
      </c>
    </row>
    <row r="1248">
      <c r="A1248" s="3">
        <v>43574.99861111111</v>
      </c>
      <c r="B1248" s="2">
        <v>5290.36</v>
      </c>
    </row>
    <row r="1249">
      <c r="A1249" s="3">
        <v>43575.99861111111</v>
      </c>
      <c r="B1249" s="2">
        <v>5319.89</v>
      </c>
    </row>
    <row r="1250">
      <c r="A1250" s="3">
        <v>43576.99861111111</v>
      </c>
      <c r="B1250" s="2">
        <v>5297.64</v>
      </c>
    </row>
    <row r="1251">
      <c r="A1251" s="3">
        <v>43577.99861111111</v>
      </c>
      <c r="B1251" s="2">
        <v>5387.6</v>
      </c>
    </row>
    <row r="1252">
      <c r="A1252" s="3">
        <v>43578.99861111111</v>
      </c>
      <c r="B1252" s="2">
        <v>5532.85</v>
      </c>
    </row>
    <row r="1253">
      <c r="A1253" s="3">
        <v>43579.99861111111</v>
      </c>
      <c r="B1253" s="2">
        <v>5443.14</v>
      </c>
    </row>
    <row r="1254">
      <c r="A1254" s="3">
        <v>43580.99861111111</v>
      </c>
      <c r="B1254" s="2">
        <v>5125.3</v>
      </c>
    </row>
    <row r="1255">
      <c r="A1255" s="3">
        <v>43581.99861111111</v>
      </c>
      <c r="B1255" s="2">
        <v>5159.51</v>
      </c>
    </row>
    <row r="1256">
      <c r="A1256" s="3">
        <v>43582.99861111111</v>
      </c>
      <c r="B1256" s="2">
        <v>5170.6</v>
      </c>
    </row>
    <row r="1257">
      <c r="A1257" s="3">
        <v>43583.99861111111</v>
      </c>
      <c r="B1257" s="2">
        <v>5155.0</v>
      </c>
    </row>
    <row r="1258">
      <c r="A1258" s="3">
        <v>43584.99861111111</v>
      </c>
      <c r="B1258" s="2">
        <v>5148.25</v>
      </c>
    </row>
    <row r="1259">
      <c r="A1259" s="3">
        <v>43585.99861111111</v>
      </c>
      <c r="B1259" s="2">
        <v>5267.43</v>
      </c>
    </row>
    <row r="1260">
      <c r="A1260" s="3">
        <v>43586.99861111111</v>
      </c>
      <c r="B1260" s="2">
        <v>5321.15</v>
      </c>
    </row>
    <row r="1261">
      <c r="A1261" s="3">
        <v>43587.99861111111</v>
      </c>
      <c r="B1261" s="2">
        <v>5390.01</v>
      </c>
    </row>
    <row r="1262">
      <c r="A1262" s="3">
        <v>43588.99861111111</v>
      </c>
      <c r="B1262" s="2">
        <v>5657.4</v>
      </c>
    </row>
    <row r="1263">
      <c r="A1263" s="3">
        <v>43589.99861111111</v>
      </c>
      <c r="B1263" s="2">
        <v>5770.01</v>
      </c>
    </row>
    <row r="1264">
      <c r="A1264" s="3">
        <v>43590.99861111111</v>
      </c>
      <c r="B1264" s="2">
        <v>5715.86</v>
      </c>
    </row>
    <row r="1265">
      <c r="A1265" s="3">
        <v>43591.99861111111</v>
      </c>
      <c r="B1265" s="2">
        <v>5687.9</v>
      </c>
    </row>
    <row r="1266">
      <c r="A1266" s="3">
        <v>43592.99861111111</v>
      </c>
      <c r="B1266" s="2">
        <v>5743.3</v>
      </c>
    </row>
    <row r="1267">
      <c r="A1267" s="3">
        <v>43593.99861111111</v>
      </c>
      <c r="B1267" s="2">
        <v>5943.6</v>
      </c>
    </row>
    <row r="1268">
      <c r="A1268" s="3">
        <v>43594.99861111111</v>
      </c>
      <c r="B1268" s="2">
        <v>6153.09</v>
      </c>
    </row>
    <row r="1269">
      <c r="A1269" s="3">
        <v>43595.99861111111</v>
      </c>
      <c r="B1269" s="2">
        <v>6343.14</v>
      </c>
    </row>
    <row r="1270">
      <c r="A1270" s="3">
        <v>43596.99861111111</v>
      </c>
      <c r="B1270" s="2">
        <v>7223.21</v>
      </c>
    </row>
    <row r="1271">
      <c r="A1271" s="3">
        <v>43597.99861111111</v>
      </c>
      <c r="B1271" s="2">
        <v>6979.76</v>
      </c>
    </row>
    <row r="1272">
      <c r="A1272" s="3">
        <v>43598.99861111111</v>
      </c>
      <c r="B1272" s="2">
        <v>7825.41</v>
      </c>
    </row>
    <row r="1273">
      <c r="A1273" s="3">
        <v>43599.99861111111</v>
      </c>
      <c r="B1273" s="2">
        <v>7990.92</v>
      </c>
    </row>
    <row r="1274">
      <c r="A1274" s="3">
        <v>43600.99861111111</v>
      </c>
      <c r="B1274" s="2">
        <v>8204.24</v>
      </c>
    </row>
    <row r="1275">
      <c r="A1275" s="3">
        <v>43601.99861111111</v>
      </c>
      <c r="B1275" s="2">
        <v>7878.96</v>
      </c>
    </row>
    <row r="1276">
      <c r="A1276" s="3">
        <v>43602.99861111111</v>
      </c>
      <c r="B1276" s="2">
        <v>7361.1</v>
      </c>
    </row>
    <row r="1277">
      <c r="A1277" s="3">
        <v>43603.99861111111</v>
      </c>
      <c r="B1277" s="2">
        <v>7262.4</v>
      </c>
    </row>
    <row r="1278">
      <c r="A1278" s="3">
        <v>43604.99861111111</v>
      </c>
      <c r="B1278" s="2">
        <v>8196.59</v>
      </c>
    </row>
    <row r="1279">
      <c r="A1279" s="3">
        <v>43605.99861111111</v>
      </c>
      <c r="B1279" s="2">
        <v>7999.54</v>
      </c>
    </row>
    <row r="1280">
      <c r="A1280" s="3">
        <v>43606.99861111111</v>
      </c>
      <c r="B1280" s="2">
        <v>7951.7</v>
      </c>
    </row>
    <row r="1281">
      <c r="A1281" s="3">
        <v>43607.99861111111</v>
      </c>
      <c r="B1281" s="2">
        <v>7626.48</v>
      </c>
    </row>
    <row r="1282">
      <c r="A1282" s="3">
        <v>43608.99861111111</v>
      </c>
      <c r="B1282" s="2">
        <v>7881.98</v>
      </c>
    </row>
    <row r="1283">
      <c r="A1283" s="3">
        <v>43609.99861111111</v>
      </c>
      <c r="B1283" s="2">
        <v>8002.21</v>
      </c>
    </row>
    <row r="1284">
      <c r="A1284" s="3">
        <v>43610.99861111111</v>
      </c>
      <c r="B1284" s="2">
        <v>8063.81</v>
      </c>
    </row>
    <row r="1285">
      <c r="A1285" s="3">
        <v>43611.99861111111</v>
      </c>
      <c r="B1285" s="2">
        <v>8731.96</v>
      </c>
    </row>
    <row r="1286">
      <c r="A1286" s="3">
        <v>43612.99861111111</v>
      </c>
      <c r="B1286" s="2">
        <v>8768.62</v>
      </c>
    </row>
    <row r="1287">
      <c r="A1287" s="3">
        <v>43613.99861111111</v>
      </c>
      <c r="B1287" s="2">
        <v>8715.36</v>
      </c>
    </row>
    <row r="1288">
      <c r="A1288" s="3">
        <v>43614.99861111111</v>
      </c>
      <c r="B1288" s="2">
        <v>8662.44</v>
      </c>
    </row>
    <row r="1289">
      <c r="A1289" s="3">
        <v>43615.99861111111</v>
      </c>
      <c r="B1289" s="2">
        <v>8279.69</v>
      </c>
    </row>
    <row r="1290">
      <c r="A1290" s="3">
        <v>43616.99861111111</v>
      </c>
      <c r="B1290" s="2">
        <v>8566.04</v>
      </c>
    </row>
    <row r="1291">
      <c r="A1291" s="3">
        <v>43617.99861111111</v>
      </c>
      <c r="B1291" s="2">
        <v>8558.95</v>
      </c>
    </row>
    <row r="1292">
      <c r="A1292" s="3">
        <v>43618.99861111111</v>
      </c>
      <c r="B1292" s="2">
        <v>8736.54</v>
      </c>
    </row>
    <row r="1293">
      <c r="A1293" s="3">
        <v>43619.99861111111</v>
      </c>
      <c r="B1293" s="2">
        <v>8107.96</v>
      </c>
    </row>
    <row r="1294">
      <c r="A1294" s="3">
        <v>43620.99861111111</v>
      </c>
      <c r="B1294" s="2">
        <v>7670.96</v>
      </c>
    </row>
    <row r="1295">
      <c r="A1295" s="3">
        <v>43621.99861111111</v>
      </c>
      <c r="B1295" s="2">
        <v>7789.48</v>
      </c>
    </row>
    <row r="1296">
      <c r="A1296" s="3">
        <v>43622.99861111111</v>
      </c>
      <c r="B1296" s="2">
        <v>7802.57</v>
      </c>
    </row>
    <row r="1297">
      <c r="A1297" s="3">
        <v>43623.99861111111</v>
      </c>
      <c r="B1297" s="2">
        <v>7998.13</v>
      </c>
    </row>
    <row r="1298">
      <c r="A1298" s="3">
        <v>43624.99861111111</v>
      </c>
      <c r="B1298" s="2">
        <v>7930.14</v>
      </c>
    </row>
    <row r="1299">
      <c r="A1299" s="3">
        <v>43625.99861111111</v>
      </c>
      <c r="B1299" s="2">
        <v>7635.06</v>
      </c>
    </row>
    <row r="1300">
      <c r="A1300" s="3">
        <v>43626.99861111111</v>
      </c>
      <c r="B1300" s="2">
        <v>8015.69</v>
      </c>
    </row>
    <row r="1301">
      <c r="A1301" s="3">
        <v>43627.99861111111</v>
      </c>
      <c r="B1301" s="2">
        <v>7918.17</v>
      </c>
    </row>
    <row r="1302">
      <c r="A1302" s="3">
        <v>43628.99861111111</v>
      </c>
      <c r="B1302" s="2">
        <v>8176.02</v>
      </c>
    </row>
    <row r="1303">
      <c r="A1303" s="3">
        <v>43629.99861111111</v>
      </c>
      <c r="B1303" s="2">
        <v>8239.04</v>
      </c>
    </row>
    <row r="1304">
      <c r="A1304" s="3">
        <v>43630.99861111111</v>
      </c>
      <c r="B1304" s="2">
        <v>8697.45</v>
      </c>
    </row>
    <row r="1305">
      <c r="A1305" s="3">
        <v>43631.99861111111</v>
      </c>
      <c r="B1305" s="2">
        <v>8860.23</v>
      </c>
    </row>
    <row r="1306">
      <c r="A1306" s="3">
        <v>43632.99861111111</v>
      </c>
      <c r="B1306" s="2">
        <v>8978.66</v>
      </c>
    </row>
    <row r="1307">
      <c r="A1307" s="3">
        <v>43633.99861111111</v>
      </c>
      <c r="B1307" s="2">
        <v>9331.75</v>
      </c>
    </row>
    <row r="1308">
      <c r="A1308" s="3">
        <v>43634.99861111111</v>
      </c>
      <c r="B1308" s="2">
        <v>9071.95</v>
      </c>
    </row>
    <row r="1309">
      <c r="A1309" s="3">
        <v>43635.99861111111</v>
      </c>
      <c r="B1309" s="2">
        <v>9277.29</v>
      </c>
    </row>
    <row r="1310">
      <c r="A1310" s="3">
        <v>43636.99861111111</v>
      </c>
      <c r="B1310" s="2">
        <v>9531.21</v>
      </c>
    </row>
    <row r="1311">
      <c r="A1311" s="3">
        <v>43637.99861111111</v>
      </c>
      <c r="B1311" s="2">
        <v>10220.0</v>
      </c>
    </row>
    <row r="1312">
      <c r="A1312" s="3">
        <v>43638.99861111111</v>
      </c>
      <c r="B1312" s="2">
        <v>10666.8</v>
      </c>
    </row>
    <row r="1313">
      <c r="A1313" s="3">
        <v>43639.99861111111</v>
      </c>
      <c r="B1313" s="2">
        <v>10833.0</v>
      </c>
    </row>
    <row r="1314">
      <c r="A1314" s="3">
        <v>43640.99861111111</v>
      </c>
      <c r="B1314" s="2">
        <v>11032.3</v>
      </c>
    </row>
    <row r="1315">
      <c r="A1315" s="3">
        <v>43641.99861111111</v>
      </c>
      <c r="B1315" s="2">
        <v>11755.5</v>
      </c>
    </row>
    <row r="1316">
      <c r="A1316" s="3">
        <v>43642.99861111111</v>
      </c>
      <c r="B1316" s="2">
        <v>12927.4</v>
      </c>
    </row>
    <row r="1317">
      <c r="A1317" s="3">
        <v>43643.99861111111</v>
      </c>
      <c r="B1317" s="2">
        <v>11159.2</v>
      </c>
    </row>
    <row r="1318">
      <c r="A1318" s="3">
        <v>43644.99861111111</v>
      </c>
      <c r="B1318" s="2">
        <v>12360.4</v>
      </c>
    </row>
    <row r="1319">
      <c r="A1319" s="3">
        <v>43645.99861111111</v>
      </c>
      <c r="B1319" s="2">
        <v>11865.2</v>
      </c>
    </row>
    <row r="1320">
      <c r="A1320" s="3">
        <v>43646.99861111111</v>
      </c>
      <c r="B1320" s="2">
        <v>10760.1</v>
      </c>
    </row>
    <row r="1321">
      <c r="A1321" s="3">
        <v>43647.99861111111</v>
      </c>
      <c r="B1321" s="2">
        <v>10577.6</v>
      </c>
    </row>
    <row r="1322">
      <c r="A1322" s="3">
        <v>43648.99861111111</v>
      </c>
      <c r="B1322" s="2">
        <v>10829.1</v>
      </c>
    </row>
    <row r="1323">
      <c r="A1323" s="3">
        <v>43649.99861111111</v>
      </c>
      <c r="B1323" s="2">
        <v>11976.0</v>
      </c>
    </row>
    <row r="1324">
      <c r="A1324" s="3">
        <v>43650.99861111111</v>
      </c>
      <c r="B1324" s="2">
        <v>11137.8</v>
      </c>
    </row>
    <row r="1325">
      <c r="A1325" s="3">
        <v>43651.99861111111</v>
      </c>
      <c r="B1325" s="2">
        <v>11004.5</v>
      </c>
    </row>
    <row r="1326">
      <c r="A1326" s="3">
        <v>43652.99861111111</v>
      </c>
      <c r="B1326" s="2">
        <v>11237.7</v>
      </c>
    </row>
    <row r="1327">
      <c r="A1327" s="3">
        <v>43653.99861111111</v>
      </c>
      <c r="B1327" s="2">
        <v>11474.4</v>
      </c>
    </row>
    <row r="1328">
      <c r="A1328" s="3">
        <v>43654.99861111111</v>
      </c>
      <c r="B1328" s="2">
        <v>12293.5</v>
      </c>
    </row>
    <row r="1329">
      <c r="A1329" s="3">
        <v>43655.99861111111</v>
      </c>
      <c r="B1329" s="2">
        <v>12561.0</v>
      </c>
    </row>
    <row r="1330">
      <c r="A1330" s="3">
        <v>43656.99861111111</v>
      </c>
      <c r="B1330" s="2">
        <v>12097.9</v>
      </c>
    </row>
    <row r="1331">
      <c r="A1331" s="3">
        <v>43657.99861111111</v>
      </c>
      <c r="B1331" s="2">
        <v>11349.0</v>
      </c>
    </row>
    <row r="1332">
      <c r="A1332" s="3">
        <v>43658.99861111111</v>
      </c>
      <c r="B1332" s="2">
        <v>11802.0</v>
      </c>
    </row>
    <row r="1333">
      <c r="A1333" s="3">
        <v>43659.99861111111</v>
      </c>
      <c r="B1333" s="2">
        <v>11370.1</v>
      </c>
    </row>
    <row r="1334">
      <c r="A1334" s="3">
        <v>43660.99861111111</v>
      </c>
      <c r="B1334" s="2">
        <v>10195.6</v>
      </c>
    </row>
    <row r="1335">
      <c r="A1335" s="3">
        <v>43661.99861111111</v>
      </c>
      <c r="B1335" s="2">
        <v>10854.4</v>
      </c>
    </row>
    <row r="1336">
      <c r="A1336" s="3">
        <v>43662.99861111111</v>
      </c>
      <c r="B1336" s="2">
        <v>9422.71</v>
      </c>
    </row>
    <row r="1337">
      <c r="A1337" s="3">
        <v>43663.99861111111</v>
      </c>
      <c r="B1337" s="2">
        <v>9696.31</v>
      </c>
    </row>
    <row r="1338">
      <c r="A1338" s="3">
        <v>43664.99861111111</v>
      </c>
      <c r="B1338" s="2">
        <v>10651.4</v>
      </c>
    </row>
    <row r="1339">
      <c r="A1339" s="3">
        <v>43665.99861111111</v>
      </c>
      <c r="B1339" s="2">
        <v>10518.5</v>
      </c>
    </row>
    <row r="1340">
      <c r="A1340" s="3">
        <v>43666.99861111111</v>
      </c>
      <c r="B1340" s="2">
        <v>10761.0</v>
      </c>
    </row>
    <row r="1341">
      <c r="A1341" s="3">
        <v>43667.99861111111</v>
      </c>
      <c r="B1341" s="2">
        <v>10590.7</v>
      </c>
    </row>
    <row r="1342">
      <c r="A1342" s="3">
        <v>43668.99861111111</v>
      </c>
      <c r="B1342" s="2">
        <v>10323.3</v>
      </c>
    </row>
    <row r="1343">
      <c r="A1343" s="3">
        <v>43669.99861111111</v>
      </c>
      <c r="B1343" s="2">
        <v>9840.12</v>
      </c>
    </row>
    <row r="1344">
      <c r="A1344" s="3">
        <v>43670.99861111111</v>
      </c>
      <c r="B1344" s="2">
        <v>9767.87</v>
      </c>
    </row>
    <row r="1345">
      <c r="A1345" s="3">
        <v>43671.99861111111</v>
      </c>
      <c r="B1345" s="2">
        <v>9883.34</v>
      </c>
    </row>
    <row r="1346">
      <c r="A1346" s="3">
        <v>43672.99861111111</v>
      </c>
      <c r="B1346" s="2">
        <v>9843.0</v>
      </c>
    </row>
    <row r="1347">
      <c r="A1347" s="3">
        <v>43673.99861111111</v>
      </c>
      <c r="B1347" s="2">
        <v>9479.98</v>
      </c>
    </row>
    <row r="1348">
      <c r="A1348" s="3">
        <v>43674.99861111111</v>
      </c>
      <c r="B1348" s="2">
        <v>9532.99</v>
      </c>
    </row>
    <row r="1349">
      <c r="A1349" s="3">
        <v>43675.99861111111</v>
      </c>
      <c r="B1349" s="2">
        <v>9495.0</v>
      </c>
    </row>
    <row r="1350">
      <c r="A1350" s="3">
        <v>43676.99861111111</v>
      </c>
      <c r="B1350" s="2">
        <v>9589.01</v>
      </c>
    </row>
    <row r="1351">
      <c r="A1351" s="3">
        <v>43677.99861111111</v>
      </c>
      <c r="B1351" s="2">
        <v>10086.3</v>
      </c>
    </row>
    <row r="1352">
      <c r="A1352" s="3">
        <v>43678.99861111111</v>
      </c>
      <c r="B1352" s="2">
        <v>10405.9</v>
      </c>
    </row>
    <row r="1353">
      <c r="A1353" s="3">
        <v>43679.99861111111</v>
      </c>
      <c r="B1353" s="2">
        <v>10533.0</v>
      </c>
    </row>
    <row r="1354">
      <c r="A1354" s="3">
        <v>43680.99861111111</v>
      </c>
      <c r="B1354" s="2">
        <v>10820.7</v>
      </c>
    </row>
    <row r="1355">
      <c r="A1355" s="3">
        <v>43681.99861111111</v>
      </c>
      <c r="B1355" s="2">
        <v>10977.5</v>
      </c>
    </row>
    <row r="1356">
      <c r="A1356" s="3">
        <v>43682.99861111111</v>
      </c>
      <c r="B1356" s="2">
        <v>11819.4</v>
      </c>
    </row>
    <row r="1357">
      <c r="A1357" s="3">
        <v>43683.99861111111</v>
      </c>
      <c r="B1357" s="2">
        <v>11465.4</v>
      </c>
    </row>
    <row r="1358">
      <c r="A1358" s="3">
        <v>43684.99861111111</v>
      </c>
      <c r="B1358" s="2">
        <v>11983.7</v>
      </c>
    </row>
    <row r="1359">
      <c r="A1359" s="3">
        <v>43685.99861111111</v>
      </c>
      <c r="B1359" s="2">
        <v>11982.4</v>
      </c>
    </row>
    <row r="1360">
      <c r="A1360" s="3">
        <v>43686.99861111111</v>
      </c>
      <c r="B1360" s="2">
        <v>11856.1</v>
      </c>
    </row>
    <row r="1361">
      <c r="A1361" s="3">
        <v>43687.99861111111</v>
      </c>
      <c r="B1361" s="2">
        <v>11280.9</v>
      </c>
    </row>
    <row r="1362">
      <c r="A1362" s="3">
        <v>43688.99861111111</v>
      </c>
      <c r="B1362" s="2">
        <v>11540.7</v>
      </c>
    </row>
    <row r="1363">
      <c r="A1363" s="3">
        <v>43689.99861111111</v>
      </c>
      <c r="B1363" s="2">
        <v>11389.3</v>
      </c>
    </row>
    <row r="1364">
      <c r="A1364" s="3">
        <v>43690.99861111111</v>
      </c>
      <c r="B1364" s="2">
        <v>10868.5</v>
      </c>
    </row>
    <row r="1365">
      <c r="A1365" s="3">
        <v>43691.99861111111</v>
      </c>
      <c r="B1365" s="2">
        <v>9971.71</v>
      </c>
    </row>
    <row r="1366">
      <c r="A1366" s="3">
        <v>43692.99861111111</v>
      </c>
      <c r="B1366" s="2">
        <v>10300.0</v>
      </c>
    </row>
    <row r="1367">
      <c r="A1367" s="3">
        <v>43693.99861111111</v>
      </c>
      <c r="B1367" s="2">
        <v>10352.7</v>
      </c>
    </row>
    <row r="1368">
      <c r="A1368" s="3">
        <v>43694.99861111111</v>
      </c>
      <c r="B1368" s="2">
        <v>10215.2</v>
      </c>
    </row>
    <row r="1369">
      <c r="A1369" s="3">
        <v>43695.99861111111</v>
      </c>
      <c r="B1369" s="2">
        <v>10315.4</v>
      </c>
    </row>
    <row r="1370">
      <c r="A1370" s="3">
        <v>43696.99861111111</v>
      </c>
      <c r="B1370" s="2">
        <v>10920.0</v>
      </c>
    </row>
    <row r="1371">
      <c r="A1371" s="3">
        <v>43697.99861111111</v>
      </c>
      <c r="B1371" s="2">
        <v>10769.0</v>
      </c>
    </row>
    <row r="1372">
      <c r="A1372" s="3">
        <v>43698.99861111111</v>
      </c>
      <c r="B1372" s="2">
        <v>10130.0</v>
      </c>
    </row>
    <row r="1373">
      <c r="A1373" s="3">
        <v>43699.99861111111</v>
      </c>
      <c r="B1373" s="2">
        <v>10107.1</v>
      </c>
    </row>
    <row r="1374">
      <c r="A1374" s="3">
        <v>43700.99861111111</v>
      </c>
      <c r="B1374" s="2">
        <v>10410.8</v>
      </c>
    </row>
    <row r="1375">
      <c r="A1375" s="3">
        <v>43701.99861111111</v>
      </c>
      <c r="B1375" s="2">
        <v>10147.9</v>
      </c>
    </row>
    <row r="1376">
      <c r="A1376" s="3">
        <v>43702.99861111111</v>
      </c>
      <c r="B1376" s="2">
        <v>10140.9</v>
      </c>
    </row>
    <row r="1377">
      <c r="A1377" s="3">
        <v>43703.99861111111</v>
      </c>
      <c r="B1377" s="2">
        <v>10361.6</v>
      </c>
    </row>
    <row r="1378">
      <c r="A1378" s="3">
        <v>43704.99861111111</v>
      </c>
      <c r="B1378" s="2">
        <v>10171.8</v>
      </c>
    </row>
    <row r="1379">
      <c r="A1379" s="3">
        <v>43705.99861111111</v>
      </c>
      <c r="B1379" s="2">
        <v>9714.31</v>
      </c>
    </row>
    <row r="1380">
      <c r="A1380" s="3">
        <v>43706.99861111111</v>
      </c>
      <c r="B1380" s="2">
        <v>9495.0</v>
      </c>
    </row>
    <row r="1381">
      <c r="A1381" s="3">
        <v>43707.99861111111</v>
      </c>
      <c r="B1381" s="2">
        <v>9582.42</v>
      </c>
    </row>
    <row r="1382">
      <c r="A1382" s="3">
        <v>43708.99861111111</v>
      </c>
      <c r="B1382" s="2">
        <v>9600.86</v>
      </c>
    </row>
    <row r="1383">
      <c r="A1383" s="3">
        <v>43709.99861111111</v>
      </c>
      <c r="B1383" s="2">
        <v>9766.52</v>
      </c>
    </row>
    <row r="1384">
      <c r="A1384" s="3">
        <v>43710.99861111111</v>
      </c>
      <c r="B1384" s="2">
        <v>10381.2</v>
      </c>
    </row>
    <row r="1385">
      <c r="A1385" s="3">
        <v>43711.99861111111</v>
      </c>
      <c r="B1385" s="2">
        <v>10628.4</v>
      </c>
    </row>
    <row r="1386">
      <c r="A1386" s="3">
        <v>43712.99861111111</v>
      </c>
      <c r="B1386" s="2">
        <v>10582.2</v>
      </c>
    </row>
    <row r="1387">
      <c r="A1387" s="3">
        <v>43713.99861111111</v>
      </c>
      <c r="B1387" s="2">
        <v>10574.7</v>
      </c>
    </row>
    <row r="1388">
      <c r="A1388" s="3">
        <v>43714.99861111111</v>
      </c>
      <c r="B1388" s="2">
        <v>10306.9</v>
      </c>
    </row>
    <row r="1389">
      <c r="A1389" s="3">
        <v>43715.99861111111</v>
      </c>
      <c r="B1389" s="2">
        <v>10484.3</v>
      </c>
    </row>
    <row r="1390">
      <c r="A1390" s="3">
        <v>43716.99861111111</v>
      </c>
      <c r="B1390" s="2">
        <v>10398.9</v>
      </c>
    </row>
    <row r="1391">
      <c r="A1391" s="3">
        <v>43717.99861111111</v>
      </c>
      <c r="B1391" s="2">
        <v>10310.0</v>
      </c>
    </row>
    <row r="1392">
      <c r="A1392" s="3">
        <v>43718.99861111111</v>
      </c>
      <c r="B1392" s="2">
        <v>10084.1</v>
      </c>
    </row>
    <row r="1393">
      <c r="A1393" s="3">
        <v>43719.99861111111</v>
      </c>
      <c r="B1393" s="2">
        <v>10160.2</v>
      </c>
    </row>
    <row r="1394">
      <c r="A1394" s="3">
        <v>43720.99861111111</v>
      </c>
      <c r="B1394" s="2">
        <v>10423.7</v>
      </c>
    </row>
    <row r="1395">
      <c r="A1395" s="3">
        <v>43721.99861111111</v>
      </c>
      <c r="B1395" s="2">
        <v>10367.4</v>
      </c>
    </row>
    <row r="1396">
      <c r="A1396" s="3">
        <v>43722.99861111111</v>
      </c>
      <c r="B1396" s="2">
        <v>10360.2</v>
      </c>
    </row>
    <row r="1397">
      <c r="A1397" s="3">
        <v>43723.99861111111</v>
      </c>
      <c r="B1397" s="2">
        <v>10304.4</v>
      </c>
    </row>
    <row r="1398">
      <c r="A1398" s="3">
        <v>43724.99861111111</v>
      </c>
      <c r="B1398" s="2">
        <v>10262.5</v>
      </c>
    </row>
    <row r="1399">
      <c r="A1399" s="3">
        <v>43725.99861111111</v>
      </c>
      <c r="B1399" s="2">
        <v>10185.3</v>
      </c>
    </row>
    <row r="1400">
      <c r="A1400" s="3">
        <v>43726.99861111111</v>
      </c>
      <c r="B1400" s="2">
        <v>10155.2</v>
      </c>
    </row>
    <row r="1401">
      <c r="A1401" s="3">
        <v>43727.99861111111</v>
      </c>
      <c r="B1401" s="2">
        <v>10287.7</v>
      </c>
    </row>
    <row r="1402">
      <c r="A1402" s="3">
        <v>43728.99861111111</v>
      </c>
      <c r="B1402" s="2">
        <v>10168.8</v>
      </c>
    </row>
    <row r="1403">
      <c r="A1403" s="3">
        <v>43729.99861111111</v>
      </c>
      <c r="B1403" s="2">
        <v>9975.12</v>
      </c>
    </row>
    <row r="1404">
      <c r="A1404" s="3">
        <v>43730.99861111111</v>
      </c>
      <c r="B1404" s="2">
        <v>10026.8</v>
      </c>
    </row>
    <row r="1405">
      <c r="A1405" s="3">
        <v>43731.99861111111</v>
      </c>
      <c r="B1405" s="2">
        <v>9693.75</v>
      </c>
    </row>
    <row r="1406">
      <c r="A1406" s="3">
        <v>43732.99861111111</v>
      </c>
      <c r="B1406" s="2">
        <v>8530.01</v>
      </c>
    </row>
    <row r="1407">
      <c r="A1407" s="3">
        <v>43733.99861111111</v>
      </c>
      <c r="B1407" s="2">
        <v>8438.35</v>
      </c>
    </row>
    <row r="1408">
      <c r="A1408" s="3">
        <v>43734.99861111111</v>
      </c>
      <c r="B1408" s="2">
        <v>8068.2</v>
      </c>
    </row>
    <row r="1409">
      <c r="A1409" s="3">
        <v>43735.99861111111</v>
      </c>
      <c r="B1409" s="2">
        <v>8193.99</v>
      </c>
    </row>
    <row r="1410">
      <c r="A1410" s="3">
        <v>43736.99861111111</v>
      </c>
      <c r="B1410" s="2">
        <v>8217.46</v>
      </c>
    </row>
    <row r="1411">
      <c r="A1411" s="3">
        <v>43737.99861111111</v>
      </c>
      <c r="B1411" s="2">
        <v>8052.4</v>
      </c>
    </row>
    <row r="1412">
      <c r="A1412" s="3">
        <v>43738.99861111111</v>
      </c>
      <c r="B1412" s="2">
        <v>8304.95</v>
      </c>
    </row>
    <row r="1413">
      <c r="A1413" s="3">
        <v>43739.99861111111</v>
      </c>
      <c r="B1413" s="2">
        <v>8322.73</v>
      </c>
    </row>
    <row r="1414">
      <c r="A1414" s="3">
        <v>43740.99861111111</v>
      </c>
      <c r="B1414" s="2">
        <v>8381.71</v>
      </c>
    </row>
    <row r="1415">
      <c r="A1415" s="3">
        <v>43741.99861111111</v>
      </c>
      <c r="B1415" s="2">
        <v>8240.41</v>
      </c>
    </row>
    <row r="1416">
      <c r="A1416" s="3">
        <v>43742.99861111111</v>
      </c>
      <c r="B1416" s="2">
        <v>8156.67</v>
      </c>
    </row>
    <row r="1417">
      <c r="A1417" s="3">
        <v>43743.99861111111</v>
      </c>
      <c r="B1417" s="2">
        <v>8147.63</v>
      </c>
    </row>
    <row r="1418">
      <c r="A1418" s="3">
        <v>43744.99861111111</v>
      </c>
      <c r="B1418" s="2">
        <v>7859.79</v>
      </c>
    </row>
    <row r="1419">
      <c r="A1419" s="3">
        <v>43745.99861111111</v>
      </c>
      <c r="B1419" s="2">
        <v>8209.0</v>
      </c>
    </row>
    <row r="1420">
      <c r="A1420" s="3">
        <v>43746.99861111111</v>
      </c>
      <c r="B1420" s="2">
        <v>8180.0</v>
      </c>
    </row>
    <row r="1421">
      <c r="A1421" s="3">
        <v>43747.99861111111</v>
      </c>
      <c r="B1421" s="2">
        <v>8590.01</v>
      </c>
    </row>
    <row r="1422">
      <c r="A1422" s="3">
        <v>43748.99861111111</v>
      </c>
      <c r="B1422" s="2">
        <v>8587.5</v>
      </c>
    </row>
    <row r="1423">
      <c r="A1423" s="3">
        <v>43749.99861111111</v>
      </c>
      <c r="B1423" s="2">
        <v>8267.33</v>
      </c>
    </row>
    <row r="1424">
      <c r="A1424" s="3">
        <v>43750.99861111111</v>
      </c>
      <c r="B1424" s="2">
        <v>8309.03</v>
      </c>
    </row>
    <row r="1425">
      <c r="A1425" s="3">
        <v>43751.99861111111</v>
      </c>
      <c r="B1425" s="2">
        <v>8282.96</v>
      </c>
    </row>
    <row r="1426">
      <c r="A1426" s="3">
        <v>43752.99861111111</v>
      </c>
      <c r="B1426" s="2">
        <v>8355.0</v>
      </c>
    </row>
    <row r="1427">
      <c r="A1427" s="3">
        <v>43753.99861111111</v>
      </c>
      <c r="B1427" s="2">
        <v>8162.44</v>
      </c>
    </row>
    <row r="1428">
      <c r="A1428" s="3">
        <v>43754.99861111111</v>
      </c>
      <c r="B1428" s="2">
        <v>7993.54</v>
      </c>
    </row>
    <row r="1429">
      <c r="A1429" s="3">
        <v>43755.99861111111</v>
      </c>
      <c r="B1429" s="2">
        <v>8076.2</v>
      </c>
    </row>
    <row r="1430">
      <c r="A1430" s="3">
        <v>43756.99861111111</v>
      </c>
      <c r="B1430" s="2">
        <v>7954.16</v>
      </c>
    </row>
    <row r="1431">
      <c r="A1431" s="3">
        <v>43757.99861111111</v>
      </c>
      <c r="B1431" s="2">
        <v>7965.28</v>
      </c>
    </row>
    <row r="1432">
      <c r="A1432" s="3">
        <v>43758.99861111111</v>
      </c>
      <c r="B1432" s="2">
        <v>8236.04</v>
      </c>
    </row>
    <row r="1433">
      <c r="A1433" s="3">
        <v>43759.99861111111</v>
      </c>
      <c r="B1433" s="2">
        <v>8209.92</v>
      </c>
    </row>
    <row r="1434">
      <c r="A1434" s="3">
        <v>43760.99861111111</v>
      </c>
      <c r="B1434" s="2">
        <v>8024.72</v>
      </c>
    </row>
    <row r="1435">
      <c r="A1435" s="3">
        <v>43761.99861111111</v>
      </c>
      <c r="B1435" s="2">
        <v>7474.85</v>
      </c>
    </row>
    <row r="1436">
      <c r="A1436" s="3">
        <v>43762.99861111111</v>
      </c>
      <c r="B1436" s="2">
        <v>7430.87</v>
      </c>
    </row>
    <row r="1437">
      <c r="A1437" s="3">
        <v>43763.99861111111</v>
      </c>
      <c r="B1437" s="2">
        <v>8668.0</v>
      </c>
    </row>
    <row r="1438">
      <c r="A1438" s="3">
        <v>43764.99861111111</v>
      </c>
      <c r="B1438" s="2">
        <v>9259.78</v>
      </c>
    </row>
    <row r="1439">
      <c r="A1439" s="3">
        <v>43765.99861111111</v>
      </c>
      <c r="B1439" s="2">
        <v>9548.84</v>
      </c>
    </row>
    <row r="1440">
      <c r="A1440" s="3">
        <v>43766.99861111111</v>
      </c>
      <c r="B1440" s="2">
        <v>9219.94</v>
      </c>
    </row>
    <row r="1441">
      <c r="A1441" s="3">
        <v>43767.99861111111</v>
      </c>
      <c r="B1441" s="2">
        <v>9430.79</v>
      </c>
    </row>
    <row r="1442">
      <c r="A1442" s="3">
        <v>43768.99861111111</v>
      </c>
      <c r="B1442" s="2">
        <v>9164.45</v>
      </c>
    </row>
    <row r="1443">
      <c r="A1443" s="3">
        <v>43769.99861111111</v>
      </c>
      <c r="B1443" s="2">
        <v>9159.48</v>
      </c>
    </row>
    <row r="1444">
      <c r="A1444" s="3">
        <v>43770.99861111111</v>
      </c>
      <c r="B1444" s="2">
        <v>9253.12</v>
      </c>
    </row>
    <row r="1445">
      <c r="A1445" s="3">
        <v>43771.99861111111</v>
      </c>
      <c r="B1445" s="2">
        <v>9308.51</v>
      </c>
    </row>
    <row r="1446">
      <c r="A1446" s="3">
        <v>43772.99861111111</v>
      </c>
      <c r="B1446" s="2">
        <v>9206.52</v>
      </c>
    </row>
    <row r="1447">
      <c r="A1447" s="3">
        <v>43773.99861111111</v>
      </c>
      <c r="B1447" s="2">
        <v>9412.53</v>
      </c>
    </row>
    <row r="1448">
      <c r="A1448" s="3">
        <v>43774.99861111111</v>
      </c>
      <c r="B1448" s="2">
        <v>9309.0</v>
      </c>
    </row>
    <row r="1449">
      <c r="A1449" s="3">
        <v>43775.99861111111</v>
      </c>
      <c r="B1449" s="2">
        <v>9341.27</v>
      </c>
    </row>
    <row r="1450">
      <c r="A1450" s="3">
        <v>43776.99861111111</v>
      </c>
      <c r="B1450" s="2">
        <v>9205.76</v>
      </c>
    </row>
    <row r="1451">
      <c r="A1451" s="3">
        <v>43777.99861111111</v>
      </c>
      <c r="B1451" s="2">
        <v>8763.01</v>
      </c>
    </row>
    <row r="1452">
      <c r="A1452" s="3">
        <v>43778.99861111111</v>
      </c>
      <c r="B1452" s="2">
        <v>8810.76</v>
      </c>
    </row>
    <row r="1453">
      <c r="A1453" s="3">
        <v>43779.99861111111</v>
      </c>
      <c r="B1453" s="2">
        <v>9038.2</v>
      </c>
    </row>
    <row r="1454">
      <c r="A1454" s="3">
        <v>43780.99861111111</v>
      </c>
      <c r="B1454" s="2">
        <v>8721.54</v>
      </c>
    </row>
    <row r="1455">
      <c r="A1455" s="3">
        <v>43781.99861111111</v>
      </c>
      <c r="B1455" s="2">
        <v>8795.77</v>
      </c>
    </row>
    <row r="1456">
      <c r="A1456" s="3">
        <v>43782.99861111111</v>
      </c>
      <c r="B1456" s="2">
        <v>8758.34</v>
      </c>
    </row>
    <row r="1457">
      <c r="A1457" s="3">
        <v>43783.99861111111</v>
      </c>
      <c r="B1457" s="2">
        <v>8635.01</v>
      </c>
    </row>
    <row r="1458">
      <c r="A1458" s="3">
        <v>43784.99861111111</v>
      </c>
      <c r="B1458" s="2">
        <v>8457.48</v>
      </c>
    </row>
    <row r="1459">
      <c r="A1459" s="3">
        <v>43785.99861111111</v>
      </c>
      <c r="B1459" s="2">
        <v>8480.79</v>
      </c>
    </row>
    <row r="1460">
      <c r="A1460" s="3">
        <v>43786.99861111111</v>
      </c>
      <c r="B1460" s="2">
        <v>8500.01</v>
      </c>
    </row>
    <row r="1461">
      <c r="A1461" s="3">
        <v>43787.99861111111</v>
      </c>
      <c r="B1461" s="2">
        <v>8168.84</v>
      </c>
    </row>
    <row r="1462">
      <c r="A1462" s="3">
        <v>43788.99861111111</v>
      </c>
      <c r="B1462" s="2">
        <v>8123.36</v>
      </c>
    </row>
    <row r="1463">
      <c r="A1463" s="3">
        <v>43789.99861111111</v>
      </c>
      <c r="B1463" s="2">
        <v>8082.96</v>
      </c>
    </row>
    <row r="1464">
      <c r="A1464" s="3">
        <v>43790.99861111111</v>
      </c>
      <c r="B1464" s="2">
        <v>7616.46</v>
      </c>
    </row>
    <row r="1465">
      <c r="A1465" s="3">
        <v>43791.99861111111</v>
      </c>
      <c r="B1465" s="2">
        <v>7298.18</v>
      </c>
    </row>
    <row r="1466">
      <c r="A1466" s="3">
        <v>43792.99861111111</v>
      </c>
      <c r="B1466" s="2">
        <v>7330.98</v>
      </c>
    </row>
    <row r="1467">
      <c r="A1467" s="3">
        <v>43793.99861111111</v>
      </c>
      <c r="B1467" s="2">
        <v>6908.64</v>
      </c>
    </row>
    <row r="1468">
      <c r="A1468" s="3">
        <v>43794.99861111111</v>
      </c>
      <c r="B1468" s="2">
        <v>7127.01</v>
      </c>
    </row>
    <row r="1469">
      <c r="A1469" s="3">
        <v>43795.99861111111</v>
      </c>
      <c r="B1469" s="2">
        <v>7172.15</v>
      </c>
    </row>
    <row r="1470">
      <c r="A1470" s="3">
        <v>43796.99861111111</v>
      </c>
      <c r="B1470" s="2">
        <v>7523.72</v>
      </c>
    </row>
    <row r="1471">
      <c r="A1471" s="3">
        <v>43797.99861111111</v>
      </c>
      <c r="B1471" s="2">
        <v>7432.12</v>
      </c>
    </row>
    <row r="1472">
      <c r="A1472" s="3">
        <v>43798.99861111111</v>
      </c>
      <c r="B1472" s="2">
        <v>7760.0</v>
      </c>
    </row>
    <row r="1473">
      <c r="A1473" s="3">
        <v>43799.99861111111</v>
      </c>
      <c r="B1473" s="2">
        <v>7551.99</v>
      </c>
    </row>
    <row r="1474">
      <c r="A1474" s="3">
        <v>43800.99861111111</v>
      </c>
      <c r="B1474" s="2">
        <v>7404.27</v>
      </c>
    </row>
    <row r="1475">
      <c r="A1475" s="3">
        <v>43801.99861111111</v>
      </c>
      <c r="B1475" s="2">
        <v>7305.0</v>
      </c>
    </row>
    <row r="1476">
      <c r="A1476" s="3">
        <v>43802.99861111111</v>
      </c>
      <c r="B1476" s="2">
        <v>7298.2</v>
      </c>
    </row>
    <row r="1477">
      <c r="A1477" s="3">
        <v>43803.99861111111</v>
      </c>
      <c r="B1477" s="2">
        <v>7213.61</v>
      </c>
    </row>
    <row r="1478">
      <c r="A1478" s="3">
        <v>43804.99861111111</v>
      </c>
      <c r="B1478" s="2">
        <v>7394.99</v>
      </c>
    </row>
    <row r="1479">
      <c r="A1479" s="3">
        <v>43805.99861111111</v>
      </c>
      <c r="B1479" s="2">
        <v>7540.87</v>
      </c>
    </row>
    <row r="1480">
      <c r="A1480" s="3">
        <v>43806.99861111111</v>
      </c>
      <c r="B1480" s="2">
        <v>7500.03</v>
      </c>
    </row>
    <row r="1481">
      <c r="A1481" s="3">
        <v>43807.99861111111</v>
      </c>
      <c r="B1481" s="2">
        <v>7529.21</v>
      </c>
    </row>
    <row r="1482">
      <c r="A1482" s="3">
        <v>43808.99861111111</v>
      </c>
      <c r="B1482" s="2">
        <v>7341.49</v>
      </c>
    </row>
    <row r="1483">
      <c r="A1483" s="3">
        <v>43809.99861111111</v>
      </c>
      <c r="B1483" s="2">
        <v>7226.98</v>
      </c>
    </row>
    <row r="1484">
      <c r="A1484" s="3">
        <v>43810.99861111111</v>
      </c>
      <c r="B1484" s="2">
        <v>7194.13</v>
      </c>
    </row>
    <row r="1485">
      <c r="A1485" s="3">
        <v>43811.99861111111</v>
      </c>
      <c r="B1485" s="2">
        <v>7189.41</v>
      </c>
    </row>
    <row r="1486">
      <c r="A1486" s="3">
        <v>43812.99861111111</v>
      </c>
      <c r="B1486" s="2">
        <v>7248.23</v>
      </c>
    </row>
    <row r="1487">
      <c r="A1487" s="3">
        <v>43813.99861111111</v>
      </c>
      <c r="B1487" s="2">
        <v>7071.01</v>
      </c>
    </row>
    <row r="1488">
      <c r="A1488" s="3">
        <v>43814.99861111111</v>
      </c>
      <c r="B1488" s="2">
        <v>7112.63</v>
      </c>
    </row>
    <row r="1489">
      <c r="A1489" s="3">
        <v>43815.99861111111</v>
      </c>
      <c r="B1489" s="2">
        <v>6884.75</v>
      </c>
    </row>
    <row r="1490">
      <c r="A1490" s="3">
        <v>43816.99861111111</v>
      </c>
      <c r="B1490" s="2">
        <v>6615.8</v>
      </c>
    </row>
    <row r="1491">
      <c r="A1491" s="3">
        <v>43817.99861111111</v>
      </c>
      <c r="B1491" s="2">
        <v>7294.81</v>
      </c>
    </row>
    <row r="1492">
      <c r="A1492" s="3">
        <v>43818.99861111111</v>
      </c>
      <c r="B1492" s="2">
        <v>7150.01</v>
      </c>
    </row>
    <row r="1493">
      <c r="A1493" s="3">
        <v>43819.99861111111</v>
      </c>
      <c r="B1493" s="2">
        <v>7182.77</v>
      </c>
    </row>
    <row r="1494">
      <c r="A1494" s="3">
        <v>43820.99861111111</v>
      </c>
      <c r="B1494" s="2">
        <v>7143.01</v>
      </c>
    </row>
    <row r="1495">
      <c r="A1495" s="3">
        <v>43821.99861111111</v>
      </c>
      <c r="B1495" s="2">
        <v>7515.3</v>
      </c>
    </row>
    <row r="1496">
      <c r="A1496" s="3">
        <v>43822.99861111111</v>
      </c>
      <c r="B1496" s="2">
        <v>7323.21</v>
      </c>
    </row>
    <row r="1497">
      <c r="A1497" s="3">
        <v>43823.99861111111</v>
      </c>
      <c r="B1497" s="2">
        <v>7232.76</v>
      </c>
    </row>
    <row r="1498">
      <c r="A1498" s="3">
        <v>43824.99861111111</v>
      </c>
      <c r="B1498" s="2">
        <v>7195.81</v>
      </c>
    </row>
    <row r="1499">
      <c r="A1499" s="3">
        <v>43825.99861111111</v>
      </c>
      <c r="B1499" s="2">
        <v>7195.96</v>
      </c>
    </row>
    <row r="1500">
      <c r="A1500" s="3">
        <v>43826.99861111111</v>
      </c>
      <c r="B1500" s="2">
        <v>7240.4</v>
      </c>
    </row>
    <row r="1501">
      <c r="A1501" s="3">
        <v>43827.99861111111</v>
      </c>
      <c r="B1501" s="2">
        <v>7300.42</v>
      </c>
    </row>
    <row r="1502">
      <c r="A1502" s="3">
        <v>43828.99861111111</v>
      </c>
      <c r="B1502" s="2">
        <v>7389.0</v>
      </c>
    </row>
    <row r="1503">
      <c r="A1503" s="3">
        <v>43829.99861111111</v>
      </c>
      <c r="B1503" s="2">
        <v>7220.0</v>
      </c>
    </row>
    <row r="1504">
      <c r="A1504" s="3">
        <v>43830.99861111111</v>
      </c>
      <c r="B1504" s="2">
        <v>7177.36</v>
      </c>
    </row>
    <row r="1505">
      <c r="A1505" s="3">
        <v>43831.99861111111</v>
      </c>
      <c r="B1505" s="2">
        <v>7177.57</v>
      </c>
    </row>
    <row r="1506">
      <c r="A1506" s="3">
        <v>43832.99861111111</v>
      </c>
      <c r="B1506" s="2">
        <v>6946.33</v>
      </c>
    </row>
    <row r="1507">
      <c r="A1507" s="3">
        <v>43833.99861111111</v>
      </c>
      <c r="B1507" s="2">
        <v>7308.09</v>
      </c>
    </row>
    <row r="1508">
      <c r="A1508" s="3">
        <v>43834.99861111111</v>
      </c>
      <c r="B1508" s="2">
        <v>7347.49</v>
      </c>
    </row>
    <row r="1509">
      <c r="A1509" s="3">
        <v>43835.99861111111</v>
      </c>
      <c r="B1509" s="2">
        <v>7342.49</v>
      </c>
    </row>
    <row r="1510">
      <c r="A1510" s="3">
        <v>43836.99861111111</v>
      </c>
      <c r="B1510" s="2">
        <v>7770.88</v>
      </c>
    </row>
    <row r="1511">
      <c r="A1511" s="3">
        <v>43837.99861111111</v>
      </c>
      <c r="B1511" s="2">
        <v>8168.44</v>
      </c>
    </row>
    <row r="1512">
      <c r="A1512" s="3">
        <v>43838.99861111111</v>
      </c>
      <c r="B1512" s="2">
        <v>8045.51</v>
      </c>
    </row>
    <row r="1513">
      <c r="A1513" s="3">
        <v>43839.99861111111</v>
      </c>
      <c r="B1513" s="2">
        <v>7813.78</v>
      </c>
    </row>
    <row r="1514">
      <c r="A1514" s="3">
        <v>43840.99861111111</v>
      </c>
      <c r="B1514" s="2">
        <v>8170.27</v>
      </c>
    </row>
    <row r="1515">
      <c r="A1515" s="3">
        <v>43841.99861111111</v>
      </c>
      <c r="B1515" s="2">
        <v>8021.84</v>
      </c>
    </row>
    <row r="1516">
      <c r="A1516" s="3">
        <v>43842.99861111111</v>
      </c>
      <c r="B1516" s="2">
        <v>8165.21</v>
      </c>
    </row>
    <row r="1517">
      <c r="A1517" s="3">
        <v>43843.99861111111</v>
      </c>
      <c r="B1517" s="2">
        <v>8104.5</v>
      </c>
    </row>
    <row r="1518">
      <c r="A1518" s="3">
        <v>43844.99861111111</v>
      </c>
      <c r="B1518" s="2">
        <v>8822.71</v>
      </c>
    </row>
    <row r="1519">
      <c r="A1519" s="3">
        <v>43845.99861111111</v>
      </c>
      <c r="B1519" s="2">
        <v>8808.81</v>
      </c>
    </row>
    <row r="1520">
      <c r="A1520" s="3">
        <v>43846.99861111111</v>
      </c>
      <c r="B1520" s="2">
        <v>8714.76</v>
      </c>
    </row>
    <row r="1521">
      <c r="A1521" s="3">
        <v>43847.99861111111</v>
      </c>
      <c r="B1521" s="2">
        <v>8899.42</v>
      </c>
    </row>
    <row r="1522">
      <c r="A1522" s="3">
        <v>43848.99861111111</v>
      </c>
      <c r="B1522" s="2">
        <v>8909.32</v>
      </c>
    </row>
    <row r="1523">
      <c r="A1523" s="3">
        <v>43849.99861111111</v>
      </c>
      <c r="B1523" s="2">
        <v>8697.53</v>
      </c>
    </row>
    <row r="1524">
      <c r="A1524" s="3">
        <v>43850.99861111111</v>
      </c>
      <c r="B1524" s="2">
        <v>8619.52</v>
      </c>
    </row>
    <row r="1525">
      <c r="A1525" s="3">
        <v>43851.99861111111</v>
      </c>
      <c r="B1525" s="2">
        <v>8722.03</v>
      </c>
    </row>
    <row r="1526">
      <c r="A1526" s="3">
        <v>43852.99861111111</v>
      </c>
      <c r="B1526" s="2">
        <v>8653.84</v>
      </c>
    </row>
    <row r="1527">
      <c r="A1527" s="3">
        <v>43853.99861111111</v>
      </c>
      <c r="B1527" s="2">
        <v>8385.21</v>
      </c>
    </row>
    <row r="1528">
      <c r="A1528" s="3">
        <v>43854.99861111111</v>
      </c>
      <c r="B1528" s="2">
        <v>8427.26</v>
      </c>
    </row>
    <row r="1529">
      <c r="A1529" s="3">
        <v>43855.99861111111</v>
      </c>
      <c r="B1529" s="2">
        <v>8326.81</v>
      </c>
    </row>
    <row r="1530">
      <c r="A1530" s="3">
        <v>43856.99861111111</v>
      </c>
      <c r="B1530" s="2">
        <v>8595.0</v>
      </c>
    </row>
    <row r="1531">
      <c r="A1531" s="3">
        <v>43857.99861111111</v>
      </c>
      <c r="B1531" s="2">
        <v>8895.95</v>
      </c>
    </row>
    <row r="1532">
      <c r="A1532" s="3">
        <v>43858.99861111111</v>
      </c>
      <c r="B1532" s="2">
        <v>9394.5</v>
      </c>
    </row>
    <row r="1533">
      <c r="A1533" s="3">
        <v>43859.99861111111</v>
      </c>
      <c r="B1533" s="2">
        <v>9290.62</v>
      </c>
    </row>
    <row r="1534">
      <c r="A1534" s="3">
        <v>43860.99861111111</v>
      </c>
      <c r="B1534" s="2">
        <v>9503.08</v>
      </c>
    </row>
    <row r="1535">
      <c r="A1535" s="3">
        <v>43861.99861111111</v>
      </c>
      <c r="B1535" s="2">
        <v>9334.98</v>
      </c>
    </row>
    <row r="1536">
      <c r="A1536" s="3">
        <v>43862.99861111111</v>
      </c>
      <c r="B1536" s="2">
        <v>9382.65</v>
      </c>
    </row>
    <row r="1537">
      <c r="A1537" s="3">
        <v>43863.99861111111</v>
      </c>
      <c r="B1537" s="2">
        <v>9323.5</v>
      </c>
    </row>
    <row r="1538">
      <c r="A1538" s="3">
        <v>43864.99861111111</v>
      </c>
      <c r="B1538" s="2">
        <v>9290.23</v>
      </c>
    </row>
    <row r="1539">
      <c r="A1539" s="3">
        <v>43865.99861111111</v>
      </c>
      <c r="B1539" s="2">
        <v>9164.33</v>
      </c>
    </row>
    <row r="1540">
      <c r="A1540" s="3">
        <v>43866.99861111111</v>
      </c>
      <c r="B1540" s="2">
        <v>9613.82</v>
      </c>
    </row>
    <row r="1541">
      <c r="A1541" s="3">
        <v>43867.99861111111</v>
      </c>
      <c r="B1541" s="2">
        <v>9763.01</v>
      </c>
    </row>
    <row r="1542">
      <c r="A1542" s="3">
        <v>43868.99861111111</v>
      </c>
      <c r="B1542" s="2">
        <v>9808.04</v>
      </c>
    </row>
    <row r="1543">
      <c r="A1543" s="3">
        <v>43869.99861111111</v>
      </c>
      <c r="B1543" s="2">
        <v>9905.64</v>
      </c>
    </row>
    <row r="1544">
      <c r="A1544" s="3">
        <v>43870.99861111111</v>
      </c>
      <c r="B1544" s="2">
        <v>10168.8</v>
      </c>
    </row>
    <row r="1545">
      <c r="A1545" s="3">
        <v>43871.99861111111</v>
      </c>
      <c r="B1545" s="2">
        <v>9851.78</v>
      </c>
    </row>
    <row r="1546">
      <c r="A1546" s="3">
        <v>43872.99861111111</v>
      </c>
      <c r="B1546" s="2">
        <v>10270.0</v>
      </c>
    </row>
    <row r="1547">
      <c r="A1547" s="3">
        <v>43873.99861111111</v>
      </c>
      <c r="B1547" s="2">
        <v>10351.1</v>
      </c>
    </row>
    <row r="1548">
      <c r="A1548" s="3">
        <v>43874.99861111111</v>
      </c>
      <c r="B1548" s="2">
        <v>10236.4</v>
      </c>
    </row>
    <row r="1549">
      <c r="A1549" s="3">
        <v>43875.99861111111</v>
      </c>
      <c r="B1549" s="2">
        <v>10371.3</v>
      </c>
    </row>
    <row r="1550">
      <c r="A1550" s="3">
        <v>43876.99861111111</v>
      </c>
      <c r="B1550" s="2">
        <v>9911.21</v>
      </c>
    </row>
    <row r="1551">
      <c r="A1551" s="3">
        <v>43877.99861111111</v>
      </c>
      <c r="B1551" s="2">
        <v>9921.0</v>
      </c>
    </row>
    <row r="1552">
      <c r="A1552" s="3">
        <v>43878.99861111111</v>
      </c>
      <c r="B1552" s="2">
        <v>9700.0</v>
      </c>
    </row>
    <row r="1553">
      <c r="A1553" s="3">
        <v>43879.99861111111</v>
      </c>
      <c r="B1553" s="2">
        <v>10188.0</v>
      </c>
    </row>
    <row r="1554">
      <c r="A1554" s="3">
        <v>43880.99861111111</v>
      </c>
      <c r="B1554" s="2">
        <v>9600.08</v>
      </c>
    </row>
    <row r="1555">
      <c r="A1555" s="3">
        <v>43881.99861111111</v>
      </c>
      <c r="B1555" s="2">
        <v>9622.89</v>
      </c>
    </row>
    <row r="1556">
      <c r="A1556" s="3">
        <v>43882.99861111111</v>
      </c>
      <c r="B1556" s="2">
        <v>9700.35</v>
      </c>
    </row>
    <row r="1557">
      <c r="A1557" s="3">
        <v>43883.99861111111</v>
      </c>
      <c r="B1557" s="2">
        <v>9668.23</v>
      </c>
    </row>
    <row r="1558">
      <c r="A1558" s="3">
        <v>43884.99861111111</v>
      </c>
      <c r="B1558" s="2">
        <v>9966.0</v>
      </c>
    </row>
    <row r="1559">
      <c r="A1559" s="3">
        <v>43885.99861111111</v>
      </c>
      <c r="B1559" s="2">
        <v>9660.0</v>
      </c>
    </row>
    <row r="1560">
      <c r="A1560" s="3">
        <v>43886.99861111111</v>
      </c>
      <c r="B1560" s="2">
        <v>9304.99</v>
      </c>
    </row>
    <row r="1561">
      <c r="A1561" s="3">
        <v>43887.99861111111</v>
      </c>
      <c r="B1561" s="2">
        <v>8778.29</v>
      </c>
    </row>
    <row r="1562">
      <c r="A1562" s="3">
        <v>43888.99861111111</v>
      </c>
      <c r="B1562" s="2">
        <v>8812.49</v>
      </c>
    </row>
    <row r="1563">
      <c r="A1563" s="3">
        <v>43889.99861111111</v>
      </c>
      <c r="B1563" s="2">
        <v>8708.89</v>
      </c>
    </row>
    <row r="1564">
      <c r="A1564" s="3">
        <v>43890.99861111111</v>
      </c>
      <c r="B1564" s="2">
        <v>8556.58</v>
      </c>
    </row>
    <row r="1565">
      <c r="A1565" s="3">
        <v>43891.99861111111</v>
      </c>
      <c r="B1565" s="2">
        <v>8522.33</v>
      </c>
    </row>
    <row r="1566">
      <c r="A1566" s="3">
        <v>43892.99861111111</v>
      </c>
      <c r="B1566" s="2">
        <v>8915.0</v>
      </c>
    </row>
    <row r="1567">
      <c r="A1567" s="3">
        <v>43893.99861111111</v>
      </c>
      <c r="B1567" s="2">
        <v>8757.84</v>
      </c>
    </row>
    <row r="1568">
      <c r="A1568" s="3">
        <v>43894.99861111111</v>
      </c>
      <c r="B1568" s="2">
        <v>8760.66</v>
      </c>
    </row>
    <row r="1569">
      <c r="A1569" s="3">
        <v>43895.99861111111</v>
      </c>
      <c r="B1569" s="2">
        <v>9060.93</v>
      </c>
    </row>
    <row r="1570">
      <c r="A1570" s="3">
        <v>43896.99861111111</v>
      </c>
      <c r="B1570" s="2">
        <v>9145.77</v>
      </c>
    </row>
    <row r="1571">
      <c r="A1571" s="3">
        <v>43897.99861111111</v>
      </c>
      <c r="B1571" s="2">
        <v>8901.37</v>
      </c>
    </row>
    <row r="1572">
      <c r="A1572" s="3">
        <v>43898.99861111111</v>
      </c>
      <c r="B1572" s="2">
        <v>8033.54</v>
      </c>
    </row>
    <row r="1573">
      <c r="A1573" s="3">
        <v>43899.99861111111</v>
      </c>
      <c r="B1573" s="2">
        <v>7934.52</v>
      </c>
    </row>
    <row r="1574">
      <c r="A1574" s="3">
        <v>43900.99861111111</v>
      </c>
      <c r="B1574" s="2">
        <v>7884.87</v>
      </c>
    </row>
    <row r="1575">
      <c r="A1575" s="3">
        <v>43901.99861111111</v>
      </c>
      <c r="B1575" s="2">
        <v>7938.05</v>
      </c>
    </row>
    <row r="1576">
      <c r="A1576" s="3">
        <v>43902.99861111111</v>
      </c>
      <c r="B1576" s="2">
        <v>4857.1</v>
      </c>
    </row>
    <row r="1577">
      <c r="A1577" s="3">
        <v>43903.99861111111</v>
      </c>
      <c r="B1577" s="2">
        <v>5637.6</v>
      </c>
    </row>
    <row r="1578">
      <c r="A1578" s="3">
        <v>43904.99861111111</v>
      </c>
      <c r="B1578" s="2">
        <v>5165.25</v>
      </c>
    </row>
    <row r="1579">
      <c r="A1579" s="3">
        <v>43905.99861111111</v>
      </c>
      <c r="B1579" s="2">
        <v>5342.64</v>
      </c>
    </row>
    <row r="1580">
      <c r="A1580" s="3">
        <v>43906.99861111111</v>
      </c>
      <c r="B1580" s="2">
        <v>5024.0</v>
      </c>
    </row>
    <row r="1581">
      <c r="A1581" s="3">
        <v>43907.99861111111</v>
      </c>
      <c r="B1581" s="2">
        <v>5331.72</v>
      </c>
    </row>
    <row r="1582">
      <c r="A1582" s="3">
        <v>43908.99861111111</v>
      </c>
      <c r="B1582" s="2">
        <v>5413.64</v>
      </c>
    </row>
    <row r="1583">
      <c r="A1583" s="3">
        <v>43909.99861111111</v>
      </c>
      <c r="B1583" s="2">
        <v>6186.95</v>
      </c>
    </row>
    <row r="1584">
      <c r="A1584" s="3">
        <v>43910.99861111111</v>
      </c>
      <c r="B1584" s="2">
        <v>6201.61</v>
      </c>
    </row>
    <row r="1585">
      <c r="A1585" s="3">
        <v>43911.99861111111</v>
      </c>
      <c r="B1585" s="2">
        <v>6198.78</v>
      </c>
    </row>
    <row r="1586">
      <c r="A1586" s="3">
        <v>43912.99861111111</v>
      </c>
      <c r="B1586" s="2">
        <v>5834.78</v>
      </c>
    </row>
    <row r="1587">
      <c r="A1587" s="3">
        <v>43913.99861111111</v>
      </c>
      <c r="B1587" s="2">
        <v>6499.12</v>
      </c>
    </row>
    <row r="1588">
      <c r="A1588" s="3">
        <v>43914.99861111111</v>
      </c>
      <c r="B1588" s="2">
        <v>6766.65</v>
      </c>
    </row>
    <row r="1589">
      <c r="A1589" s="3">
        <v>43915.99861111111</v>
      </c>
      <c r="B1589" s="2">
        <v>6690.0</v>
      </c>
    </row>
    <row r="1590">
      <c r="A1590" s="3">
        <v>43916.99861111111</v>
      </c>
      <c r="B1590" s="2">
        <v>6759.85</v>
      </c>
    </row>
    <row r="1591">
      <c r="A1591" s="3">
        <v>43917.99861111111</v>
      </c>
      <c r="B1591" s="2">
        <v>6372.36</v>
      </c>
    </row>
    <row r="1592">
      <c r="A1592" s="3">
        <v>43918.99861111111</v>
      </c>
      <c r="B1592" s="2">
        <v>6251.82</v>
      </c>
    </row>
    <row r="1593">
      <c r="A1593" s="3">
        <v>43919.99861111111</v>
      </c>
      <c r="B1593" s="2">
        <v>5902.05</v>
      </c>
    </row>
    <row r="1594">
      <c r="A1594" s="3">
        <v>43920.99861111111</v>
      </c>
      <c r="B1594" s="2">
        <v>6406.4</v>
      </c>
    </row>
    <row r="1595">
      <c r="A1595" s="3">
        <v>43921.99861111111</v>
      </c>
      <c r="B1595" s="2">
        <v>6445.67</v>
      </c>
    </row>
    <row r="1596">
      <c r="A1596" s="3">
        <v>43922.99861111111</v>
      </c>
      <c r="B1596" s="2">
        <v>6664.85</v>
      </c>
    </row>
    <row r="1597">
      <c r="A1597" s="3">
        <v>43923.99861111111</v>
      </c>
      <c r="B1597" s="2">
        <v>6805.12</v>
      </c>
    </row>
    <row r="1598">
      <c r="A1598" s="3">
        <v>43924.99861111111</v>
      </c>
      <c r="B1598" s="2">
        <v>6741.99</v>
      </c>
    </row>
    <row r="1599">
      <c r="A1599" s="3">
        <v>43925.99861111111</v>
      </c>
      <c r="B1599" s="2">
        <v>6874.77</v>
      </c>
    </row>
    <row r="1600">
      <c r="A1600" s="3">
        <v>43926.99861111111</v>
      </c>
      <c r="B1600" s="2">
        <v>6794.49</v>
      </c>
    </row>
    <row r="1601">
      <c r="A1601" s="3">
        <v>43927.99861111111</v>
      </c>
      <c r="B1601" s="2">
        <v>7341.56</v>
      </c>
    </row>
    <row r="1602">
      <c r="A1602" s="3">
        <v>43928.99861111111</v>
      </c>
      <c r="B1602" s="2">
        <v>7209.62</v>
      </c>
    </row>
    <row r="1603">
      <c r="A1603" s="3">
        <v>43929.99861111111</v>
      </c>
      <c r="B1603" s="2">
        <v>7370.11</v>
      </c>
    </row>
    <row r="1604">
      <c r="A1604" s="3">
        <v>43930.99861111111</v>
      </c>
      <c r="B1604" s="2">
        <v>7293.24</v>
      </c>
    </row>
    <row r="1605">
      <c r="A1605" s="3">
        <v>43931.99861111111</v>
      </c>
      <c r="B1605" s="2">
        <v>6871.91</v>
      </c>
    </row>
    <row r="1606">
      <c r="A1606" s="3">
        <v>43932.99861111111</v>
      </c>
      <c r="B1606" s="2">
        <v>6889.65</v>
      </c>
    </row>
    <row r="1607">
      <c r="A1607" s="3">
        <v>43933.99861111111</v>
      </c>
      <c r="B1607" s="2">
        <v>6908.13</v>
      </c>
    </row>
    <row r="1608">
      <c r="A1608" s="3">
        <v>43934.99861111111</v>
      </c>
      <c r="B1608" s="2">
        <v>6861.21</v>
      </c>
    </row>
    <row r="1609">
      <c r="A1609" s="3">
        <v>43935.99861111111</v>
      </c>
      <c r="B1609" s="2">
        <v>6877.37</v>
      </c>
    </row>
    <row r="1610">
      <c r="A1610" s="3">
        <v>43936.99861111111</v>
      </c>
      <c r="B1610" s="2">
        <v>6624.12</v>
      </c>
    </row>
    <row r="1611">
      <c r="A1611" s="3">
        <v>43937.99861111111</v>
      </c>
      <c r="B1611" s="2">
        <v>7112.78</v>
      </c>
    </row>
    <row r="1612">
      <c r="A1612" s="3">
        <v>43938.99861111111</v>
      </c>
      <c r="B1612" s="2">
        <v>7036.25</v>
      </c>
    </row>
    <row r="1613">
      <c r="A1613" s="3">
        <v>43939.99861111111</v>
      </c>
      <c r="B1613" s="2">
        <v>7254.33</v>
      </c>
    </row>
    <row r="1614">
      <c r="A1614" s="3">
        <v>43940.99861111111</v>
      </c>
      <c r="B1614" s="2">
        <v>7130.71</v>
      </c>
    </row>
    <row r="1615">
      <c r="A1615" s="3">
        <v>43941.99861111111</v>
      </c>
      <c r="B1615" s="2">
        <v>6838.19</v>
      </c>
    </row>
    <row r="1616">
      <c r="A1616" s="3">
        <v>43942.99861111111</v>
      </c>
      <c r="B1616" s="2">
        <v>6853.68</v>
      </c>
    </row>
    <row r="1617">
      <c r="A1617" s="3">
        <v>43943.99861111111</v>
      </c>
      <c r="B1617" s="2">
        <v>7136.84</v>
      </c>
    </row>
    <row r="1618">
      <c r="A1618" s="3">
        <v>43944.99861111111</v>
      </c>
      <c r="B1618" s="2">
        <v>7472.45</v>
      </c>
    </row>
    <row r="1619">
      <c r="A1619" s="3">
        <v>43945.99861111111</v>
      </c>
      <c r="B1619" s="2">
        <v>7508.67</v>
      </c>
    </row>
    <row r="1620">
      <c r="A1620" s="3">
        <v>43946.99861111111</v>
      </c>
      <c r="B1620" s="2">
        <v>7543.29</v>
      </c>
    </row>
    <row r="1621">
      <c r="A1621" s="3">
        <v>43947.99861111111</v>
      </c>
      <c r="B1621" s="2">
        <v>7692.05</v>
      </c>
    </row>
    <row r="1622">
      <c r="A1622" s="3">
        <v>43948.99861111111</v>
      </c>
      <c r="B1622" s="2">
        <v>7785.73</v>
      </c>
    </row>
    <row r="1623">
      <c r="A1623" s="3">
        <v>43949.99861111111</v>
      </c>
      <c r="B1623" s="2">
        <v>7758.4</v>
      </c>
    </row>
    <row r="1624">
      <c r="A1624" s="3">
        <v>43950.99861111111</v>
      </c>
      <c r="B1624" s="2">
        <v>8780.01</v>
      </c>
    </row>
    <row r="1625">
      <c r="A1625" s="3">
        <v>43951.99861111111</v>
      </c>
      <c r="B1625" s="2">
        <v>8624.28</v>
      </c>
    </row>
    <row r="1626">
      <c r="A1626" s="3">
        <v>43952.99861111111</v>
      </c>
      <c r="B1626" s="2">
        <v>8829.42</v>
      </c>
    </row>
    <row r="1627">
      <c r="A1627" s="3">
        <v>43953.99861111111</v>
      </c>
      <c r="B1627" s="2">
        <v>8985.0</v>
      </c>
    </row>
    <row r="1628">
      <c r="A1628" s="3">
        <v>43954.99861111111</v>
      </c>
      <c r="B1628" s="2">
        <v>8905.49</v>
      </c>
    </row>
    <row r="1629">
      <c r="A1629" s="3">
        <v>43955.99861111111</v>
      </c>
      <c r="B1629" s="2">
        <v>8883.53</v>
      </c>
    </row>
    <row r="1630">
      <c r="A1630" s="3">
        <v>43956.99861111111</v>
      </c>
      <c r="B1630" s="2">
        <v>8989.4</v>
      </c>
    </row>
    <row r="1631">
      <c r="A1631" s="3">
        <v>43957.99861111111</v>
      </c>
      <c r="B1631" s="2">
        <v>9157.11</v>
      </c>
    </row>
    <row r="1632">
      <c r="A1632" s="3">
        <v>43958.99861111111</v>
      </c>
      <c r="B1632" s="2">
        <v>10000.0</v>
      </c>
    </row>
    <row r="1633">
      <c r="A1633" s="3">
        <v>43959.99861111111</v>
      </c>
      <c r="B1633" s="2">
        <v>9810.0</v>
      </c>
    </row>
    <row r="1634">
      <c r="A1634" s="3">
        <v>43960.99861111111</v>
      </c>
      <c r="B1634" s="2">
        <v>9558.85</v>
      </c>
    </row>
    <row r="1635">
      <c r="A1635" s="3">
        <v>43961.99861111111</v>
      </c>
      <c r="B1635" s="2">
        <v>8741.86</v>
      </c>
    </row>
    <row r="1636">
      <c r="A1636" s="3">
        <v>43962.99861111111</v>
      </c>
      <c r="B1636" s="2">
        <v>8601.4</v>
      </c>
    </row>
    <row r="1637">
      <c r="A1637" s="3">
        <v>43963.99861111111</v>
      </c>
      <c r="B1637" s="2">
        <v>8796.25</v>
      </c>
    </row>
    <row r="1638">
      <c r="A1638" s="3">
        <v>43964.99861111111</v>
      </c>
      <c r="B1638" s="2">
        <v>9318.04</v>
      </c>
    </row>
    <row r="1639">
      <c r="A1639" s="3">
        <v>43965.99861111111</v>
      </c>
      <c r="B1639" s="2">
        <v>9799.12</v>
      </c>
    </row>
    <row r="1640">
      <c r="A1640" s="3">
        <v>43966.99861111111</v>
      </c>
      <c r="B1640" s="2">
        <v>9312.1</v>
      </c>
    </row>
    <row r="1641">
      <c r="A1641" s="3">
        <v>43967.99861111111</v>
      </c>
      <c r="B1641" s="2">
        <v>9383.16</v>
      </c>
    </row>
    <row r="1642">
      <c r="A1642" s="3">
        <v>43968.99861111111</v>
      </c>
      <c r="B1642" s="2">
        <v>9666.27</v>
      </c>
    </row>
    <row r="1643">
      <c r="A1643" s="3">
        <v>43969.99861111111</v>
      </c>
      <c r="B1643" s="2">
        <v>9728.52</v>
      </c>
    </row>
    <row r="1644">
      <c r="A1644" s="3">
        <v>43970.99861111111</v>
      </c>
      <c r="B1644" s="2">
        <v>9776.57</v>
      </c>
    </row>
    <row r="1645">
      <c r="A1645" s="3">
        <v>43971.99861111111</v>
      </c>
      <c r="B1645" s="2">
        <v>9516.0</v>
      </c>
    </row>
    <row r="1646">
      <c r="A1646" s="3">
        <v>43972.99861111111</v>
      </c>
      <c r="B1646" s="2">
        <v>9058.71</v>
      </c>
    </row>
    <row r="1647">
      <c r="A1647" s="3">
        <v>43973.99861111111</v>
      </c>
      <c r="B1647" s="2">
        <v>9168.84</v>
      </c>
    </row>
    <row r="1648">
      <c r="A1648" s="3">
        <v>43974.99861111111</v>
      </c>
      <c r="B1648" s="2">
        <v>9177.95</v>
      </c>
    </row>
    <row r="1649">
      <c r="A1649" s="3">
        <v>43975.99861111111</v>
      </c>
      <c r="B1649" s="2">
        <v>8714.4</v>
      </c>
    </row>
    <row r="1650">
      <c r="A1650" s="3">
        <v>43976.99861111111</v>
      </c>
      <c r="B1650" s="2">
        <v>8899.31</v>
      </c>
    </row>
    <row r="1651">
      <c r="A1651" s="3">
        <v>43977.99861111111</v>
      </c>
      <c r="B1651" s="2">
        <v>8844.42</v>
      </c>
    </row>
    <row r="1652">
      <c r="A1652" s="3">
        <v>43978.99861111111</v>
      </c>
      <c r="B1652" s="2">
        <v>9208.53</v>
      </c>
    </row>
    <row r="1653">
      <c r="A1653" s="3">
        <v>43979.99861111111</v>
      </c>
      <c r="B1653" s="2">
        <v>9561.26</v>
      </c>
    </row>
    <row r="1654">
      <c r="A1654" s="3">
        <v>43980.99861111111</v>
      </c>
      <c r="B1654" s="2">
        <v>9427.01</v>
      </c>
    </row>
    <row r="1655">
      <c r="A1655" s="3">
        <v>43981.99861111111</v>
      </c>
      <c r="B1655" s="2">
        <v>9689.12</v>
      </c>
    </row>
    <row r="1656">
      <c r="A1656" s="3">
        <v>43982.99861111111</v>
      </c>
      <c r="B1656" s="2">
        <v>9446.57</v>
      </c>
    </row>
    <row r="1657">
      <c r="A1657" s="3">
        <v>43983.99861111111</v>
      </c>
      <c r="B1657" s="2">
        <v>10210.1</v>
      </c>
    </row>
    <row r="1658">
      <c r="A1658" s="3">
        <v>43984.99861111111</v>
      </c>
      <c r="B1658" s="2">
        <v>9522.45</v>
      </c>
    </row>
    <row r="1659">
      <c r="A1659" s="3">
        <v>43985.99861111111</v>
      </c>
      <c r="B1659" s="2">
        <v>9655.62</v>
      </c>
    </row>
    <row r="1660">
      <c r="A1660" s="3">
        <v>43986.99861111111</v>
      </c>
      <c r="B1660" s="2">
        <v>9788.03</v>
      </c>
    </row>
    <row r="1661">
      <c r="A1661" s="3">
        <v>43987.99861111111</v>
      </c>
      <c r="B1661" s="2">
        <v>9624.99</v>
      </c>
    </row>
    <row r="1662">
      <c r="A1662" s="3">
        <v>43988.99861111111</v>
      </c>
      <c r="B1662" s="2">
        <v>9660.75</v>
      </c>
    </row>
    <row r="1663">
      <c r="A1663" s="3">
        <v>43989.99861111111</v>
      </c>
      <c r="B1663" s="2">
        <v>9744.14</v>
      </c>
    </row>
    <row r="1664">
      <c r="A1664" s="3">
        <v>43990.99861111111</v>
      </c>
      <c r="B1664" s="2">
        <v>9783.37</v>
      </c>
    </row>
    <row r="1665">
      <c r="A1665" s="3">
        <v>43991.99861111111</v>
      </c>
      <c r="B1665" s="2">
        <v>9763.79</v>
      </c>
    </row>
    <row r="1666">
      <c r="A1666" s="3">
        <v>43992.99861111111</v>
      </c>
      <c r="B1666" s="2">
        <v>9896.56</v>
      </c>
    </row>
    <row r="1667">
      <c r="A1667" s="3">
        <v>43993.99861111111</v>
      </c>
      <c r="B1667" s="2">
        <v>9268.16</v>
      </c>
    </row>
    <row r="1668">
      <c r="A1668" s="3">
        <v>43994.99861111111</v>
      </c>
      <c r="B1668" s="2">
        <v>9454.0</v>
      </c>
    </row>
    <row r="1669">
      <c r="A1669" s="3">
        <v>43995.99861111111</v>
      </c>
      <c r="B1669" s="2">
        <v>9475.0</v>
      </c>
    </row>
    <row r="1670">
      <c r="A1670" s="3">
        <v>43996.99861111111</v>
      </c>
      <c r="B1670" s="2">
        <v>9333.45</v>
      </c>
    </row>
    <row r="1671">
      <c r="A1671" s="3">
        <v>43997.99861111111</v>
      </c>
      <c r="B1671" s="2">
        <v>9427.86</v>
      </c>
    </row>
    <row r="1672">
      <c r="A1672" s="3">
        <v>43998.99861111111</v>
      </c>
      <c r="B1672" s="2">
        <v>9526.25</v>
      </c>
    </row>
    <row r="1673">
      <c r="A1673" s="3">
        <v>43999.99861111111</v>
      </c>
      <c r="B1673" s="2">
        <v>9457.51</v>
      </c>
    </row>
    <row r="1674">
      <c r="A1674" s="3">
        <v>44000.99861111111</v>
      </c>
      <c r="B1674" s="2">
        <v>9382.01</v>
      </c>
    </row>
    <row r="1675">
      <c r="A1675" s="3">
        <v>44001.99861111111</v>
      </c>
      <c r="B1675" s="2">
        <v>9279.4</v>
      </c>
    </row>
    <row r="1676">
      <c r="A1676" s="3">
        <v>44002.99861111111</v>
      </c>
      <c r="B1676" s="2">
        <v>9355.74</v>
      </c>
    </row>
    <row r="1677">
      <c r="A1677" s="3">
        <v>44003.99861111111</v>
      </c>
      <c r="B1677" s="2">
        <v>9286.14</v>
      </c>
    </row>
    <row r="1678">
      <c r="A1678" s="3">
        <v>44004.99861111111</v>
      </c>
      <c r="B1678" s="2">
        <v>9697.17</v>
      </c>
    </row>
    <row r="1679">
      <c r="A1679" s="3">
        <v>44005.99861111111</v>
      </c>
      <c r="B1679" s="2">
        <v>9623.56</v>
      </c>
    </row>
    <row r="1680">
      <c r="A1680" s="3">
        <v>44006.99861111111</v>
      </c>
      <c r="B1680" s="2">
        <v>9274.04</v>
      </c>
    </row>
    <row r="1681">
      <c r="A1681" s="3">
        <v>44007.99861111111</v>
      </c>
      <c r="B1681" s="2">
        <v>9244.77</v>
      </c>
    </row>
    <row r="1682">
      <c r="A1682" s="3">
        <v>44008.99861111111</v>
      </c>
      <c r="B1682" s="2">
        <v>9155.0</v>
      </c>
    </row>
    <row r="1683">
      <c r="A1683" s="3">
        <v>44009.99861111111</v>
      </c>
      <c r="B1683" s="2">
        <v>9002.51</v>
      </c>
    </row>
    <row r="1684">
      <c r="A1684" s="3">
        <v>44010.99861111111</v>
      </c>
      <c r="B1684" s="2">
        <v>9124.04</v>
      </c>
    </row>
    <row r="1685">
      <c r="A1685" s="3">
        <v>44011.99861111111</v>
      </c>
      <c r="B1685" s="2">
        <v>9184.45</v>
      </c>
    </row>
    <row r="1686">
      <c r="A1686" s="3">
        <v>44012.99861111111</v>
      </c>
      <c r="B1686" s="2">
        <v>9136.2</v>
      </c>
    </row>
    <row r="1687">
      <c r="A1687" s="3">
        <v>44013.99861111111</v>
      </c>
      <c r="B1687" s="2">
        <v>9239.96</v>
      </c>
    </row>
    <row r="1688">
      <c r="A1688" s="3">
        <v>44014.99861111111</v>
      </c>
      <c r="B1688" s="2">
        <v>9091.53</v>
      </c>
    </row>
    <row r="1689">
      <c r="A1689" s="3">
        <v>44015.99861111111</v>
      </c>
      <c r="B1689" s="2">
        <v>9063.87</v>
      </c>
    </row>
    <row r="1690">
      <c r="A1690" s="3">
        <v>44016.99861111111</v>
      </c>
      <c r="B1690" s="2">
        <v>9134.23</v>
      </c>
    </row>
    <row r="1691">
      <c r="A1691" s="3">
        <v>44017.99861111111</v>
      </c>
      <c r="B1691" s="2">
        <v>9073.49</v>
      </c>
    </row>
    <row r="1692">
      <c r="A1692" s="3">
        <v>44018.99861111111</v>
      </c>
      <c r="B1692" s="2">
        <v>9343.18</v>
      </c>
    </row>
    <row r="1693">
      <c r="A1693" s="3">
        <v>44019.99861111111</v>
      </c>
      <c r="B1693" s="2">
        <v>9253.94</v>
      </c>
    </row>
    <row r="1694">
      <c r="A1694" s="3">
        <v>44020.99861111111</v>
      </c>
      <c r="B1694" s="2">
        <v>9435.28</v>
      </c>
    </row>
    <row r="1695">
      <c r="A1695" s="3">
        <v>44021.99861111111</v>
      </c>
      <c r="B1695" s="2">
        <v>9237.32</v>
      </c>
    </row>
    <row r="1696">
      <c r="A1696" s="3">
        <v>44022.99861111111</v>
      </c>
      <c r="B1696" s="2">
        <v>9289.81</v>
      </c>
    </row>
    <row r="1697">
      <c r="A1697" s="3">
        <v>44023.99861111111</v>
      </c>
      <c r="B1697" s="2">
        <v>9235.21</v>
      </c>
    </row>
    <row r="1698">
      <c r="A1698" s="3">
        <v>44024.99861111111</v>
      </c>
      <c r="B1698" s="2">
        <v>9292.6</v>
      </c>
    </row>
    <row r="1699">
      <c r="A1699" s="3">
        <v>44025.99861111111</v>
      </c>
      <c r="B1699" s="2">
        <v>9242.31</v>
      </c>
    </row>
    <row r="1700">
      <c r="A1700" s="3">
        <v>44026.99861111111</v>
      </c>
      <c r="B1700" s="2">
        <v>9256.94</v>
      </c>
    </row>
    <row r="1701">
      <c r="A1701" s="3">
        <v>44027.99861111111</v>
      </c>
      <c r="B1701" s="2">
        <v>9190.16</v>
      </c>
    </row>
    <row r="1702">
      <c r="A1702" s="3">
        <v>44028.99861111111</v>
      </c>
      <c r="B1702" s="2">
        <v>9130.11</v>
      </c>
    </row>
    <row r="1703">
      <c r="A1703" s="3">
        <v>44029.99861111111</v>
      </c>
      <c r="B1703" s="2">
        <v>9152.64</v>
      </c>
    </row>
    <row r="1704">
      <c r="A1704" s="3">
        <v>44030.99861111111</v>
      </c>
      <c r="B1704" s="2">
        <v>9175.85</v>
      </c>
    </row>
    <row r="1705">
      <c r="A1705" s="3">
        <v>44031.99861111111</v>
      </c>
      <c r="B1705" s="2">
        <v>9214.74</v>
      </c>
    </row>
    <row r="1706">
      <c r="A1706" s="3">
        <v>44032.99861111111</v>
      </c>
      <c r="B1706" s="2">
        <v>9163.75</v>
      </c>
    </row>
    <row r="1707">
      <c r="A1707" s="3">
        <v>44033.99861111111</v>
      </c>
      <c r="B1707" s="2">
        <v>9392.79</v>
      </c>
    </row>
    <row r="1708">
      <c r="A1708" s="3">
        <v>44034.99861111111</v>
      </c>
      <c r="B1708" s="2">
        <v>9535.99</v>
      </c>
    </row>
    <row r="1709">
      <c r="A1709" s="3">
        <v>44035.99861111111</v>
      </c>
      <c r="B1709" s="2">
        <v>9613.24</v>
      </c>
    </row>
    <row r="1710">
      <c r="A1710" s="3">
        <v>44036.99861111111</v>
      </c>
      <c r="B1710" s="2">
        <v>9543.79</v>
      </c>
    </row>
    <row r="1711">
      <c r="A1711" s="3">
        <v>44037.99861111111</v>
      </c>
      <c r="B1711" s="2">
        <v>9696.19</v>
      </c>
    </row>
    <row r="1712">
      <c r="A1712" s="3">
        <v>44038.99861111111</v>
      </c>
      <c r="B1712" s="2">
        <v>9941.0</v>
      </c>
    </row>
    <row r="1713">
      <c r="A1713" s="3">
        <v>44039.99861111111</v>
      </c>
      <c r="B1713" s="2">
        <v>11020.0</v>
      </c>
    </row>
    <row r="1714">
      <c r="A1714" s="3">
        <v>44040.99861111111</v>
      </c>
      <c r="B1714" s="2">
        <v>10923.9</v>
      </c>
    </row>
    <row r="1715">
      <c r="A1715" s="3">
        <v>44041.99861111111</v>
      </c>
      <c r="B1715" s="2">
        <v>11098.8</v>
      </c>
    </row>
    <row r="1716">
      <c r="A1716" s="3">
        <v>44042.99861111111</v>
      </c>
      <c r="B1716" s="2">
        <v>11119.6</v>
      </c>
    </row>
    <row r="1717">
      <c r="A1717" s="3">
        <v>44043.99861111111</v>
      </c>
      <c r="B1717" s="2">
        <v>11342.5</v>
      </c>
    </row>
    <row r="1718">
      <c r="A1718" s="3">
        <v>44044.99861111111</v>
      </c>
      <c r="B1718" s="2">
        <v>11810.0</v>
      </c>
    </row>
    <row r="1719">
      <c r="A1719" s="3">
        <v>44045.99861111111</v>
      </c>
      <c r="B1719" s="2">
        <v>11068.5</v>
      </c>
    </row>
    <row r="1720">
      <c r="A1720" s="3">
        <v>44046.99861111111</v>
      </c>
      <c r="B1720" s="2">
        <v>11252.4</v>
      </c>
    </row>
    <row r="1721">
      <c r="A1721" s="3">
        <v>44047.99861111111</v>
      </c>
      <c r="B1721" s="2">
        <v>11197.0</v>
      </c>
    </row>
    <row r="1722">
      <c r="A1722" s="3">
        <v>44048.99861111111</v>
      </c>
      <c r="B1722" s="2">
        <v>11756.7</v>
      </c>
    </row>
    <row r="1723">
      <c r="A1723" s="3">
        <v>44049.99861111111</v>
      </c>
      <c r="B1723" s="2">
        <v>11773.8</v>
      </c>
    </row>
    <row r="1724">
      <c r="A1724" s="3">
        <v>44050.99861111111</v>
      </c>
      <c r="B1724" s="2">
        <v>11606.5</v>
      </c>
    </row>
    <row r="1725">
      <c r="A1725" s="3">
        <v>44051.99861111111</v>
      </c>
      <c r="B1725" s="2">
        <v>11774.9</v>
      </c>
    </row>
    <row r="1726">
      <c r="A1726" s="3">
        <v>44052.99861111111</v>
      </c>
      <c r="B1726" s="2">
        <v>11688.4</v>
      </c>
    </row>
    <row r="1727">
      <c r="A1727" s="3">
        <v>44053.99861111111</v>
      </c>
      <c r="B1727" s="2">
        <v>11876.2</v>
      </c>
    </row>
    <row r="1728">
      <c r="A1728" s="3">
        <v>44054.99861111111</v>
      </c>
      <c r="B1728" s="2">
        <v>11388.9</v>
      </c>
    </row>
    <row r="1729">
      <c r="A1729" s="3">
        <v>44055.99861111111</v>
      </c>
      <c r="B1729" s="2">
        <v>11571.6</v>
      </c>
    </row>
    <row r="1730">
      <c r="A1730" s="3">
        <v>44056.99861111111</v>
      </c>
      <c r="B1730" s="2">
        <v>11788.4</v>
      </c>
    </row>
    <row r="1731">
      <c r="A1731" s="3">
        <v>44057.99861111111</v>
      </c>
      <c r="B1731" s="2">
        <v>11767.5</v>
      </c>
    </row>
    <row r="1732">
      <c r="A1732" s="3">
        <v>44058.99861111111</v>
      </c>
      <c r="B1732" s="2">
        <v>11859.2</v>
      </c>
    </row>
    <row r="1733">
      <c r="A1733" s="3">
        <v>44059.99861111111</v>
      </c>
      <c r="B1733" s="2">
        <v>11907.7</v>
      </c>
    </row>
    <row r="1734">
      <c r="A1734" s="3">
        <v>44060.99861111111</v>
      </c>
      <c r="B1734" s="2">
        <v>12305.5</v>
      </c>
    </row>
    <row r="1735">
      <c r="A1735" s="3">
        <v>44061.99861111111</v>
      </c>
      <c r="B1735" s="2">
        <v>11950.0</v>
      </c>
    </row>
    <row r="1736">
      <c r="A1736" s="3">
        <v>44062.99861111111</v>
      </c>
      <c r="B1736" s="2">
        <v>11747.7</v>
      </c>
    </row>
    <row r="1737">
      <c r="A1737" s="3">
        <v>44063.99861111111</v>
      </c>
      <c r="B1737" s="2">
        <v>11864.2</v>
      </c>
    </row>
    <row r="1738">
      <c r="A1738" s="3">
        <v>44064.99861111111</v>
      </c>
      <c r="B1738" s="2">
        <v>11507.2</v>
      </c>
    </row>
    <row r="1739">
      <c r="A1739" s="3">
        <v>44065.99861111111</v>
      </c>
      <c r="B1739" s="2">
        <v>11684.5</v>
      </c>
    </row>
    <row r="1740">
      <c r="A1740" s="3">
        <v>44066.99861111111</v>
      </c>
      <c r="B1740" s="2">
        <v>11650.0</v>
      </c>
    </row>
    <row r="1741">
      <c r="A1741" s="3">
        <v>44067.99861111111</v>
      </c>
      <c r="B1741" s="2">
        <v>11753.8</v>
      </c>
    </row>
    <row r="1742">
      <c r="A1742" s="3">
        <v>44068.99861111111</v>
      </c>
      <c r="B1742" s="2">
        <v>11324.9</v>
      </c>
    </row>
    <row r="1743">
      <c r="A1743" s="3">
        <v>44069.99861111111</v>
      </c>
      <c r="B1743" s="2">
        <v>11463.2</v>
      </c>
    </row>
    <row r="1744">
      <c r="A1744" s="3">
        <v>44070.99861111111</v>
      </c>
      <c r="B1744" s="2">
        <v>11329.1</v>
      </c>
    </row>
    <row r="1745">
      <c r="A1745" s="3">
        <v>44071.99861111111</v>
      </c>
      <c r="B1745" s="2">
        <v>11535.0</v>
      </c>
    </row>
    <row r="1746">
      <c r="A1746" s="3">
        <v>44072.99861111111</v>
      </c>
      <c r="B1746" s="2">
        <v>11474.3</v>
      </c>
    </row>
    <row r="1747">
      <c r="A1747" s="3">
        <v>44073.99861111111</v>
      </c>
      <c r="B1747" s="2">
        <v>11716.0</v>
      </c>
    </row>
    <row r="1748">
      <c r="A1748" s="3">
        <v>44074.99861111111</v>
      </c>
      <c r="B1748" s="2">
        <v>11655.0</v>
      </c>
    </row>
    <row r="1749">
      <c r="A1749" s="3">
        <v>44075.99861111111</v>
      </c>
      <c r="B1749" s="2">
        <v>11929.8</v>
      </c>
    </row>
    <row r="1750">
      <c r="A1750" s="3">
        <v>44076.99861111111</v>
      </c>
      <c r="B1750" s="2">
        <v>11405.6</v>
      </c>
    </row>
    <row r="1751">
      <c r="A1751" s="3">
        <v>44077.99861111111</v>
      </c>
      <c r="B1751" s="2">
        <v>10264.1</v>
      </c>
    </row>
    <row r="1752">
      <c r="A1752" s="3">
        <v>44078.99861111111</v>
      </c>
      <c r="B1752" s="2">
        <v>10483.5</v>
      </c>
    </row>
    <row r="1753">
      <c r="A1753" s="3">
        <v>44079.99861111111</v>
      </c>
      <c r="B1753" s="2">
        <v>10168.3</v>
      </c>
    </row>
    <row r="1754">
      <c r="A1754" s="3">
        <v>44080.99861111111</v>
      </c>
      <c r="B1754" s="2">
        <v>10257.8</v>
      </c>
    </row>
    <row r="1755">
      <c r="A1755" s="3">
        <v>44081.99861111111</v>
      </c>
      <c r="B1755" s="2">
        <v>10375.0</v>
      </c>
    </row>
    <row r="1756">
      <c r="A1756" s="3">
        <v>44082.99861111111</v>
      </c>
      <c r="B1756" s="2">
        <v>10125.6</v>
      </c>
    </row>
    <row r="1757">
      <c r="A1757" s="3">
        <v>44083.99861111111</v>
      </c>
      <c r="B1757" s="2">
        <v>10216.4</v>
      </c>
    </row>
    <row r="1758">
      <c r="A1758" s="3">
        <v>44084.99861111111</v>
      </c>
      <c r="B1758" s="2">
        <v>10344.2</v>
      </c>
    </row>
    <row r="1759">
      <c r="A1759" s="3">
        <v>44085.99861111111</v>
      </c>
      <c r="B1759" s="2">
        <v>10383.9</v>
      </c>
    </row>
    <row r="1760">
      <c r="A1760" s="3">
        <v>44086.99861111111</v>
      </c>
      <c r="B1760" s="2">
        <v>10445.2</v>
      </c>
    </row>
    <row r="1761">
      <c r="A1761" s="3">
        <v>44087.99861111111</v>
      </c>
      <c r="B1761" s="2">
        <v>10323.3</v>
      </c>
    </row>
    <row r="1762">
      <c r="A1762" s="3">
        <v>44088.99861111111</v>
      </c>
      <c r="B1762" s="2">
        <v>10671.4</v>
      </c>
    </row>
    <row r="1763">
      <c r="A1763" s="3">
        <v>44089.99861111111</v>
      </c>
      <c r="B1763" s="2">
        <v>10783.7</v>
      </c>
    </row>
    <row r="1764">
      <c r="A1764" s="3">
        <v>44090.99861111111</v>
      </c>
      <c r="B1764" s="2">
        <v>10959.6</v>
      </c>
    </row>
    <row r="1765">
      <c r="A1765" s="3">
        <v>44091.99861111111</v>
      </c>
      <c r="B1765" s="2">
        <v>10943.6</v>
      </c>
    </row>
    <row r="1766">
      <c r="A1766" s="3">
        <v>44092.99861111111</v>
      </c>
      <c r="B1766" s="2">
        <v>10937.5</v>
      </c>
    </row>
    <row r="1767">
      <c r="A1767" s="3">
        <v>44093.99861111111</v>
      </c>
      <c r="B1767" s="2">
        <v>11080.0</v>
      </c>
    </row>
    <row r="1768">
      <c r="A1768" s="3">
        <v>44094.99861111111</v>
      </c>
      <c r="B1768" s="2">
        <v>10920.8</v>
      </c>
    </row>
    <row r="1769">
      <c r="A1769" s="3">
        <v>44095.99861111111</v>
      </c>
      <c r="B1769" s="2">
        <v>10414.4</v>
      </c>
    </row>
    <row r="1770">
      <c r="A1770" s="3">
        <v>44096.99861111111</v>
      </c>
      <c r="B1770" s="2">
        <v>10532.8</v>
      </c>
    </row>
    <row r="1771">
      <c r="A1771" s="3">
        <v>44097.99861111111</v>
      </c>
      <c r="B1771" s="2">
        <v>10235.1</v>
      </c>
    </row>
    <row r="1772">
      <c r="A1772" s="3">
        <v>44098.99861111111</v>
      </c>
      <c r="B1772" s="2">
        <v>10740.0</v>
      </c>
    </row>
    <row r="1773">
      <c r="A1773" s="3">
        <v>44099.99861111111</v>
      </c>
      <c r="B1773" s="2">
        <v>10690.5</v>
      </c>
    </row>
    <row r="1774">
      <c r="A1774" s="3">
        <v>44100.99861111111</v>
      </c>
      <c r="B1774" s="2">
        <v>10735.6</v>
      </c>
    </row>
    <row r="1775">
      <c r="A1775" s="3">
        <v>44101.99861111111</v>
      </c>
      <c r="B1775" s="2">
        <v>10770.0</v>
      </c>
    </row>
    <row r="1776">
      <c r="A1776" s="3">
        <v>44102.99861111111</v>
      </c>
      <c r="B1776" s="2">
        <v>10695.5</v>
      </c>
    </row>
    <row r="1777">
      <c r="A1777" s="3">
        <v>44103.99861111111</v>
      </c>
      <c r="B1777" s="2">
        <v>10840.4</v>
      </c>
    </row>
    <row r="1778">
      <c r="A1778" s="3">
        <v>44104.99861111111</v>
      </c>
      <c r="B1778" s="2">
        <v>10779.6</v>
      </c>
    </row>
    <row r="1779">
      <c r="A1779" s="3">
        <v>44105.99861111111</v>
      </c>
      <c r="B1779" s="2">
        <v>10612.4</v>
      </c>
    </row>
    <row r="1780">
      <c r="A1780" s="3">
        <v>44106.99861111111</v>
      </c>
      <c r="B1780" s="2">
        <v>10573.1</v>
      </c>
    </row>
    <row r="1781">
      <c r="A1781" s="3">
        <v>44107.99861111111</v>
      </c>
      <c r="B1781" s="2">
        <v>10551.6</v>
      </c>
    </row>
    <row r="1782">
      <c r="A1782" s="3">
        <v>44108.99861111111</v>
      </c>
      <c r="B1782" s="2">
        <v>10671.1</v>
      </c>
    </row>
    <row r="1783">
      <c r="A1783" s="3">
        <v>44109.99861111111</v>
      </c>
      <c r="B1783" s="2">
        <v>10795.0</v>
      </c>
    </row>
    <row r="1784">
      <c r="A1784" s="3">
        <v>44110.99861111111</v>
      </c>
      <c r="B1784" s="2">
        <v>10606.1</v>
      </c>
    </row>
    <row r="1785">
      <c r="A1785" s="3">
        <v>44111.99861111111</v>
      </c>
      <c r="B1785" s="2">
        <v>10670.4</v>
      </c>
    </row>
    <row r="1786">
      <c r="A1786" s="3">
        <v>44112.99861111111</v>
      </c>
      <c r="B1786" s="2">
        <v>10906.3</v>
      </c>
    </row>
    <row r="1787">
      <c r="A1787" s="3">
        <v>44113.99861111111</v>
      </c>
      <c r="B1787" s="2">
        <v>11067.0</v>
      </c>
    </row>
    <row r="1788">
      <c r="A1788" s="3">
        <v>44114.99861111111</v>
      </c>
      <c r="B1788" s="2">
        <v>11302.9</v>
      </c>
    </row>
    <row r="1789">
      <c r="A1789" s="3">
        <v>44115.99861111111</v>
      </c>
      <c r="B1789" s="2">
        <v>11381.7</v>
      </c>
    </row>
    <row r="1790">
      <c r="A1790" s="3">
        <v>44116.99861111111</v>
      </c>
      <c r="B1790" s="2">
        <v>11535.4</v>
      </c>
    </row>
    <row r="1791">
      <c r="A1791" s="3">
        <v>44117.99861111111</v>
      </c>
      <c r="B1791" s="2">
        <v>11429.9</v>
      </c>
    </row>
    <row r="1792">
      <c r="A1792" s="3">
        <v>44118.99861111111</v>
      </c>
      <c r="B1792" s="2">
        <v>11427.7</v>
      </c>
    </row>
    <row r="1793">
      <c r="A1793" s="3">
        <v>44119.99861111111</v>
      </c>
      <c r="B1793" s="2">
        <v>11500.1</v>
      </c>
    </row>
    <row r="1794">
      <c r="A1794" s="3">
        <v>44120.99861111111</v>
      </c>
      <c r="B1794" s="2">
        <v>11328.9</v>
      </c>
    </row>
    <row r="1795">
      <c r="A1795" s="3">
        <v>44121.99861111111</v>
      </c>
      <c r="B1795" s="2">
        <v>11367.8</v>
      </c>
    </row>
    <row r="1796">
      <c r="A1796" s="3">
        <v>44122.99861111111</v>
      </c>
      <c r="B1796" s="2">
        <v>11514.2</v>
      </c>
    </row>
    <row r="1797">
      <c r="A1797" s="3">
        <v>44123.99861111111</v>
      </c>
      <c r="B1797" s="2">
        <v>11760.4</v>
      </c>
    </row>
    <row r="1798">
      <c r="A1798" s="3">
        <v>44124.99861111111</v>
      </c>
      <c r="B1798" s="2">
        <v>11923.8</v>
      </c>
    </row>
    <row r="1799">
      <c r="A1799" s="3">
        <v>44125.99861111111</v>
      </c>
      <c r="B1799" s="2">
        <v>12844.4</v>
      </c>
    </row>
    <row r="1800">
      <c r="A1800" s="3">
        <v>44126.99861111111</v>
      </c>
      <c r="B1800" s="2">
        <v>12986.8</v>
      </c>
    </row>
    <row r="1801">
      <c r="A1801" s="3">
        <v>44127.99861111111</v>
      </c>
      <c r="B1801" s="2">
        <v>12937.0</v>
      </c>
    </row>
    <row r="1802">
      <c r="A1802" s="3">
        <v>44128.99861111111</v>
      </c>
      <c r="B1802" s="2">
        <v>13128.3</v>
      </c>
    </row>
    <row r="1803">
      <c r="A1803" s="3">
        <v>44129.99861111111</v>
      </c>
      <c r="B1803" s="2">
        <v>13041.6</v>
      </c>
    </row>
    <row r="1804">
      <c r="A1804" s="3">
        <v>44130.99861111111</v>
      </c>
      <c r="B1804" s="2">
        <v>13085.1</v>
      </c>
    </row>
    <row r="1805">
      <c r="A1805" s="3">
        <v>44131.99861111111</v>
      </c>
      <c r="B1805" s="2">
        <v>13793.7</v>
      </c>
    </row>
    <row r="1806">
      <c r="A1806" s="3">
        <v>44132.99861111111</v>
      </c>
      <c r="B1806" s="2">
        <v>13285.8</v>
      </c>
    </row>
    <row r="1807">
      <c r="A1807" s="3">
        <v>44133.99861111111</v>
      </c>
      <c r="B1807" s="2">
        <v>13456.5</v>
      </c>
    </row>
    <row r="1808">
      <c r="A1808" s="3">
        <v>44134.99861111111</v>
      </c>
      <c r="B1808" s="2">
        <v>13571.2</v>
      </c>
    </row>
    <row r="1809">
      <c r="A1809" s="3">
        <v>44135.99861111111</v>
      </c>
      <c r="B1809" s="2">
        <v>13803.2</v>
      </c>
    </row>
    <row r="1810">
      <c r="A1810" s="3">
        <v>44136.99861111111</v>
      </c>
      <c r="B1810" s="2">
        <v>13748.0</v>
      </c>
    </row>
    <row r="1811">
      <c r="A1811" s="3">
        <v>44137.99861111111</v>
      </c>
      <c r="B1811" s="2">
        <v>13562.7</v>
      </c>
    </row>
    <row r="1812">
      <c r="A1812" s="3">
        <v>44138.99861111111</v>
      </c>
      <c r="B1812" s="2">
        <v>14035.8</v>
      </c>
    </row>
    <row r="1813">
      <c r="A1813" s="3">
        <v>44139.99861111111</v>
      </c>
      <c r="B1813" s="2">
        <v>14161.4</v>
      </c>
    </row>
    <row r="1814">
      <c r="A1814" s="3">
        <v>44140.99861111111</v>
      </c>
      <c r="B1814" s="2">
        <v>15608.2</v>
      </c>
    </row>
    <row r="1815">
      <c r="A1815" s="3">
        <v>44141.99861111111</v>
      </c>
      <c r="B1815" s="2">
        <v>15599.9</v>
      </c>
    </row>
    <row r="1816">
      <c r="A1816" s="3">
        <v>44142.99861111111</v>
      </c>
      <c r="B1816" s="2">
        <v>14834.0</v>
      </c>
    </row>
    <row r="1817">
      <c r="A1817" s="3">
        <v>44143.99861111111</v>
      </c>
      <c r="B1817" s="2">
        <v>15502.9</v>
      </c>
    </row>
    <row r="1818">
      <c r="A1818" s="3">
        <v>44144.99861111111</v>
      </c>
      <c r="B1818" s="2">
        <v>15317.6</v>
      </c>
    </row>
    <row r="1819">
      <c r="A1819" s="3">
        <v>44145.99861111111</v>
      </c>
      <c r="B1819" s="2">
        <v>15315.0</v>
      </c>
    </row>
    <row r="1820">
      <c r="A1820" s="3">
        <v>44146.99861111111</v>
      </c>
      <c r="B1820" s="2">
        <v>15701.3</v>
      </c>
    </row>
    <row r="1821">
      <c r="A1821" s="3">
        <v>44147.99861111111</v>
      </c>
      <c r="B1821" s="2">
        <v>16276.6</v>
      </c>
    </row>
    <row r="1822">
      <c r="A1822" s="3">
        <v>44148.99861111111</v>
      </c>
      <c r="B1822" s="2">
        <v>16333.8</v>
      </c>
    </row>
    <row r="1823">
      <c r="A1823" s="3">
        <v>44149.99861111111</v>
      </c>
      <c r="B1823" s="2">
        <v>16082.0</v>
      </c>
    </row>
    <row r="1824">
      <c r="A1824" s="3">
        <v>44150.99861111111</v>
      </c>
      <c r="B1824" s="2">
        <v>15979.5</v>
      </c>
    </row>
    <row r="1825">
      <c r="A1825" s="3">
        <v>44151.99861111111</v>
      </c>
      <c r="B1825" s="2">
        <v>16743.0</v>
      </c>
    </row>
    <row r="1826">
      <c r="A1826" s="3">
        <v>44152.99861111111</v>
      </c>
      <c r="B1826" s="2">
        <v>17686.6</v>
      </c>
    </row>
    <row r="1827">
      <c r="A1827" s="3">
        <v>44153.99861111111</v>
      </c>
      <c r="B1827" s="2">
        <v>17845.5</v>
      </c>
    </row>
    <row r="1828">
      <c r="A1828" s="3">
        <v>44154.99861111111</v>
      </c>
      <c r="B1828" s="2">
        <v>17842.0</v>
      </c>
    </row>
    <row r="1829">
      <c r="A1829" s="3">
        <v>44155.99861111111</v>
      </c>
      <c r="B1829" s="2">
        <v>18656.0</v>
      </c>
    </row>
    <row r="1830">
      <c r="A1830" s="3">
        <v>44156.99861111111</v>
      </c>
      <c r="B1830" s="2">
        <v>18718.8</v>
      </c>
    </row>
    <row r="1831">
      <c r="A1831" s="3">
        <v>44157.99861111111</v>
      </c>
      <c r="B1831" s="2">
        <v>18426.2</v>
      </c>
    </row>
    <row r="1832">
      <c r="A1832" s="3">
        <v>44158.99861111111</v>
      </c>
      <c r="B1832" s="2">
        <v>18398.9</v>
      </c>
    </row>
    <row r="1833">
      <c r="A1833" s="3">
        <v>44159.99861111111</v>
      </c>
      <c r="B1833" s="2">
        <v>19129.3</v>
      </c>
    </row>
    <row r="1834">
      <c r="A1834" s="3">
        <v>44160.99861111111</v>
      </c>
      <c r="B1834" s="2">
        <v>18769.4</v>
      </c>
    </row>
    <row r="1835">
      <c r="A1835" s="3">
        <v>44161.99861111111</v>
      </c>
      <c r="B1835" s="2">
        <v>17076.0</v>
      </c>
    </row>
    <row r="1836">
      <c r="A1836" s="3">
        <v>44162.99861111111</v>
      </c>
      <c r="B1836" s="2">
        <v>17153.9</v>
      </c>
    </row>
    <row r="1837">
      <c r="A1837" s="3">
        <v>44163.99861111111</v>
      </c>
      <c r="B1837" s="2">
        <v>17723.5</v>
      </c>
    </row>
    <row r="1838">
      <c r="A1838" s="3">
        <v>44164.99861111111</v>
      </c>
      <c r="B1838" s="2">
        <v>18190.0</v>
      </c>
    </row>
    <row r="1839">
      <c r="A1839" s="3">
        <v>44165.99861111111</v>
      </c>
      <c r="B1839" s="2">
        <v>19684.0</v>
      </c>
    </row>
    <row r="1840">
      <c r="A1840" s="3">
        <v>44166.99861111111</v>
      </c>
      <c r="B1840" s="2">
        <v>18870.8</v>
      </c>
    </row>
    <row r="1841">
      <c r="A1841" s="3">
        <v>44167.99861111111</v>
      </c>
      <c r="B1841" s="2">
        <v>19204.6</v>
      </c>
    </row>
    <row r="1842">
      <c r="A1842" s="3">
        <v>44168.99861111111</v>
      </c>
      <c r="B1842" s="2">
        <v>19465.1</v>
      </c>
    </row>
    <row r="1843">
      <c r="A1843" s="3">
        <v>44169.99861111111</v>
      </c>
      <c r="B1843" s="2">
        <v>18739.5</v>
      </c>
    </row>
    <row r="1844">
      <c r="A1844" s="3">
        <v>44170.99861111111</v>
      </c>
      <c r="B1844" s="2">
        <v>19135.9</v>
      </c>
    </row>
    <row r="1845">
      <c r="A1845" s="3">
        <v>44171.99861111111</v>
      </c>
      <c r="B1845" s="2">
        <v>19348.4</v>
      </c>
    </row>
    <row r="1846">
      <c r="A1846" s="3">
        <v>44172.99861111111</v>
      </c>
      <c r="B1846" s="2">
        <v>19202.1</v>
      </c>
    </row>
    <row r="1847">
      <c r="A1847" s="3">
        <v>44173.99861111111</v>
      </c>
      <c r="B1847" s="2">
        <v>18319.7</v>
      </c>
    </row>
    <row r="1848">
      <c r="A1848" s="3">
        <v>44174.99861111111</v>
      </c>
      <c r="B1848" s="2">
        <v>18559.9</v>
      </c>
    </row>
    <row r="1849">
      <c r="A1849" s="3">
        <v>44175.99861111111</v>
      </c>
      <c r="B1849" s="2">
        <v>18279.0</v>
      </c>
    </row>
    <row r="1850">
      <c r="A1850" s="3">
        <v>44176.99861111111</v>
      </c>
      <c r="B1850" s="2">
        <v>18056.7</v>
      </c>
    </row>
    <row r="1851">
      <c r="A1851" s="3">
        <v>44177.99861111111</v>
      </c>
      <c r="B1851" s="2">
        <v>18811.5</v>
      </c>
    </row>
    <row r="1852">
      <c r="A1852" s="3">
        <v>44178.99861111111</v>
      </c>
      <c r="B1852" s="2">
        <v>19168.5</v>
      </c>
    </row>
    <row r="1853">
      <c r="A1853" s="3">
        <v>44179.99861111111</v>
      </c>
      <c r="B1853" s="2">
        <v>19272.3</v>
      </c>
    </row>
    <row r="1854">
      <c r="A1854" s="3">
        <v>44180.99861111111</v>
      </c>
      <c r="B1854" s="2">
        <v>19452.5</v>
      </c>
    </row>
    <row r="1855">
      <c r="A1855" s="3">
        <v>44181.99861111111</v>
      </c>
      <c r="B1855" s="2">
        <v>21359.6</v>
      </c>
    </row>
    <row r="1856">
      <c r="A1856" s="3">
        <v>44182.99861111111</v>
      </c>
      <c r="B1856" s="2">
        <v>22826.4</v>
      </c>
    </row>
    <row r="1857">
      <c r="A1857" s="3">
        <v>44183.99861111111</v>
      </c>
      <c r="B1857" s="2">
        <v>23140.3</v>
      </c>
    </row>
    <row r="1858">
      <c r="A1858" s="3">
        <v>44184.99861111111</v>
      </c>
      <c r="B1858" s="2">
        <v>23874.5</v>
      </c>
    </row>
    <row r="1859">
      <c r="A1859" s="3">
        <v>44185.99861111111</v>
      </c>
      <c r="B1859" s="2">
        <v>23530.0</v>
      </c>
    </row>
    <row r="1860">
      <c r="A1860" s="3">
        <v>44186.99861111111</v>
      </c>
      <c r="B1860" s="2">
        <v>22729.4</v>
      </c>
    </row>
    <row r="1861">
      <c r="A1861" s="3">
        <v>44187.99861111111</v>
      </c>
      <c r="B1861" s="2">
        <v>23825.9</v>
      </c>
    </row>
    <row r="1862">
      <c r="A1862" s="3">
        <v>44188.99861111111</v>
      </c>
      <c r="B1862" s="2">
        <v>23224.3</v>
      </c>
    </row>
    <row r="1863">
      <c r="A1863" s="3">
        <v>44189.99861111111</v>
      </c>
      <c r="B1863" s="2">
        <v>23719.4</v>
      </c>
    </row>
    <row r="1864">
      <c r="A1864" s="3">
        <v>44190.99861111111</v>
      </c>
      <c r="B1864" s="2">
        <v>24703.3</v>
      </c>
    </row>
    <row r="1865">
      <c r="A1865" s="3">
        <v>44191.99861111111</v>
      </c>
      <c r="B1865" s="2">
        <v>26475.3</v>
      </c>
    </row>
    <row r="1866">
      <c r="A1866" s="3">
        <v>44192.99861111111</v>
      </c>
      <c r="B1866" s="2">
        <v>26258.6</v>
      </c>
    </row>
    <row r="1867">
      <c r="A1867" s="3">
        <v>44193.99861111111</v>
      </c>
      <c r="B1867" s="2">
        <v>27038.0</v>
      </c>
    </row>
    <row r="1868">
      <c r="A1868" s="3">
        <v>44194.99861111111</v>
      </c>
      <c r="B1868" s="2">
        <v>27394.4</v>
      </c>
    </row>
    <row r="1869">
      <c r="A1869" s="3">
        <v>44195.99861111111</v>
      </c>
      <c r="B1869" s="2">
        <v>28897.4</v>
      </c>
    </row>
    <row r="1870">
      <c r="A1870" s="3">
        <v>44196.99861111111</v>
      </c>
      <c r="B1870" s="2">
        <v>28990.0</v>
      </c>
    </row>
  </sheetData>
  <drawing r:id="rId1"/>
</worksheet>
</file>