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rkeeffe\Desktop\"/>
    </mc:Choice>
  </mc:AlternateContent>
  <xr:revisionPtr revIDLastSave="0" documentId="13_ncr:1_{991786FE-D5CC-4161-AEC9-AADA4C11B4C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able_S1" sheetId="4" r:id="rId1"/>
    <sheet name="Table_S2" sheetId="3" r:id="rId2"/>
  </sheets>
  <calcPr calcId="191029"/>
  <extLst>
    <ext uri="GoogleSheetsCustomDataVersion2">
      <go:sheetsCustomData xmlns:go="http://customooxmlschemas.google.com/" r:id="rId8" roundtripDataChecksum="HqB4zaPeoh9rbfVu9PW3zEvEHB9gDaBMDm96pGez1/w="/>
    </ext>
  </extLst>
</workbook>
</file>

<file path=xl/calcChain.xml><?xml version="1.0" encoding="utf-8"?>
<calcChain xmlns="http://schemas.openxmlformats.org/spreadsheetml/2006/main">
  <c r="Z40" i="4" l="1"/>
  <c r="Z37" i="4"/>
  <c r="Z34" i="4"/>
  <c r="Z29" i="4"/>
  <c r="Z24" i="4"/>
  <c r="Z20" i="4"/>
  <c r="Z19" i="4"/>
  <c r="Z12" i="4"/>
  <c r="Z13" i="4"/>
  <c r="Z14" i="4"/>
  <c r="Z11" i="4"/>
  <c r="Z10" i="4"/>
  <c r="G42" i="4" l="1"/>
  <c r="G41" i="4"/>
  <c r="G40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1" i="4"/>
  <c r="G20" i="4"/>
  <c r="G19" i="4"/>
  <c r="G18" i="4"/>
  <c r="G17" i="4"/>
  <c r="G16" i="4"/>
  <c r="G15" i="4"/>
  <c r="G14" i="4"/>
  <c r="G13" i="4"/>
  <c r="G12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<sst xmlns="http://schemas.openxmlformats.org/spreadsheetml/2006/main" count="823" uniqueCount="126">
  <si>
    <t>Family</t>
  </si>
  <si>
    <t>Genus</t>
  </si>
  <si>
    <t>Species</t>
  </si>
  <si>
    <t>Colubridae</t>
  </si>
  <si>
    <t>Ahaetulla</t>
  </si>
  <si>
    <t>nasuta</t>
  </si>
  <si>
    <t>Nerodia</t>
  </si>
  <si>
    <t>fasciata</t>
  </si>
  <si>
    <t>rhombifer</t>
  </si>
  <si>
    <t>sipedon</t>
  </si>
  <si>
    <t>Opheodrys</t>
  </si>
  <si>
    <t>aestivus</t>
  </si>
  <si>
    <t>Pantherophis</t>
  </si>
  <si>
    <t>alleghaniensis</t>
  </si>
  <si>
    <t>guttatus</t>
  </si>
  <si>
    <t>Elapidae</t>
  </si>
  <si>
    <t>Acanthophis</t>
  </si>
  <si>
    <t>rugosus</t>
  </si>
  <si>
    <t>Lamprophiidae</t>
  </si>
  <si>
    <t>Mehelya</t>
  </si>
  <si>
    <t>crossi</t>
  </si>
  <si>
    <t>Viperidae</t>
  </si>
  <si>
    <t>Crotalus</t>
  </si>
  <si>
    <t>atrox</t>
  </si>
  <si>
    <t>viridis</t>
  </si>
  <si>
    <t>na</t>
  </si>
  <si>
    <t>Test</t>
  </si>
  <si>
    <t>Variable1</t>
  </si>
  <si>
    <t>Variable2</t>
  </si>
  <si>
    <t>p-value</t>
  </si>
  <si>
    <t>lm</t>
  </si>
  <si>
    <t>Radius_of_Curvature_at_Tip</t>
  </si>
  <si>
    <t>Tip_angle_degrees</t>
  </si>
  <si>
    <t>PC1_value</t>
  </si>
  <si>
    <t>Volume</t>
  </si>
  <si>
    <t>Structural_Curvature_degrees</t>
  </si>
  <si>
    <t>Puncture_range_degrees</t>
  </si>
  <si>
    <t>Lowest_Force_to_Puncture</t>
  </si>
  <si>
    <t>ANOVA</t>
  </si>
  <si>
    <t>shape</t>
  </si>
  <si>
    <t>SVL</t>
  </si>
  <si>
    <t>Specimen_ID</t>
  </si>
  <si>
    <t>SVL_mm</t>
  </si>
  <si>
    <t>Spine_Location</t>
  </si>
  <si>
    <t>Long or Short?</t>
  </si>
  <si>
    <t>Hooked or Not-Hooked?</t>
  </si>
  <si>
    <t>Straight or Wavy?</t>
  </si>
  <si>
    <t>Conical or Laterally Compressed?</t>
  </si>
  <si>
    <t>Segmentation_Threshold</t>
  </si>
  <si>
    <t>Radius_of_Curvature_at_Tip_unitless</t>
  </si>
  <si>
    <t>Tested_for_Puncture_Performance</t>
  </si>
  <si>
    <t>0_degrees_average_force_N</t>
  </si>
  <si>
    <t>10_degrees_average_force_N</t>
  </si>
  <si>
    <t>20_degrees_average_force_N</t>
  </si>
  <si>
    <t>30_degrees_average_force_N</t>
  </si>
  <si>
    <t>40_degrees_average_force_N</t>
  </si>
  <si>
    <t>50_degrees_average_force_N</t>
  </si>
  <si>
    <t>60_degrees_average_force_N</t>
  </si>
  <si>
    <t>AHNA004M_Spine3</t>
  </si>
  <si>
    <t>Tip</t>
  </si>
  <si>
    <t>Long</t>
  </si>
  <si>
    <t>Not-Hooked</t>
  </si>
  <si>
    <t>Straight</t>
  </si>
  <si>
    <t>Conical</t>
  </si>
  <si>
    <t>22467.10 to 61620.00</t>
  </si>
  <si>
    <t>N</t>
  </si>
  <si>
    <t>AHNA004M_Spine2</t>
  </si>
  <si>
    <t>Mid shaft</t>
  </si>
  <si>
    <t>Hooked</t>
  </si>
  <si>
    <t>Laterally Compressed</t>
  </si>
  <si>
    <t>AHNA004M_Spine1</t>
  </si>
  <si>
    <t>AHNA004M_Spine4</t>
  </si>
  <si>
    <t>Proximal shaft</t>
  </si>
  <si>
    <t>Short</t>
  </si>
  <si>
    <t>NEFA101M_Spine2</t>
  </si>
  <si>
    <t>14947.80 to 59791.00</t>
  </si>
  <si>
    <t>NEFA101M_Spine1</t>
  </si>
  <si>
    <t>NEFA101M_Spine3</t>
  </si>
  <si>
    <t>Distal shaft</t>
  </si>
  <si>
    <t>Wavy</t>
  </si>
  <si>
    <t>NEFA101M_Spine4</t>
  </si>
  <si>
    <t>Base</t>
  </si>
  <si>
    <t>NR30M_Spine5</t>
  </si>
  <si>
    <t>16383.80 to 65535.04</t>
  </si>
  <si>
    <t>Y</t>
  </si>
  <si>
    <t>NR30M_Spine1</t>
  </si>
  <si>
    <t>16383.80 to 65535.00</t>
  </si>
  <si>
    <t>NR30M_Spine2</t>
  </si>
  <si>
    <t>16383.80 to 65535.01</t>
  </si>
  <si>
    <t>NR30M_Spine3</t>
  </si>
  <si>
    <t>16383.80 to 65535.02</t>
  </si>
  <si>
    <t>NR30M_Spine4</t>
  </si>
  <si>
    <t>16383.80 to 65535.03</t>
  </si>
  <si>
    <t>NESI050M_Spine1</t>
  </si>
  <si>
    <t>15742.50 to 62970.00</t>
  </si>
  <si>
    <t>NESI050M_Spine3</t>
  </si>
  <si>
    <t>NESI050M_Spine2</t>
  </si>
  <si>
    <t>NESI050M_Spine4</t>
  </si>
  <si>
    <t>NESI050M_Spine5</t>
  </si>
  <si>
    <t>OPAE004M_Spine2</t>
  </si>
  <si>
    <t>15484.00 to 61936.00</t>
  </si>
  <si>
    <t>OPAE004M_Spine1</t>
  </si>
  <si>
    <t>OPAE004M_Spine3</t>
  </si>
  <si>
    <t>PAAL003M_Spine2</t>
  </si>
  <si>
    <t>PAAL003M_Spine3</t>
  </si>
  <si>
    <t>PAAL003M_Spine1</t>
  </si>
  <si>
    <t>PAGU001M_Spine2</t>
  </si>
  <si>
    <t>PAGU001M_Spine3</t>
  </si>
  <si>
    <t>PAGU001M_Spine1</t>
  </si>
  <si>
    <t>ACRU001M_Spine1</t>
  </si>
  <si>
    <t>8027.34 to 59167.00</t>
  </si>
  <si>
    <t>ACRU001M_Spine3</t>
  </si>
  <si>
    <t>ACRU001M_Spine2</t>
  </si>
  <si>
    <t>ACRU001M_Spine4</t>
  </si>
  <si>
    <t>MECR002M_Spine2</t>
  </si>
  <si>
    <t>MECR002M_Spine1</t>
  </si>
  <si>
    <t>MECR002M_Spine4</t>
  </si>
  <si>
    <t>MECR002M_Spine3</t>
  </si>
  <si>
    <t>CRAT001M_Spine1</t>
  </si>
  <si>
    <t>CRAT001M_Spine2</t>
  </si>
  <si>
    <t>CRAT001M_Spine3</t>
  </si>
  <si>
    <t>CRVI002M_Spine1</t>
  </si>
  <si>
    <t>CRVI002M_Spine2</t>
  </si>
  <si>
    <t>CRVI002M_Spine3</t>
  </si>
  <si>
    <t>Average_puncture_force_N</t>
  </si>
  <si>
    <t>Average_Puncture_Force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</si>
</sst>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/>
    <xf numFmtId="0" fontId="5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wrapText="1"/>
    </xf>
    <xf numFmtId="2" fontId="5" fillId="0" borderId="0" xfId="0" applyNumberFormat="1" applyFont="1"/>
    <xf numFmtId="0" fontId="6" fillId="0" borderId="0" xfId="0" applyFont="1"/>
    <xf numFmtId="0" fontId="3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8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horizontal="right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1000"/>
  <sheetViews>
    <sheetView tabSelected="1" topLeftCell="A15" workbookViewId="0">
      <selection activeCell="Z33" sqref="Z33"/>
    </sheetView>
  </sheetViews>
  <sheetFormatPr defaultColWidth="14.44140625" defaultRowHeight="15" customHeight="1" x14ac:dyDescent="0.3"/>
  <cols>
    <col min="1" max="1" width="14" customWidth="1"/>
    <col min="2" max="2" width="13" customWidth="1"/>
    <col min="3" max="3" width="13.5546875" customWidth="1"/>
    <col min="4" max="4" width="18" customWidth="1"/>
    <col min="5" max="6" width="8.44140625" customWidth="1"/>
    <col min="7" max="7" width="19" customWidth="1"/>
    <col min="8" max="8" width="17.6640625" customWidth="1"/>
    <col min="9" max="9" width="13.6640625" customWidth="1"/>
    <col min="10" max="10" width="22.109375" customWidth="1"/>
    <col min="11" max="11" width="16.5546875" customWidth="1"/>
    <col min="12" max="12" width="29.6640625" customWidth="1"/>
    <col min="13" max="13" width="23" customWidth="1"/>
    <col min="14" max="14" width="9.109375" customWidth="1"/>
    <col min="15" max="15" width="18.5546875" customWidth="1"/>
    <col min="16" max="16" width="10.5546875" customWidth="1"/>
    <col min="17" max="17" width="6.6640625" customWidth="1"/>
    <col min="18" max="18" width="14.33203125" customWidth="1"/>
    <col min="19" max="19" width="9.6640625" customWidth="1"/>
    <col min="20" max="20" width="10.5546875" customWidth="1"/>
    <col min="21" max="21" width="10.6640625" customWidth="1"/>
    <col min="22" max="22" width="10.88671875" customWidth="1"/>
    <col min="23" max="24" width="10.6640625" customWidth="1"/>
    <col min="25" max="25" width="11.109375" customWidth="1"/>
    <col min="26" max="26" width="11.44140625" customWidth="1"/>
    <col min="27" max="29" width="28.33203125" customWidth="1"/>
  </cols>
  <sheetData>
    <row r="1" spans="1:29" ht="14.25" customHeight="1" x14ac:dyDescent="0.3">
      <c r="A1" s="4" t="s">
        <v>0</v>
      </c>
      <c r="B1" s="4" t="s">
        <v>1</v>
      </c>
      <c r="C1" s="4" t="s">
        <v>2</v>
      </c>
      <c r="D1" s="4" t="s">
        <v>41</v>
      </c>
      <c r="E1" s="4" t="s">
        <v>42</v>
      </c>
      <c r="F1" s="4" t="s">
        <v>34</v>
      </c>
      <c r="G1" s="4" t="s">
        <v>35</v>
      </c>
      <c r="H1" s="4" t="s">
        <v>43</v>
      </c>
      <c r="I1" s="5" t="s">
        <v>44</v>
      </c>
      <c r="J1" s="5" t="s">
        <v>45</v>
      </c>
      <c r="K1" s="5" t="s">
        <v>46</v>
      </c>
      <c r="L1" s="5" t="s">
        <v>47</v>
      </c>
      <c r="M1" s="4" t="s">
        <v>48</v>
      </c>
      <c r="N1" s="4" t="s">
        <v>32</v>
      </c>
      <c r="O1" s="5" t="s">
        <v>49</v>
      </c>
      <c r="P1" s="4" t="s">
        <v>33</v>
      </c>
      <c r="Q1" s="4" t="s">
        <v>50</v>
      </c>
      <c r="R1" s="4" t="s">
        <v>36</v>
      </c>
      <c r="S1" s="4" t="s">
        <v>51</v>
      </c>
      <c r="T1" s="4" t="s">
        <v>52</v>
      </c>
      <c r="U1" s="4" t="s">
        <v>53</v>
      </c>
      <c r="V1" s="4" t="s">
        <v>54</v>
      </c>
      <c r="W1" s="4" t="s">
        <v>55</v>
      </c>
      <c r="X1" s="4" t="s">
        <v>56</v>
      </c>
      <c r="Y1" s="4" t="s">
        <v>57</v>
      </c>
      <c r="Z1" s="4" t="s">
        <v>124</v>
      </c>
      <c r="AA1" s="4"/>
      <c r="AB1" s="4"/>
      <c r="AC1" s="4"/>
    </row>
    <row r="2" spans="1:29" ht="14.25" customHeight="1" x14ac:dyDescent="0.3">
      <c r="A2" s="11" t="s">
        <v>3</v>
      </c>
      <c r="B2" s="18" t="s">
        <v>4</v>
      </c>
      <c r="C2" s="18" t="s">
        <v>5</v>
      </c>
      <c r="D2" s="11" t="s">
        <v>58</v>
      </c>
      <c r="E2" s="11">
        <v>628</v>
      </c>
      <c r="F2" s="19">
        <v>1.9699999999999999E-2</v>
      </c>
      <c r="G2" s="19">
        <f>12.81+2.52</f>
        <v>15.33</v>
      </c>
      <c r="H2" s="11" t="s">
        <v>59</v>
      </c>
      <c r="I2" s="20" t="s">
        <v>60</v>
      </c>
      <c r="J2" s="20" t="s">
        <v>61</v>
      </c>
      <c r="K2" s="20" t="s">
        <v>62</v>
      </c>
      <c r="L2" s="20" t="s">
        <v>63</v>
      </c>
      <c r="M2" s="11" t="s">
        <v>64</v>
      </c>
      <c r="N2" s="12">
        <v>23.625</v>
      </c>
      <c r="O2" s="12">
        <v>5.6000000000000001E-2</v>
      </c>
      <c r="P2" s="19">
        <v>-0.18697849499999999</v>
      </c>
      <c r="Q2" s="11" t="s">
        <v>65</v>
      </c>
      <c r="R2" s="8" t="s">
        <v>25</v>
      </c>
      <c r="S2" s="8" t="s">
        <v>25</v>
      </c>
      <c r="T2" s="8" t="s">
        <v>25</v>
      </c>
      <c r="U2" s="8" t="s">
        <v>25</v>
      </c>
      <c r="V2" s="8" t="s">
        <v>25</v>
      </c>
      <c r="W2" s="8" t="s">
        <v>25</v>
      </c>
      <c r="X2" s="8" t="s">
        <v>25</v>
      </c>
      <c r="Y2" s="8" t="s">
        <v>25</v>
      </c>
      <c r="Z2" s="8" t="s">
        <v>25</v>
      </c>
      <c r="AA2" s="10"/>
      <c r="AB2" s="10"/>
      <c r="AC2" s="10"/>
    </row>
    <row r="3" spans="1:29" ht="14.25" customHeight="1" x14ac:dyDescent="0.3">
      <c r="A3" s="11" t="s">
        <v>3</v>
      </c>
      <c r="B3" s="18" t="s">
        <v>4</v>
      </c>
      <c r="C3" s="18" t="s">
        <v>5</v>
      </c>
      <c r="D3" s="11" t="s">
        <v>66</v>
      </c>
      <c r="E3" s="21">
        <v>628</v>
      </c>
      <c r="F3" s="19">
        <v>0.19839999999999999</v>
      </c>
      <c r="G3" s="19">
        <f>18.32+30.78</f>
        <v>49.1</v>
      </c>
      <c r="H3" s="11" t="s">
        <v>67</v>
      </c>
      <c r="I3" s="20" t="s">
        <v>60</v>
      </c>
      <c r="J3" s="20" t="s">
        <v>68</v>
      </c>
      <c r="K3" s="20" t="s">
        <v>62</v>
      </c>
      <c r="L3" s="20" t="s">
        <v>69</v>
      </c>
      <c r="M3" s="11" t="s">
        <v>64</v>
      </c>
      <c r="N3" s="12">
        <v>49.844999999999999</v>
      </c>
      <c r="O3" s="12">
        <v>3.5999999999999997E-2</v>
      </c>
      <c r="P3" s="19">
        <v>-0.13332154299999999</v>
      </c>
      <c r="Q3" s="11" t="s">
        <v>65</v>
      </c>
      <c r="R3" s="8" t="s">
        <v>25</v>
      </c>
      <c r="S3" s="8" t="s">
        <v>25</v>
      </c>
      <c r="T3" s="8" t="s">
        <v>25</v>
      </c>
      <c r="U3" s="8" t="s">
        <v>25</v>
      </c>
      <c r="V3" s="8" t="s">
        <v>25</v>
      </c>
      <c r="W3" s="8" t="s">
        <v>25</v>
      </c>
      <c r="X3" s="8" t="s">
        <v>25</v>
      </c>
      <c r="Y3" s="8" t="s">
        <v>25</v>
      </c>
      <c r="Z3" s="8" t="s">
        <v>25</v>
      </c>
      <c r="AA3" s="10"/>
      <c r="AB3" s="10"/>
      <c r="AC3" s="10"/>
    </row>
    <row r="4" spans="1:29" ht="14.25" customHeight="1" x14ac:dyDescent="0.3">
      <c r="A4" s="11" t="s">
        <v>3</v>
      </c>
      <c r="B4" s="18" t="s">
        <v>4</v>
      </c>
      <c r="C4" s="18" t="s">
        <v>5</v>
      </c>
      <c r="D4" s="11" t="s">
        <v>70</v>
      </c>
      <c r="E4" s="21">
        <v>628</v>
      </c>
      <c r="F4" s="19">
        <v>0.23719999999999999</v>
      </c>
      <c r="G4" s="19">
        <f>21.28+11.58</f>
        <v>32.86</v>
      </c>
      <c r="H4" s="11" t="s">
        <v>67</v>
      </c>
      <c r="I4" s="20" t="s">
        <v>60</v>
      </c>
      <c r="J4" s="20" t="s">
        <v>68</v>
      </c>
      <c r="K4" s="20" t="s">
        <v>62</v>
      </c>
      <c r="L4" s="20" t="s">
        <v>69</v>
      </c>
      <c r="M4" s="11" t="s">
        <v>64</v>
      </c>
      <c r="N4" s="12">
        <v>58.548000000000002</v>
      </c>
      <c r="O4" s="12">
        <v>0.04</v>
      </c>
      <c r="P4" s="19">
        <v>-0.148144997</v>
      </c>
      <c r="Q4" s="11" t="s">
        <v>65</v>
      </c>
      <c r="R4" s="8" t="s">
        <v>25</v>
      </c>
      <c r="S4" s="8" t="s">
        <v>25</v>
      </c>
      <c r="T4" s="8" t="s">
        <v>25</v>
      </c>
      <c r="U4" s="8" t="s">
        <v>25</v>
      </c>
      <c r="V4" s="8" t="s">
        <v>25</v>
      </c>
      <c r="W4" s="8" t="s">
        <v>25</v>
      </c>
      <c r="X4" s="8" t="s">
        <v>25</v>
      </c>
      <c r="Y4" s="8" t="s">
        <v>25</v>
      </c>
      <c r="Z4" s="8" t="s">
        <v>25</v>
      </c>
      <c r="AA4" s="10"/>
      <c r="AB4" s="10"/>
      <c r="AC4" s="10"/>
    </row>
    <row r="5" spans="1:29" ht="14.25" customHeight="1" x14ac:dyDescent="0.3">
      <c r="A5" s="11" t="s">
        <v>3</v>
      </c>
      <c r="B5" s="18" t="s">
        <v>4</v>
      </c>
      <c r="C5" s="18" t="s">
        <v>5</v>
      </c>
      <c r="D5" s="11" t="s">
        <v>71</v>
      </c>
      <c r="E5" s="21">
        <v>628</v>
      </c>
      <c r="F5" s="19">
        <v>7.7000000000000002E-3</v>
      </c>
      <c r="G5" s="19">
        <f>39.06+6.73</f>
        <v>45.790000000000006</v>
      </c>
      <c r="H5" s="11" t="s">
        <v>72</v>
      </c>
      <c r="I5" s="20" t="s">
        <v>73</v>
      </c>
      <c r="J5" s="20" t="s">
        <v>68</v>
      </c>
      <c r="K5" s="20" t="s">
        <v>62</v>
      </c>
      <c r="L5" s="20" t="s">
        <v>63</v>
      </c>
      <c r="M5" s="11" t="s">
        <v>64</v>
      </c>
      <c r="N5" s="12">
        <v>89.120999999999995</v>
      </c>
      <c r="O5" s="12">
        <v>9.4E-2</v>
      </c>
      <c r="P5" s="19">
        <v>0.17888378999999999</v>
      </c>
      <c r="Q5" s="11" t="s">
        <v>65</v>
      </c>
      <c r="R5" s="8" t="s">
        <v>25</v>
      </c>
      <c r="S5" s="8" t="s">
        <v>25</v>
      </c>
      <c r="T5" s="8" t="s">
        <v>25</v>
      </c>
      <c r="U5" s="8" t="s">
        <v>25</v>
      </c>
      <c r="V5" s="8" t="s">
        <v>25</v>
      </c>
      <c r="W5" s="8" t="s">
        <v>25</v>
      </c>
      <c r="X5" s="8" t="s">
        <v>25</v>
      </c>
      <c r="Y5" s="8" t="s">
        <v>25</v>
      </c>
      <c r="Z5" s="8" t="s">
        <v>25</v>
      </c>
      <c r="AA5" s="10"/>
      <c r="AB5" s="10"/>
      <c r="AC5" s="10"/>
    </row>
    <row r="6" spans="1:29" ht="14.25" customHeight="1" x14ac:dyDescent="0.3">
      <c r="A6" s="11" t="s">
        <v>3</v>
      </c>
      <c r="B6" s="18" t="s">
        <v>6</v>
      </c>
      <c r="C6" s="18" t="s">
        <v>7</v>
      </c>
      <c r="D6" s="11" t="s">
        <v>74</v>
      </c>
      <c r="E6" s="11">
        <v>516</v>
      </c>
      <c r="F6" s="19">
        <v>3.8899999999999997E-2</v>
      </c>
      <c r="G6" s="19">
        <f>72.9+24.79</f>
        <v>97.69</v>
      </c>
      <c r="H6" s="11" t="s">
        <v>67</v>
      </c>
      <c r="I6" s="20" t="s">
        <v>73</v>
      </c>
      <c r="J6" s="20" t="s">
        <v>68</v>
      </c>
      <c r="K6" s="20" t="s">
        <v>62</v>
      </c>
      <c r="L6" s="20" t="s">
        <v>69</v>
      </c>
      <c r="M6" s="11" t="s">
        <v>75</v>
      </c>
      <c r="N6" s="12">
        <v>27.681000000000001</v>
      </c>
      <c r="O6" s="12">
        <v>9.4E-2</v>
      </c>
      <c r="P6" s="19">
        <v>9.2684065999999996E-2</v>
      </c>
      <c r="Q6" s="11" t="s">
        <v>65</v>
      </c>
      <c r="R6" s="8" t="s">
        <v>25</v>
      </c>
      <c r="S6" s="8" t="s">
        <v>25</v>
      </c>
      <c r="T6" s="8" t="s">
        <v>25</v>
      </c>
      <c r="U6" s="8" t="s">
        <v>25</v>
      </c>
      <c r="V6" s="8" t="s">
        <v>25</v>
      </c>
      <c r="W6" s="8" t="s">
        <v>25</v>
      </c>
      <c r="X6" s="8" t="s">
        <v>25</v>
      </c>
      <c r="Y6" s="8" t="s">
        <v>25</v>
      </c>
      <c r="Z6" s="8" t="s">
        <v>25</v>
      </c>
      <c r="AA6" s="10"/>
      <c r="AB6" s="10"/>
      <c r="AC6" s="10"/>
    </row>
    <row r="7" spans="1:29" ht="14.25" customHeight="1" x14ac:dyDescent="0.3">
      <c r="A7" s="11" t="s">
        <v>3</v>
      </c>
      <c r="B7" s="18" t="s">
        <v>6</v>
      </c>
      <c r="C7" s="18" t="s">
        <v>7</v>
      </c>
      <c r="D7" s="11" t="s">
        <v>76</v>
      </c>
      <c r="E7" s="11">
        <v>516</v>
      </c>
      <c r="F7" s="19">
        <v>2.6905999999999999</v>
      </c>
      <c r="G7" s="19">
        <f>28.92+12.13</f>
        <v>41.050000000000004</v>
      </c>
      <c r="H7" s="11" t="s">
        <v>72</v>
      </c>
      <c r="I7" s="20" t="s">
        <v>60</v>
      </c>
      <c r="J7" s="20" t="s">
        <v>68</v>
      </c>
      <c r="K7" s="20" t="s">
        <v>62</v>
      </c>
      <c r="L7" s="20" t="s">
        <v>69</v>
      </c>
      <c r="M7" s="11" t="s">
        <v>75</v>
      </c>
      <c r="N7" s="12">
        <v>43.753</v>
      </c>
      <c r="O7" s="12">
        <v>8.2000000000000003E-2</v>
      </c>
      <c r="P7" s="19">
        <v>-7.6575741000000003E-2</v>
      </c>
      <c r="Q7" s="11" t="s">
        <v>65</v>
      </c>
      <c r="R7" s="8" t="s">
        <v>25</v>
      </c>
      <c r="S7" s="8" t="s">
        <v>25</v>
      </c>
      <c r="T7" s="8" t="s">
        <v>25</v>
      </c>
      <c r="U7" s="8" t="s">
        <v>25</v>
      </c>
      <c r="V7" s="8" t="s">
        <v>25</v>
      </c>
      <c r="W7" s="8" t="s">
        <v>25</v>
      </c>
      <c r="X7" s="8" t="s">
        <v>25</v>
      </c>
      <c r="Y7" s="8" t="s">
        <v>25</v>
      </c>
      <c r="Z7" s="8" t="s">
        <v>25</v>
      </c>
      <c r="AA7" s="10"/>
      <c r="AB7" s="10"/>
      <c r="AC7" s="10"/>
    </row>
    <row r="8" spans="1:29" ht="14.25" customHeight="1" x14ac:dyDescent="0.3">
      <c r="A8" s="11" t="s">
        <v>3</v>
      </c>
      <c r="B8" s="18" t="s">
        <v>6</v>
      </c>
      <c r="C8" s="18" t="s">
        <v>7</v>
      </c>
      <c r="D8" s="11" t="s">
        <v>77</v>
      </c>
      <c r="E8" s="11">
        <v>516</v>
      </c>
      <c r="F8" s="19">
        <v>4.4000000000000003E-3</v>
      </c>
      <c r="G8" s="19">
        <f>49.88+32.3</f>
        <v>82.18</v>
      </c>
      <c r="H8" s="11" t="s">
        <v>78</v>
      </c>
      <c r="I8" s="20" t="s">
        <v>60</v>
      </c>
      <c r="J8" s="20" t="s">
        <v>68</v>
      </c>
      <c r="K8" s="20" t="s">
        <v>79</v>
      </c>
      <c r="L8" s="20" t="s">
        <v>63</v>
      </c>
      <c r="M8" s="11" t="s">
        <v>75</v>
      </c>
      <c r="N8" s="12">
        <v>66.260000000000005</v>
      </c>
      <c r="O8" s="12">
        <v>0.111</v>
      </c>
      <c r="P8" s="19">
        <v>-0.101535799</v>
      </c>
      <c r="Q8" s="11" t="s">
        <v>65</v>
      </c>
      <c r="R8" s="8" t="s">
        <v>25</v>
      </c>
      <c r="S8" s="8" t="s">
        <v>25</v>
      </c>
      <c r="T8" s="8" t="s">
        <v>25</v>
      </c>
      <c r="U8" s="8" t="s">
        <v>25</v>
      </c>
      <c r="V8" s="8" t="s">
        <v>25</v>
      </c>
      <c r="W8" s="8" t="s">
        <v>25</v>
      </c>
      <c r="X8" s="8" t="s">
        <v>25</v>
      </c>
      <c r="Y8" s="8" t="s">
        <v>25</v>
      </c>
      <c r="Z8" s="8" t="s">
        <v>25</v>
      </c>
      <c r="AA8" s="10"/>
      <c r="AB8" s="10"/>
      <c r="AC8" s="10"/>
    </row>
    <row r="9" spans="1:29" ht="14.25" customHeight="1" x14ac:dyDescent="0.3">
      <c r="A9" s="11" t="s">
        <v>3</v>
      </c>
      <c r="B9" s="18" t="s">
        <v>6</v>
      </c>
      <c r="C9" s="18" t="s">
        <v>7</v>
      </c>
      <c r="D9" s="11" t="s">
        <v>80</v>
      </c>
      <c r="E9" s="11">
        <v>516</v>
      </c>
      <c r="F9" s="19">
        <v>5.5999999999999999E-3</v>
      </c>
      <c r="G9" s="19">
        <f>180-167.78</f>
        <v>12.219999999999999</v>
      </c>
      <c r="H9" s="11" t="s">
        <v>81</v>
      </c>
      <c r="I9" s="20" t="s">
        <v>73</v>
      </c>
      <c r="J9" s="20" t="s">
        <v>61</v>
      </c>
      <c r="K9" s="20" t="s">
        <v>62</v>
      </c>
      <c r="L9" s="20" t="s">
        <v>63</v>
      </c>
      <c r="M9" s="11" t="s">
        <v>75</v>
      </c>
      <c r="N9" s="12">
        <v>86.727000000000004</v>
      </c>
      <c r="O9" s="12">
        <v>0.309</v>
      </c>
      <c r="P9" s="19">
        <v>0.27985009300000002</v>
      </c>
      <c r="Q9" s="11" t="s">
        <v>65</v>
      </c>
      <c r="R9" s="8" t="s">
        <v>25</v>
      </c>
      <c r="S9" s="8" t="s">
        <v>25</v>
      </c>
      <c r="T9" s="8" t="s">
        <v>25</v>
      </c>
      <c r="U9" s="8" t="s">
        <v>25</v>
      </c>
      <c r="V9" s="8" t="s">
        <v>25</v>
      </c>
      <c r="W9" s="8" t="s">
        <v>25</v>
      </c>
      <c r="X9" s="8" t="s">
        <v>25</v>
      </c>
      <c r="Y9" s="8" t="s">
        <v>25</v>
      </c>
      <c r="Z9" s="8" t="s">
        <v>25</v>
      </c>
      <c r="AA9" s="10"/>
      <c r="AB9" s="10"/>
      <c r="AC9" s="10"/>
    </row>
    <row r="10" spans="1:29" ht="14.25" customHeight="1" x14ac:dyDescent="0.3">
      <c r="A10" s="11" t="s">
        <v>3</v>
      </c>
      <c r="B10" s="18" t="s">
        <v>6</v>
      </c>
      <c r="C10" s="18" t="s">
        <v>8</v>
      </c>
      <c r="D10" s="11" t="s">
        <v>82</v>
      </c>
      <c r="E10" s="11">
        <v>664</v>
      </c>
      <c r="F10" s="19">
        <v>1.06E-2</v>
      </c>
      <c r="G10" s="19">
        <f>21.02+7.94</f>
        <v>28.96</v>
      </c>
      <c r="H10" s="11" t="s">
        <v>78</v>
      </c>
      <c r="I10" s="20" t="s">
        <v>60</v>
      </c>
      <c r="J10" s="20" t="s">
        <v>61</v>
      </c>
      <c r="K10" s="20" t="s">
        <v>62</v>
      </c>
      <c r="L10" s="20" t="s">
        <v>63</v>
      </c>
      <c r="M10" s="11" t="s">
        <v>83</v>
      </c>
      <c r="N10" s="12">
        <v>12.795</v>
      </c>
      <c r="O10" s="12">
        <v>2.5000000000000001E-2</v>
      </c>
      <c r="P10" s="19">
        <v>-0.229540253</v>
      </c>
      <c r="Q10" s="11" t="s">
        <v>84</v>
      </c>
      <c r="R10" s="8">
        <v>20</v>
      </c>
      <c r="S10" s="8" t="s">
        <v>25</v>
      </c>
      <c r="T10" s="8" t="s">
        <v>25</v>
      </c>
      <c r="U10" s="8">
        <v>7.93</v>
      </c>
      <c r="V10" s="9">
        <v>5.4956666666666658</v>
      </c>
      <c r="W10" s="9">
        <v>7.2752500000000007</v>
      </c>
      <c r="X10" s="8" t="s">
        <v>25</v>
      </c>
      <c r="Y10" s="8" t="s">
        <v>25</v>
      </c>
      <c r="Z10" s="13">
        <f>AVERAGE(U10:W10)</f>
        <v>6.9003055555555548</v>
      </c>
      <c r="AA10" s="10"/>
      <c r="AB10" s="10"/>
      <c r="AC10" s="10"/>
    </row>
    <row r="11" spans="1:29" ht="14.25" customHeight="1" x14ac:dyDescent="0.3">
      <c r="A11" s="11" t="s">
        <v>3</v>
      </c>
      <c r="B11" s="18" t="s">
        <v>6</v>
      </c>
      <c r="C11" s="18" t="s">
        <v>8</v>
      </c>
      <c r="D11" s="11" t="s">
        <v>85</v>
      </c>
      <c r="E11" s="11">
        <v>664</v>
      </c>
      <c r="F11" s="19">
        <v>10.4361</v>
      </c>
      <c r="G11" s="19">
        <v>16.36</v>
      </c>
      <c r="H11" s="11" t="s">
        <v>72</v>
      </c>
      <c r="I11" s="20" t="s">
        <v>60</v>
      </c>
      <c r="J11" s="20" t="s">
        <v>68</v>
      </c>
      <c r="K11" s="20" t="s">
        <v>62</v>
      </c>
      <c r="L11" s="20" t="s">
        <v>69</v>
      </c>
      <c r="M11" s="11" t="s">
        <v>86</v>
      </c>
      <c r="N11" s="12">
        <v>37.512</v>
      </c>
      <c r="O11" s="12">
        <v>6.4000000000000001E-2</v>
      </c>
      <c r="P11" s="19">
        <v>2.1148529999999999E-3</v>
      </c>
      <c r="Q11" s="11" t="s">
        <v>84</v>
      </c>
      <c r="R11" s="8">
        <v>60</v>
      </c>
      <c r="S11" s="8">
        <v>10.31</v>
      </c>
      <c r="T11" s="8">
        <v>11.56</v>
      </c>
      <c r="U11" s="8">
        <v>11.32</v>
      </c>
      <c r="V11" s="8">
        <v>11.47</v>
      </c>
      <c r="W11" s="8">
        <v>19.91</v>
      </c>
      <c r="X11" s="8">
        <v>25.43</v>
      </c>
      <c r="Y11" s="8">
        <v>35.07</v>
      </c>
      <c r="Z11" s="13">
        <f>AVERAGE(S11:Y11)</f>
        <v>17.867142857142856</v>
      </c>
      <c r="AA11" s="10"/>
      <c r="AB11" s="10"/>
      <c r="AC11" s="10"/>
    </row>
    <row r="12" spans="1:29" ht="14.25" customHeight="1" x14ac:dyDescent="0.3">
      <c r="A12" s="11" t="s">
        <v>3</v>
      </c>
      <c r="B12" s="18" t="s">
        <v>6</v>
      </c>
      <c r="C12" s="18" t="s">
        <v>8</v>
      </c>
      <c r="D12" s="11" t="s">
        <v>87</v>
      </c>
      <c r="E12" s="11">
        <v>664</v>
      </c>
      <c r="F12" s="19">
        <v>1.6221000000000001</v>
      </c>
      <c r="G12" s="19">
        <f>20.27+11.26</f>
        <v>31.53</v>
      </c>
      <c r="H12" s="11" t="s">
        <v>67</v>
      </c>
      <c r="I12" s="20" t="s">
        <v>60</v>
      </c>
      <c r="J12" s="20" t="s">
        <v>68</v>
      </c>
      <c r="K12" s="20" t="s">
        <v>62</v>
      </c>
      <c r="L12" s="20" t="s">
        <v>69</v>
      </c>
      <c r="M12" s="11" t="s">
        <v>88</v>
      </c>
      <c r="N12" s="12">
        <v>42.524999999999999</v>
      </c>
      <c r="O12" s="12">
        <v>7.8E-2</v>
      </c>
      <c r="P12" s="19">
        <v>-0.103198233</v>
      </c>
      <c r="Q12" s="11" t="s">
        <v>84</v>
      </c>
      <c r="R12" s="8">
        <v>60</v>
      </c>
      <c r="S12" s="9">
        <v>64.247500000000002</v>
      </c>
      <c r="T12" s="9">
        <v>13.24</v>
      </c>
      <c r="U12" s="9">
        <v>12.023333333333335</v>
      </c>
      <c r="V12" s="9">
        <v>15.043333333333331</v>
      </c>
      <c r="W12" s="9">
        <v>15.513333333333334</v>
      </c>
      <c r="X12" s="9">
        <v>24.503333333333334</v>
      </c>
      <c r="Y12" s="9">
        <v>34.146666666666668</v>
      </c>
      <c r="Z12" s="13">
        <f t="shared" ref="Z12:Z14" si="0">AVERAGE(S12:Y12)</f>
        <v>25.531071428571433</v>
      </c>
      <c r="AA12" s="10"/>
      <c r="AB12" s="10"/>
      <c r="AC12" s="10"/>
    </row>
    <row r="13" spans="1:29" ht="14.25" customHeight="1" x14ac:dyDescent="0.3">
      <c r="A13" s="11" t="s">
        <v>3</v>
      </c>
      <c r="B13" s="18" t="s">
        <v>6</v>
      </c>
      <c r="C13" s="18" t="s">
        <v>8</v>
      </c>
      <c r="D13" s="11" t="s">
        <v>89</v>
      </c>
      <c r="E13" s="11">
        <v>664</v>
      </c>
      <c r="F13" s="19">
        <v>0.1996</v>
      </c>
      <c r="G13" s="19">
        <f>39.06+15.52</f>
        <v>54.58</v>
      </c>
      <c r="H13" s="11" t="s">
        <v>67</v>
      </c>
      <c r="I13" s="20" t="s">
        <v>73</v>
      </c>
      <c r="J13" s="20" t="s">
        <v>68</v>
      </c>
      <c r="K13" s="20" t="s">
        <v>62</v>
      </c>
      <c r="L13" s="20" t="s">
        <v>69</v>
      </c>
      <c r="M13" s="11" t="s">
        <v>90</v>
      </c>
      <c r="N13" s="12">
        <v>56.396000000000001</v>
      </c>
      <c r="O13" s="12">
        <v>8.2000000000000003E-2</v>
      </c>
      <c r="P13" s="19">
        <v>1.0898702E-2</v>
      </c>
      <c r="Q13" s="11" t="s">
        <v>84</v>
      </c>
      <c r="R13" s="8">
        <v>60</v>
      </c>
      <c r="S13" s="9">
        <v>36.36</v>
      </c>
      <c r="T13" s="9">
        <v>26.162500000000001</v>
      </c>
      <c r="U13" s="9">
        <v>28.707999999999998</v>
      </c>
      <c r="V13" s="9">
        <v>32.207142857142856</v>
      </c>
      <c r="W13" s="9">
        <v>43.28</v>
      </c>
      <c r="X13" s="9">
        <v>64.453333333333333</v>
      </c>
      <c r="Y13" s="9">
        <v>89.8</v>
      </c>
      <c r="Z13" s="13">
        <f t="shared" si="0"/>
        <v>45.852996598639457</v>
      </c>
      <c r="AA13" s="10"/>
      <c r="AB13" s="10"/>
      <c r="AC13" s="10"/>
    </row>
    <row r="14" spans="1:29" ht="14.25" customHeight="1" x14ac:dyDescent="0.3">
      <c r="A14" s="11" t="s">
        <v>3</v>
      </c>
      <c r="B14" s="18" t="s">
        <v>6</v>
      </c>
      <c r="C14" s="18" t="s">
        <v>8</v>
      </c>
      <c r="D14" s="11" t="s">
        <v>91</v>
      </c>
      <c r="E14" s="11">
        <v>664</v>
      </c>
      <c r="F14" s="19">
        <v>3.7000000000000002E-3</v>
      </c>
      <c r="G14" s="19">
        <f>12.79+7.98</f>
        <v>20.77</v>
      </c>
      <c r="H14" s="11" t="s">
        <v>81</v>
      </c>
      <c r="I14" s="20" t="s">
        <v>73</v>
      </c>
      <c r="J14" s="20" t="s">
        <v>61</v>
      </c>
      <c r="K14" s="20" t="s">
        <v>62</v>
      </c>
      <c r="L14" s="20" t="s">
        <v>63</v>
      </c>
      <c r="M14" s="11" t="s">
        <v>92</v>
      </c>
      <c r="N14" s="12">
        <v>57.85</v>
      </c>
      <c r="O14" s="12">
        <v>8.2000000000000003E-2</v>
      </c>
      <c r="P14" s="19">
        <v>0.14668030300000001</v>
      </c>
      <c r="Q14" s="11" t="s">
        <v>84</v>
      </c>
      <c r="R14" s="8">
        <v>60</v>
      </c>
      <c r="S14" s="9">
        <v>39.313333333333333</v>
      </c>
      <c r="T14" s="9">
        <v>32.360000000000007</v>
      </c>
      <c r="U14" s="9">
        <v>31.650000000000002</v>
      </c>
      <c r="V14" s="9">
        <v>29.456666666666667</v>
      </c>
      <c r="W14" s="9">
        <v>37.031999999999996</v>
      </c>
      <c r="X14" s="9">
        <v>50.506666666666668</v>
      </c>
      <c r="Y14" s="9">
        <v>76.326666666666668</v>
      </c>
      <c r="Z14" s="13">
        <f t="shared" si="0"/>
        <v>42.377904761904759</v>
      </c>
      <c r="AA14" s="10"/>
      <c r="AB14" s="10"/>
      <c r="AC14" s="10"/>
    </row>
    <row r="15" spans="1:29" ht="14.25" customHeight="1" x14ac:dyDescent="0.3">
      <c r="A15" s="11" t="s">
        <v>3</v>
      </c>
      <c r="B15" s="18" t="s">
        <v>6</v>
      </c>
      <c r="C15" s="18" t="s">
        <v>9</v>
      </c>
      <c r="D15" s="11" t="s">
        <v>93</v>
      </c>
      <c r="E15" s="11">
        <v>487</v>
      </c>
      <c r="F15" s="19">
        <v>2.4165999999999999</v>
      </c>
      <c r="G15" s="19">
        <f>25.35+9.41</f>
        <v>34.760000000000005</v>
      </c>
      <c r="H15" s="11" t="s">
        <v>72</v>
      </c>
      <c r="I15" s="20" t="s">
        <v>60</v>
      </c>
      <c r="J15" s="20" t="s">
        <v>68</v>
      </c>
      <c r="K15" s="20" t="s">
        <v>62</v>
      </c>
      <c r="L15" s="20" t="s">
        <v>63</v>
      </c>
      <c r="M15" s="11" t="s">
        <v>94</v>
      </c>
      <c r="N15" s="12">
        <v>28.492000000000001</v>
      </c>
      <c r="O15" s="12">
        <v>6.4000000000000001E-2</v>
      </c>
      <c r="P15" s="19">
        <v>-0.121939198</v>
      </c>
      <c r="Q15" s="11" t="s">
        <v>65</v>
      </c>
      <c r="R15" s="8" t="s">
        <v>25</v>
      </c>
      <c r="S15" s="8" t="s">
        <v>25</v>
      </c>
      <c r="T15" s="8" t="s">
        <v>25</v>
      </c>
      <c r="U15" s="8" t="s">
        <v>25</v>
      </c>
      <c r="V15" s="8" t="s">
        <v>25</v>
      </c>
      <c r="W15" s="8" t="s">
        <v>25</v>
      </c>
      <c r="X15" s="8" t="s">
        <v>25</v>
      </c>
      <c r="Y15" s="8" t="s">
        <v>25</v>
      </c>
      <c r="Z15" s="8" t="s">
        <v>25</v>
      </c>
      <c r="AA15" s="10"/>
      <c r="AB15" s="10"/>
      <c r="AC15" s="10"/>
    </row>
    <row r="16" spans="1:29" ht="14.25" customHeight="1" x14ac:dyDescent="0.3">
      <c r="A16" s="11" t="s">
        <v>3</v>
      </c>
      <c r="B16" s="18" t="s">
        <v>6</v>
      </c>
      <c r="C16" s="18" t="s">
        <v>9</v>
      </c>
      <c r="D16" s="11" t="s">
        <v>95</v>
      </c>
      <c r="E16" s="11">
        <v>487</v>
      </c>
      <c r="F16" s="19">
        <v>7.4000000000000003E-3</v>
      </c>
      <c r="G16" s="19">
        <f>3.67+9.67</f>
        <v>13.34</v>
      </c>
      <c r="H16" s="11" t="s">
        <v>72</v>
      </c>
      <c r="I16" s="20" t="s">
        <v>60</v>
      </c>
      <c r="J16" s="20" t="s">
        <v>68</v>
      </c>
      <c r="K16" s="20" t="s">
        <v>62</v>
      </c>
      <c r="L16" s="20" t="s">
        <v>69</v>
      </c>
      <c r="M16" s="11" t="s">
        <v>94</v>
      </c>
      <c r="N16" s="12">
        <v>45.331000000000003</v>
      </c>
      <c r="O16" s="12">
        <v>7.0999999999999994E-2</v>
      </c>
      <c r="P16" s="19">
        <v>0.11645137699999999</v>
      </c>
      <c r="Q16" s="11" t="s">
        <v>65</v>
      </c>
      <c r="R16" s="8" t="s">
        <v>25</v>
      </c>
      <c r="S16" s="8" t="s">
        <v>25</v>
      </c>
      <c r="T16" s="8" t="s">
        <v>25</v>
      </c>
      <c r="U16" s="8" t="s">
        <v>25</v>
      </c>
      <c r="V16" s="8" t="s">
        <v>25</v>
      </c>
      <c r="W16" s="8" t="s">
        <v>25</v>
      </c>
      <c r="X16" s="8" t="s">
        <v>25</v>
      </c>
      <c r="Y16" s="8" t="s">
        <v>25</v>
      </c>
      <c r="Z16" s="8" t="s">
        <v>25</v>
      </c>
      <c r="AA16" s="10"/>
      <c r="AB16" s="10"/>
      <c r="AC16" s="10"/>
    </row>
    <row r="17" spans="1:29" ht="14.25" customHeight="1" x14ac:dyDescent="0.3">
      <c r="A17" s="11" t="s">
        <v>3</v>
      </c>
      <c r="B17" s="18" t="s">
        <v>6</v>
      </c>
      <c r="C17" s="18" t="s">
        <v>9</v>
      </c>
      <c r="D17" s="11" t="s">
        <v>96</v>
      </c>
      <c r="E17" s="11">
        <v>487</v>
      </c>
      <c r="F17" s="19">
        <v>8.4099999999999994E-2</v>
      </c>
      <c r="G17" s="19">
        <f>35.58+11.8</f>
        <v>47.379999999999995</v>
      </c>
      <c r="H17" s="11" t="s">
        <v>67</v>
      </c>
      <c r="I17" s="20" t="s">
        <v>60</v>
      </c>
      <c r="J17" s="20" t="s">
        <v>68</v>
      </c>
      <c r="K17" s="20" t="s">
        <v>62</v>
      </c>
      <c r="L17" s="20" t="s">
        <v>69</v>
      </c>
      <c r="M17" s="11" t="s">
        <v>94</v>
      </c>
      <c r="N17" s="12">
        <v>53.972999999999999</v>
      </c>
      <c r="O17" s="12">
        <v>8.6999999999999994E-2</v>
      </c>
      <c r="P17" s="19">
        <v>-6.4799115000000004E-2</v>
      </c>
      <c r="Q17" s="11" t="s">
        <v>65</v>
      </c>
      <c r="R17" s="8" t="s">
        <v>25</v>
      </c>
      <c r="S17" s="8" t="s">
        <v>25</v>
      </c>
      <c r="T17" s="8" t="s">
        <v>25</v>
      </c>
      <c r="U17" s="8" t="s">
        <v>25</v>
      </c>
      <c r="V17" s="8" t="s">
        <v>25</v>
      </c>
      <c r="W17" s="8" t="s">
        <v>25</v>
      </c>
      <c r="X17" s="8" t="s">
        <v>25</v>
      </c>
      <c r="Y17" s="8" t="s">
        <v>25</v>
      </c>
      <c r="Z17" s="8" t="s">
        <v>25</v>
      </c>
      <c r="AA17" s="10"/>
      <c r="AB17" s="10"/>
      <c r="AC17" s="10"/>
    </row>
    <row r="18" spans="1:29" ht="14.25" customHeight="1" x14ac:dyDescent="0.3">
      <c r="A18" s="11" t="s">
        <v>3</v>
      </c>
      <c r="B18" s="18" t="s">
        <v>6</v>
      </c>
      <c r="C18" s="18" t="s">
        <v>9</v>
      </c>
      <c r="D18" s="11" t="s">
        <v>97</v>
      </c>
      <c r="E18" s="11">
        <v>487</v>
      </c>
      <c r="F18" s="19">
        <v>1.44E-2</v>
      </c>
      <c r="G18" s="19">
        <f>72.71+36.98</f>
        <v>109.69</v>
      </c>
      <c r="H18" s="11" t="s">
        <v>78</v>
      </c>
      <c r="I18" s="20" t="s">
        <v>60</v>
      </c>
      <c r="J18" s="20" t="s">
        <v>68</v>
      </c>
      <c r="K18" s="20" t="s">
        <v>79</v>
      </c>
      <c r="L18" s="20" t="s">
        <v>69</v>
      </c>
      <c r="M18" s="11" t="s">
        <v>94</v>
      </c>
      <c r="N18" s="12">
        <v>55.968000000000004</v>
      </c>
      <c r="O18" s="12">
        <v>8.8999999999999996E-2</v>
      </c>
      <c r="P18" s="19">
        <v>-7.7426898999999993E-2</v>
      </c>
      <c r="Q18" s="11" t="s">
        <v>65</v>
      </c>
      <c r="R18" s="8" t="s">
        <v>25</v>
      </c>
      <c r="S18" s="8" t="s">
        <v>25</v>
      </c>
      <c r="T18" s="8" t="s">
        <v>25</v>
      </c>
      <c r="U18" s="8" t="s">
        <v>25</v>
      </c>
      <c r="V18" s="8" t="s">
        <v>25</v>
      </c>
      <c r="W18" s="8" t="s">
        <v>25</v>
      </c>
      <c r="X18" s="8" t="s">
        <v>25</v>
      </c>
      <c r="Y18" s="8" t="s">
        <v>25</v>
      </c>
      <c r="Z18" s="8" t="s">
        <v>25</v>
      </c>
      <c r="AA18" s="10"/>
      <c r="AB18" s="10"/>
      <c r="AC18" s="10"/>
    </row>
    <row r="19" spans="1:29" ht="14.25" customHeight="1" x14ac:dyDescent="0.3">
      <c r="A19" s="11" t="s">
        <v>3</v>
      </c>
      <c r="B19" s="18" t="s">
        <v>6</v>
      </c>
      <c r="C19" s="18" t="s">
        <v>9</v>
      </c>
      <c r="D19" s="11" t="s">
        <v>98</v>
      </c>
      <c r="E19" s="11">
        <v>487</v>
      </c>
      <c r="F19" s="19">
        <v>3.0000000000000001E-3</v>
      </c>
      <c r="G19" s="19">
        <f>18.24+7.68</f>
        <v>25.919999999999998</v>
      </c>
      <c r="H19" s="11" t="s">
        <v>72</v>
      </c>
      <c r="I19" s="20" t="s">
        <v>73</v>
      </c>
      <c r="J19" s="20" t="s">
        <v>61</v>
      </c>
      <c r="K19" s="20" t="s">
        <v>62</v>
      </c>
      <c r="L19" s="20" t="s">
        <v>63</v>
      </c>
      <c r="M19" s="11" t="s">
        <v>94</v>
      </c>
      <c r="N19" s="12">
        <v>60.87</v>
      </c>
      <c r="O19" s="12">
        <v>6.9000000000000006E-2</v>
      </c>
      <c r="P19" s="19">
        <v>0.28958372399999999</v>
      </c>
      <c r="Q19" s="11" t="s">
        <v>84</v>
      </c>
      <c r="R19" s="8">
        <v>50</v>
      </c>
      <c r="S19" s="13">
        <v>8.0666666666666682</v>
      </c>
      <c r="T19" s="13">
        <v>7.0666666666666673</v>
      </c>
      <c r="U19" s="13">
        <v>7.5</v>
      </c>
      <c r="V19" s="13">
        <v>5.833333333333333</v>
      </c>
      <c r="W19" s="13">
        <v>5.9</v>
      </c>
      <c r="X19" s="13">
        <v>5.7666666666666666</v>
      </c>
      <c r="Y19" s="8" t="s">
        <v>25</v>
      </c>
      <c r="Z19" s="13">
        <f>AVERAGE(S19:X19)</f>
        <v>6.6888888888888891</v>
      </c>
      <c r="AA19" s="10"/>
      <c r="AB19" s="10"/>
      <c r="AC19" s="10"/>
    </row>
    <row r="20" spans="1:29" ht="14.25" customHeight="1" x14ac:dyDescent="0.3">
      <c r="A20" s="6" t="s">
        <v>3</v>
      </c>
      <c r="B20" s="18" t="s">
        <v>10</v>
      </c>
      <c r="C20" s="18" t="s">
        <v>11</v>
      </c>
      <c r="D20" s="6" t="s">
        <v>99</v>
      </c>
      <c r="E20" s="24" t="s">
        <v>25</v>
      </c>
      <c r="F20" s="19">
        <v>1.9E-3</v>
      </c>
      <c r="G20" s="19">
        <f>180-169.35</f>
        <v>10.650000000000006</v>
      </c>
      <c r="H20" s="6" t="s">
        <v>67</v>
      </c>
      <c r="I20" s="22" t="s">
        <v>60</v>
      </c>
      <c r="J20" s="22" t="s">
        <v>61</v>
      </c>
      <c r="K20" s="22" t="s">
        <v>62</v>
      </c>
      <c r="L20" s="22" t="s">
        <v>63</v>
      </c>
      <c r="M20" s="6" t="s">
        <v>100</v>
      </c>
      <c r="N20" s="7">
        <v>26.440999999999999</v>
      </c>
      <c r="O20" s="7">
        <v>0.08</v>
      </c>
      <c r="P20" s="19">
        <v>-0.17484554399999999</v>
      </c>
      <c r="Q20" s="6" t="s">
        <v>84</v>
      </c>
      <c r="R20" s="8">
        <v>50</v>
      </c>
      <c r="S20" s="8" t="s">
        <v>25</v>
      </c>
      <c r="T20" s="9">
        <v>4.1020000000000003</v>
      </c>
      <c r="U20" s="9">
        <v>3.4806666666666666</v>
      </c>
      <c r="V20" s="9">
        <v>4.1139999999999999</v>
      </c>
      <c r="W20" s="9">
        <v>4.343</v>
      </c>
      <c r="X20" s="9">
        <v>3.9263333333333335</v>
      </c>
      <c r="Y20" s="9">
        <v>5.9402499999999998</v>
      </c>
      <c r="Z20" s="13">
        <f>AVERAGE(T20:Y20)</f>
        <v>4.317708333333333</v>
      </c>
      <c r="AA20" s="10"/>
      <c r="AB20" s="10"/>
      <c r="AC20" s="10"/>
    </row>
    <row r="21" spans="1:29" ht="14.25" customHeight="1" x14ac:dyDescent="0.3">
      <c r="A21" s="6" t="s">
        <v>3</v>
      </c>
      <c r="B21" s="18" t="s">
        <v>10</v>
      </c>
      <c r="C21" s="18" t="s">
        <v>11</v>
      </c>
      <c r="D21" s="6" t="s">
        <v>101</v>
      </c>
      <c r="E21" s="24" t="s">
        <v>25</v>
      </c>
      <c r="F21" s="19">
        <v>1.1474</v>
      </c>
      <c r="G21" s="19">
        <f>33.99+39.69</f>
        <v>73.680000000000007</v>
      </c>
      <c r="H21" s="6" t="s">
        <v>81</v>
      </c>
      <c r="I21" s="22" t="s">
        <v>60</v>
      </c>
      <c r="J21" s="22" t="s">
        <v>68</v>
      </c>
      <c r="K21" s="22" t="s">
        <v>62</v>
      </c>
      <c r="L21" s="22" t="s">
        <v>69</v>
      </c>
      <c r="M21" s="6" t="s">
        <v>100</v>
      </c>
      <c r="N21" s="7">
        <v>34.734999999999999</v>
      </c>
      <c r="O21" s="7">
        <v>6.4000000000000001E-2</v>
      </c>
      <c r="P21" s="19">
        <v>-0.16678384700000001</v>
      </c>
      <c r="Q21" s="6" t="s">
        <v>65</v>
      </c>
      <c r="R21" s="8" t="s">
        <v>25</v>
      </c>
      <c r="S21" s="8" t="s">
        <v>25</v>
      </c>
      <c r="T21" s="8" t="s">
        <v>25</v>
      </c>
      <c r="U21" s="8" t="s">
        <v>25</v>
      </c>
      <c r="V21" s="8" t="s">
        <v>25</v>
      </c>
      <c r="W21" s="8" t="s">
        <v>25</v>
      </c>
      <c r="X21" s="8" t="s">
        <v>25</v>
      </c>
      <c r="Y21" s="8" t="s">
        <v>25</v>
      </c>
      <c r="Z21" s="8" t="s">
        <v>25</v>
      </c>
      <c r="AA21" s="10"/>
      <c r="AB21" s="10"/>
      <c r="AC21" s="10"/>
    </row>
    <row r="22" spans="1:29" ht="14.25" customHeight="1" x14ac:dyDescent="0.3">
      <c r="A22" s="6" t="s">
        <v>3</v>
      </c>
      <c r="B22" s="18" t="s">
        <v>10</v>
      </c>
      <c r="C22" s="18" t="s">
        <v>11</v>
      </c>
      <c r="D22" s="6" t="s">
        <v>102</v>
      </c>
      <c r="E22" s="24" t="s">
        <v>25</v>
      </c>
      <c r="F22" s="19">
        <v>2.5000000000000001E-3</v>
      </c>
      <c r="G22" s="19">
        <v>5.7</v>
      </c>
      <c r="H22" s="6" t="s">
        <v>81</v>
      </c>
      <c r="I22" s="20" t="s">
        <v>73</v>
      </c>
      <c r="J22" s="20" t="s">
        <v>61</v>
      </c>
      <c r="K22" s="20" t="s">
        <v>62</v>
      </c>
      <c r="L22" s="20" t="s">
        <v>63</v>
      </c>
      <c r="M22" s="6" t="s">
        <v>100</v>
      </c>
      <c r="N22" s="7">
        <v>83.734999999999999</v>
      </c>
      <c r="O22" s="7">
        <v>0.193</v>
      </c>
      <c r="P22" s="19">
        <v>0.40171987799999997</v>
      </c>
      <c r="Q22" s="6" t="s">
        <v>84</v>
      </c>
      <c r="R22" s="8">
        <v>0</v>
      </c>
      <c r="S22" s="8" t="s">
        <v>25</v>
      </c>
      <c r="T22" s="8" t="s">
        <v>25</v>
      </c>
      <c r="U22" s="8" t="s">
        <v>25</v>
      </c>
      <c r="V22" s="8" t="s">
        <v>25</v>
      </c>
      <c r="W22" s="8" t="s">
        <v>25</v>
      </c>
      <c r="X22" s="8" t="s">
        <v>25</v>
      </c>
      <c r="Y22" s="8" t="s">
        <v>25</v>
      </c>
      <c r="Z22" s="8" t="s">
        <v>25</v>
      </c>
      <c r="AA22" s="10"/>
      <c r="AB22" s="10"/>
      <c r="AC22" s="10"/>
    </row>
    <row r="23" spans="1:29" ht="14.25" customHeight="1" x14ac:dyDescent="0.3">
      <c r="A23" s="11" t="s">
        <v>3</v>
      </c>
      <c r="B23" s="18" t="s">
        <v>12</v>
      </c>
      <c r="C23" s="18" t="s">
        <v>13</v>
      </c>
      <c r="D23" s="11" t="s">
        <v>103</v>
      </c>
      <c r="E23" s="11">
        <v>1222</v>
      </c>
      <c r="F23" s="19">
        <v>3.7100000000000001E-2</v>
      </c>
      <c r="G23" s="19">
        <f>12.95+0.89</f>
        <v>13.84</v>
      </c>
      <c r="H23" s="11" t="s">
        <v>67</v>
      </c>
      <c r="I23" s="20" t="s">
        <v>60</v>
      </c>
      <c r="J23" s="20" t="s">
        <v>61</v>
      </c>
      <c r="K23" s="20" t="s">
        <v>62</v>
      </c>
      <c r="L23" s="20" t="s">
        <v>63</v>
      </c>
      <c r="M23" s="11" t="s">
        <v>86</v>
      </c>
      <c r="N23" s="12">
        <v>42.594000000000001</v>
      </c>
      <c r="O23" s="12">
        <v>6.9000000000000006E-2</v>
      </c>
      <c r="P23" s="19">
        <v>-0.16114477499999999</v>
      </c>
      <c r="Q23" s="11" t="s">
        <v>65</v>
      </c>
      <c r="R23" s="8" t="s">
        <v>25</v>
      </c>
      <c r="S23" s="8" t="s">
        <v>25</v>
      </c>
      <c r="T23" s="8" t="s">
        <v>25</v>
      </c>
      <c r="U23" s="8" t="s">
        <v>25</v>
      </c>
      <c r="V23" s="8" t="s">
        <v>25</v>
      </c>
      <c r="W23" s="8" t="s">
        <v>25</v>
      </c>
      <c r="X23" s="8" t="s">
        <v>25</v>
      </c>
      <c r="Y23" s="8" t="s">
        <v>25</v>
      </c>
      <c r="Z23" s="8" t="s">
        <v>25</v>
      </c>
      <c r="AA23" s="10"/>
      <c r="AB23" s="10"/>
      <c r="AC23" s="10"/>
    </row>
    <row r="24" spans="1:29" ht="14.25" customHeight="1" x14ac:dyDescent="0.3">
      <c r="A24" s="11" t="s">
        <v>3</v>
      </c>
      <c r="B24" s="18" t="s">
        <v>12</v>
      </c>
      <c r="C24" s="18" t="s">
        <v>13</v>
      </c>
      <c r="D24" s="11" t="s">
        <v>104</v>
      </c>
      <c r="E24" s="11">
        <v>1222</v>
      </c>
      <c r="F24" s="19">
        <v>2.81E-2</v>
      </c>
      <c r="G24" s="19">
        <f>9.21+0.87</f>
        <v>10.08</v>
      </c>
      <c r="H24" s="11" t="s">
        <v>67</v>
      </c>
      <c r="I24" s="23" t="s">
        <v>60</v>
      </c>
      <c r="J24" s="23" t="s">
        <v>61</v>
      </c>
      <c r="K24" s="23" t="s">
        <v>79</v>
      </c>
      <c r="L24" s="23" t="s">
        <v>63</v>
      </c>
      <c r="M24" s="11" t="s">
        <v>86</v>
      </c>
      <c r="N24" s="12">
        <v>43.338000000000001</v>
      </c>
      <c r="O24" s="12">
        <v>8.8999999999999996E-2</v>
      </c>
      <c r="P24" s="19">
        <v>-9.9757666999999994E-2</v>
      </c>
      <c r="Q24" s="11" t="s">
        <v>84</v>
      </c>
      <c r="R24" s="8">
        <v>40</v>
      </c>
      <c r="S24" s="8" t="s">
        <v>25</v>
      </c>
      <c r="T24" s="8" t="s">
        <v>25</v>
      </c>
      <c r="U24" s="9">
        <v>37.816666666666663</v>
      </c>
      <c r="V24" s="9">
        <v>30.796666666666663</v>
      </c>
      <c r="W24" s="9">
        <v>33.03</v>
      </c>
      <c r="X24" s="9">
        <v>28.374000000000002</v>
      </c>
      <c r="Y24" s="8" t="s">
        <v>25</v>
      </c>
      <c r="Z24" s="13">
        <f>AVERAGE(U24:X24)</f>
        <v>32.504333333333335</v>
      </c>
      <c r="AA24" s="10"/>
      <c r="AB24" s="10"/>
      <c r="AC24" s="10"/>
    </row>
    <row r="25" spans="1:29" ht="14.25" customHeight="1" x14ac:dyDescent="0.3">
      <c r="A25" s="11" t="s">
        <v>3</v>
      </c>
      <c r="B25" s="18" t="s">
        <v>12</v>
      </c>
      <c r="C25" s="18" t="s">
        <v>13</v>
      </c>
      <c r="D25" s="11" t="s">
        <v>105</v>
      </c>
      <c r="E25" s="11">
        <v>1222</v>
      </c>
      <c r="F25" s="19">
        <v>0.37290000000000001</v>
      </c>
      <c r="G25" s="19">
        <f>19.87+6.69</f>
        <v>26.560000000000002</v>
      </c>
      <c r="H25" s="11" t="s">
        <v>67</v>
      </c>
      <c r="I25" s="20" t="s">
        <v>60</v>
      </c>
      <c r="J25" s="20" t="s">
        <v>61</v>
      </c>
      <c r="K25" s="20" t="s">
        <v>62</v>
      </c>
      <c r="L25" s="20" t="s">
        <v>69</v>
      </c>
      <c r="M25" s="11" t="s">
        <v>86</v>
      </c>
      <c r="N25" s="12">
        <v>71.688999999999993</v>
      </c>
      <c r="O25" s="12">
        <v>0.32800000000000001</v>
      </c>
      <c r="P25" s="19">
        <v>9.9146382000000005E-2</v>
      </c>
      <c r="Q25" s="11" t="s">
        <v>65</v>
      </c>
      <c r="R25" s="8" t="s">
        <v>25</v>
      </c>
      <c r="S25" s="8" t="s">
        <v>25</v>
      </c>
      <c r="T25" s="8" t="s">
        <v>25</v>
      </c>
      <c r="U25" s="8" t="s">
        <v>25</v>
      </c>
      <c r="V25" s="8" t="s">
        <v>25</v>
      </c>
      <c r="W25" s="8" t="s">
        <v>25</v>
      </c>
      <c r="X25" s="8" t="s">
        <v>25</v>
      </c>
      <c r="Y25" s="8" t="s">
        <v>25</v>
      </c>
      <c r="Z25" s="8" t="s">
        <v>25</v>
      </c>
      <c r="AA25" s="10"/>
      <c r="AB25" s="10"/>
      <c r="AC25" s="10"/>
    </row>
    <row r="26" spans="1:29" ht="14.25" customHeight="1" x14ac:dyDescent="0.3">
      <c r="A26" s="11" t="s">
        <v>3</v>
      </c>
      <c r="B26" s="18" t="s">
        <v>12</v>
      </c>
      <c r="C26" s="18" t="s">
        <v>14</v>
      </c>
      <c r="D26" s="11" t="s">
        <v>106</v>
      </c>
      <c r="E26" s="11">
        <v>805</v>
      </c>
      <c r="F26" s="19">
        <v>9.1000000000000004E-3</v>
      </c>
      <c r="G26" s="19">
        <f>25.68+4.24</f>
        <v>29.92</v>
      </c>
      <c r="H26" s="11" t="s">
        <v>67</v>
      </c>
      <c r="I26" s="20" t="s">
        <v>60</v>
      </c>
      <c r="J26" s="20" t="s">
        <v>61</v>
      </c>
      <c r="K26" s="20" t="s">
        <v>62</v>
      </c>
      <c r="L26" s="20" t="s">
        <v>63</v>
      </c>
      <c r="M26" s="11" t="s">
        <v>86</v>
      </c>
      <c r="N26" s="12">
        <v>30.99</v>
      </c>
      <c r="O26" s="12">
        <v>8.2000000000000003E-2</v>
      </c>
      <c r="P26" s="19">
        <v>-5.3586831000000001E-2</v>
      </c>
      <c r="Q26" s="11" t="s">
        <v>65</v>
      </c>
      <c r="R26" s="8" t="s">
        <v>25</v>
      </c>
      <c r="S26" s="8" t="s">
        <v>25</v>
      </c>
      <c r="T26" s="8" t="s">
        <v>25</v>
      </c>
      <c r="U26" s="8" t="s">
        <v>25</v>
      </c>
      <c r="V26" s="8" t="s">
        <v>25</v>
      </c>
      <c r="W26" s="8" t="s">
        <v>25</v>
      </c>
      <c r="X26" s="8" t="s">
        <v>25</v>
      </c>
      <c r="Y26" s="8" t="s">
        <v>25</v>
      </c>
      <c r="Z26" s="8" t="s">
        <v>25</v>
      </c>
      <c r="AA26" s="10"/>
      <c r="AB26" s="10"/>
      <c r="AC26" s="10"/>
    </row>
    <row r="27" spans="1:29" ht="14.25" customHeight="1" x14ac:dyDescent="0.3">
      <c r="A27" s="11" t="s">
        <v>3</v>
      </c>
      <c r="B27" s="18" t="s">
        <v>12</v>
      </c>
      <c r="C27" s="18" t="s">
        <v>14</v>
      </c>
      <c r="D27" s="11" t="s">
        <v>107</v>
      </c>
      <c r="E27" s="11">
        <v>805</v>
      </c>
      <c r="F27" s="19">
        <v>1.1000000000000001E-3</v>
      </c>
      <c r="G27" s="19">
        <f>28.66+4.63</f>
        <v>33.29</v>
      </c>
      <c r="H27" s="11" t="s">
        <v>67</v>
      </c>
      <c r="I27" s="20" t="s">
        <v>73</v>
      </c>
      <c r="J27" s="20" t="s">
        <v>61</v>
      </c>
      <c r="K27" s="20" t="s">
        <v>62</v>
      </c>
      <c r="L27" s="20" t="s">
        <v>63</v>
      </c>
      <c r="M27" s="11" t="s">
        <v>86</v>
      </c>
      <c r="N27" s="12">
        <v>34.667000000000002</v>
      </c>
      <c r="O27" s="12">
        <v>0.193</v>
      </c>
      <c r="P27" s="19">
        <v>0.221231023</v>
      </c>
      <c r="Q27" s="11" t="s">
        <v>65</v>
      </c>
      <c r="R27" s="8" t="s">
        <v>25</v>
      </c>
      <c r="S27" s="8" t="s">
        <v>25</v>
      </c>
      <c r="T27" s="8" t="s">
        <v>25</v>
      </c>
      <c r="U27" s="8" t="s">
        <v>25</v>
      </c>
      <c r="V27" s="8" t="s">
        <v>25</v>
      </c>
      <c r="W27" s="8" t="s">
        <v>25</v>
      </c>
      <c r="X27" s="8" t="s">
        <v>25</v>
      </c>
      <c r="Y27" s="8" t="s">
        <v>25</v>
      </c>
      <c r="Z27" s="8" t="s">
        <v>25</v>
      </c>
      <c r="AA27" s="10"/>
      <c r="AB27" s="10"/>
      <c r="AC27" s="10"/>
    </row>
    <row r="28" spans="1:29" ht="14.25" customHeight="1" x14ac:dyDescent="0.3">
      <c r="A28" s="11" t="s">
        <v>3</v>
      </c>
      <c r="B28" s="18" t="s">
        <v>12</v>
      </c>
      <c r="C28" s="18" t="s">
        <v>14</v>
      </c>
      <c r="D28" s="11" t="s">
        <v>108</v>
      </c>
      <c r="E28" s="11">
        <v>805</v>
      </c>
      <c r="F28" s="19">
        <v>6.2899999999999998E-2</v>
      </c>
      <c r="G28" s="19">
        <f>36.7+0</f>
        <v>36.700000000000003</v>
      </c>
      <c r="H28" s="11" t="s">
        <v>67</v>
      </c>
      <c r="I28" s="20" t="s">
        <v>60</v>
      </c>
      <c r="J28" s="20" t="s">
        <v>61</v>
      </c>
      <c r="K28" s="20" t="s">
        <v>79</v>
      </c>
      <c r="L28" s="20" t="s">
        <v>63</v>
      </c>
      <c r="M28" s="11" t="s">
        <v>86</v>
      </c>
      <c r="N28" s="12">
        <v>66.546999999999997</v>
      </c>
      <c r="O28" s="12">
        <v>0.13200000000000001</v>
      </c>
      <c r="P28" s="19">
        <v>-2.2729631E-2</v>
      </c>
      <c r="Q28" s="11" t="s">
        <v>65</v>
      </c>
      <c r="R28" s="8" t="s">
        <v>25</v>
      </c>
      <c r="S28" s="8" t="s">
        <v>25</v>
      </c>
      <c r="T28" s="8" t="s">
        <v>25</v>
      </c>
      <c r="U28" s="8" t="s">
        <v>25</v>
      </c>
      <c r="V28" s="8" t="s">
        <v>25</v>
      </c>
      <c r="W28" s="8" t="s">
        <v>25</v>
      </c>
      <c r="X28" s="8" t="s">
        <v>25</v>
      </c>
      <c r="Y28" s="8" t="s">
        <v>25</v>
      </c>
      <c r="Z28" s="8" t="s">
        <v>25</v>
      </c>
      <c r="AA28" s="10"/>
      <c r="AB28" s="10"/>
      <c r="AC28" s="10"/>
    </row>
    <row r="29" spans="1:29" ht="14.25" customHeight="1" x14ac:dyDescent="0.3">
      <c r="A29" s="11" t="s">
        <v>15</v>
      </c>
      <c r="B29" s="18" t="s">
        <v>16</v>
      </c>
      <c r="C29" s="18" t="s">
        <v>17</v>
      </c>
      <c r="D29" s="11" t="s">
        <v>109</v>
      </c>
      <c r="E29" s="11">
        <v>480</v>
      </c>
      <c r="F29" s="19">
        <v>3.9300000000000002E-2</v>
      </c>
      <c r="G29" s="19">
        <f>16.79+7.76</f>
        <v>24.549999999999997</v>
      </c>
      <c r="H29" s="11" t="s">
        <v>67</v>
      </c>
      <c r="I29" s="20" t="s">
        <v>60</v>
      </c>
      <c r="J29" s="20" t="s">
        <v>61</v>
      </c>
      <c r="K29" s="20" t="s">
        <v>79</v>
      </c>
      <c r="L29" s="20" t="s">
        <v>63</v>
      </c>
      <c r="M29" s="11" t="s">
        <v>110</v>
      </c>
      <c r="N29" s="12">
        <v>59.582999999999998</v>
      </c>
      <c r="O29" s="12">
        <v>0.04</v>
      </c>
      <c r="P29" s="19">
        <v>-1.8178573999999999E-2</v>
      </c>
      <c r="Q29" s="11" t="s">
        <v>84</v>
      </c>
      <c r="R29" s="8">
        <v>60</v>
      </c>
      <c r="S29" s="9">
        <v>44.64</v>
      </c>
      <c r="T29" s="9">
        <v>42.71</v>
      </c>
      <c r="U29" s="9">
        <v>33.159999999999997</v>
      </c>
      <c r="V29" s="9">
        <v>33.9</v>
      </c>
      <c r="W29" s="9">
        <v>41.67</v>
      </c>
      <c r="X29" s="9">
        <v>52.39</v>
      </c>
      <c r="Y29" s="9">
        <v>85.15</v>
      </c>
      <c r="Z29" s="13">
        <f>AVERAGE(S29:Y29)</f>
        <v>47.660000000000004</v>
      </c>
      <c r="AA29" s="10"/>
      <c r="AB29" s="10"/>
      <c r="AC29" s="10"/>
    </row>
    <row r="30" spans="1:29" ht="14.25" customHeight="1" x14ac:dyDescent="0.3">
      <c r="A30" s="11" t="s">
        <v>15</v>
      </c>
      <c r="B30" s="18" t="s">
        <v>16</v>
      </c>
      <c r="C30" s="18" t="s">
        <v>17</v>
      </c>
      <c r="D30" s="11" t="s">
        <v>111</v>
      </c>
      <c r="E30" s="11">
        <v>480</v>
      </c>
      <c r="F30" s="19">
        <v>7.9399999999999998E-2</v>
      </c>
      <c r="G30" s="19">
        <f>14.41+3.96</f>
        <v>18.37</v>
      </c>
      <c r="H30" s="11" t="s">
        <v>67</v>
      </c>
      <c r="I30" s="20" t="s">
        <v>60</v>
      </c>
      <c r="J30" s="20" t="s">
        <v>61</v>
      </c>
      <c r="K30" s="20" t="s">
        <v>62</v>
      </c>
      <c r="L30" s="20" t="s">
        <v>63</v>
      </c>
      <c r="M30" s="11" t="s">
        <v>110</v>
      </c>
      <c r="N30" s="12">
        <v>61.328000000000003</v>
      </c>
      <c r="O30" s="12">
        <v>8.2000000000000003E-2</v>
      </c>
      <c r="P30" s="19">
        <v>-6.4429407999999994E-2</v>
      </c>
      <c r="Q30" s="11" t="s">
        <v>65</v>
      </c>
      <c r="R30" s="8" t="s">
        <v>25</v>
      </c>
      <c r="S30" s="8" t="s">
        <v>25</v>
      </c>
      <c r="T30" s="8" t="s">
        <v>25</v>
      </c>
      <c r="U30" s="8" t="s">
        <v>25</v>
      </c>
      <c r="V30" s="8" t="s">
        <v>25</v>
      </c>
      <c r="W30" s="8" t="s">
        <v>25</v>
      </c>
      <c r="X30" s="8" t="s">
        <v>25</v>
      </c>
      <c r="Y30" s="8" t="s">
        <v>25</v>
      </c>
      <c r="Z30" s="8" t="s">
        <v>25</v>
      </c>
      <c r="AA30" s="10"/>
      <c r="AB30" s="10"/>
      <c r="AC30" s="10"/>
    </row>
    <row r="31" spans="1:29" ht="14.25" customHeight="1" x14ac:dyDescent="0.3">
      <c r="A31" s="11" t="s">
        <v>15</v>
      </c>
      <c r="B31" s="18" t="s">
        <v>16</v>
      </c>
      <c r="C31" s="18" t="s">
        <v>17</v>
      </c>
      <c r="D31" s="11" t="s">
        <v>112</v>
      </c>
      <c r="E31" s="11">
        <v>480</v>
      </c>
      <c r="F31" s="19">
        <v>5.5199999999999999E-2</v>
      </c>
      <c r="G31" s="19">
        <f>12.59+2.31</f>
        <v>14.9</v>
      </c>
      <c r="H31" s="11" t="s">
        <v>67</v>
      </c>
      <c r="I31" s="20" t="s">
        <v>60</v>
      </c>
      <c r="J31" s="20" t="s">
        <v>61</v>
      </c>
      <c r="K31" s="20" t="s">
        <v>79</v>
      </c>
      <c r="L31" s="20" t="s">
        <v>63</v>
      </c>
      <c r="M31" s="11" t="s">
        <v>110</v>
      </c>
      <c r="N31" s="12">
        <v>67.394000000000005</v>
      </c>
      <c r="O31" s="12">
        <v>6.4000000000000001E-2</v>
      </c>
      <c r="P31" s="19">
        <v>4.6024130000000003E-2</v>
      </c>
      <c r="Q31" s="11" t="s">
        <v>65</v>
      </c>
      <c r="R31" s="8" t="s">
        <v>25</v>
      </c>
      <c r="S31" s="8" t="s">
        <v>25</v>
      </c>
      <c r="T31" s="8" t="s">
        <v>25</v>
      </c>
      <c r="U31" s="8" t="s">
        <v>25</v>
      </c>
      <c r="V31" s="8" t="s">
        <v>25</v>
      </c>
      <c r="W31" s="8" t="s">
        <v>25</v>
      </c>
      <c r="X31" s="8" t="s">
        <v>25</v>
      </c>
      <c r="Y31" s="8" t="s">
        <v>25</v>
      </c>
      <c r="Z31" s="8" t="s">
        <v>25</v>
      </c>
      <c r="AA31" s="10"/>
      <c r="AB31" s="10"/>
      <c r="AC31" s="10"/>
    </row>
    <row r="32" spans="1:29" ht="14.25" customHeight="1" x14ac:dyDescent="0.3">
      <c r="A32" s="11" t="s">
        <v>15</v>
      </c>
      <c r="B32" s="18" t="s">
        <v>16</v>
      </c>
      <c r="C32" s="18" t="s">
        <v>17</v>
      </c>
      <c r="D32" s="11" t="s">
        <v>113</v>
      </c>
      <c r="E32" s="11">
        <v>480</v>
      </c>
      <c r="F32" s="19">
        <v>9.4999999999999998E-3</v>
      </c>
      <c r="G32" s="19">
        <f>8.57+4.87</f>
        <v>13.440000000000001</v>
      </c>
      <c r="H32" s="11" t="s">
        <v>67</v>
      </c>
      <c r="I32" s="20" t="s">
        <v>73</v>
      </c>
      <c r="J32" s="20" t="s">
        <v>61</v>
      </c>
      <c r="K32" s="20" t="s">
        <v>62</v>
      </c>
      <c r="L32" s="20" t="s">
        <v>63</v>
      </c>
      <c r="M32" s="11" t="s">
        <v>110</v>
      </c>
      <c r="N32" s="12">
        <v>72.847999999999999</v>
      </c>
      <c r="O32" s="12">
        <v>9.4E-2</v>
      </c>
      <c r="P32" s="19">
        <v>0.221880471</v>
      </c>
      <c r="Q32" s="11" t="s">
        <v>65</v>
      </c>
      <c r="R32" s="8" t="s">
        <v>25</v>
      </c>
      <c r="S32" s="8" t="s">
        <v>25</v>
      </c>
      <c r="T32" s="8" t="s">
        <v>25</v>
      </c>
      <c r="U32" s="8" t="s">
        <v>25</v>
      </c>
      <c r="V32" s="8" t="s">
        <v>25</v>
      </c>
      <c r="W32" s="8" t="s">
        <v>25</v>
      </c>
      <c r="X32" s="8" t="s">
        <v>25</v>
      </c>
      <c r="Y32" s="8" t="s">
        <v>25</v>
      </c>
      <c r="Z32" s="8" t="s">
        <v>25</v>
      </c>
      <c r="AA32" s="10"/>
      <c r="AB32" s="10"/>
      <c r="AC32" s="10"/>
    </row>
    <row r="33" spans="1:29" ht="14.25" customHeight="1" x14ac:dyDescent="0.3">
      <c r="A33" s="11" t="s">
        <v>18</v>
      </c>
      <c r="B33" s="18" t="s">
        <v>19</v>
      </c>
      <c r="C33" s="18" t="s">
        <v>20</v>
      </c>
      <c r="D33" s="11" t="s">
        <v>114</v>
      </c>
      <c r="E33" s="11">
        <v>1055</v>
      </c>
      <c r="F33" s="19">
        <v>7.1800000000000003E-2</v>
      </c>
      <c r="G33" s="19">
        <f>9.68+16.72</f>
        <v>26.4</v>
      </c>
      <c r="H33" s="11" t="s">
        <v>67</v>
      </c>
      <c r="I33" s="20" t="s">
        <v>60</v>
      </c>
      <c r="J33" s="20" t="s">
        <v>61</v>
      </c>
      <c r="K33" s="20" t="s">
        <v>79</v>
      </c>
      <c r="L33" s="20" t="s">
        <v>63</v>
      </c>
      <c r="M33" s="11" t="s">
        <v>86</v>
      </c>
      <c r="N33" s="12">
        <v>43.921999999999997</v>
      </c>
      <c r="O33" s="12">
        <v>0.05</v>
      </c>
      <c r="P33" s="19">
        <v>-0.17931714400000001</v>
      </c>
      <c r="Q33" s="11" t="s">
        <v>65</v>
      </c>
      <c r="R33" s="8" t="s">
        <v>25</v>
      </c>
      <c r="S33" s="8" t="s">
        <v>25</v>
      </c>
      <c r="T33" s="8" t="s">
        <v>25</v>
      </c>
      <c r="U33" s="8" t="s">
        <v>25</v>
      </c>
      <c r="V33" s="8" t="s">
        <v>25</v>
      </c>
      <c r="W33" s="8" t="s">
        <v>25</v>
      </c>
      <c r="X33" s="8" t="s">
        <v>25</v>
      </c>
      <c r="Y33" s="8" t="s">
        <v>25</v>
      </c>
      <c r="Z33" s="8" t="s">
        <v>25</v>
      </c>
      <c r="AA33" s="10"/>
      <c r="AB33" s="10"/>
      <c r="AC33" s="10"/>
    </row>
    <row r="34" spans="1:29" ht="14.25" customHeight="1" x14ac:dyDescent="0.3">
      <c r="A34" s="11" t="s">
        <v>18</v>
      </c>
      <c r="B34" s="18" t="s">
        <v>19</v>
      </c>
      <c r="C34" s="18" t="s">
        <v>20</v>
      </c>
      <c r="D34" s="11" t="s">
        <v>115</v>
      </c>
      <c r="E34" s="11">
        <v>1055</v>
      </c>
      <c r="F34" s="19">
        <v>0.18959999999999999</v>
      </c>
      <c r="G34" s="19">
        <f>7.59+3.8</f>
        <v>11.39</v>
      </c>
      <c r="H34" s="11" t="s">
        <v>67</v>
      </c>
      <c r="I34" s="20" t="s">
        <v>60</v>
      </c>
      <c r="J34" s="20" t="s">
        <v>61</v>
      </c>
      <c r="K34" s="20" t="s">
        <v>62</v>
      </c>
      <c r="L34" s="20" t="s">
        <v>63</v>
      </c>
      <c r="M34" s="11" t="s">
        <v>86</v>
      </c>
      <c r="N34" s="12">
        <v>63.030999999999999</v>
      </c>
      <c r="O34" s="12">
        <v>6.4000000000000001E-2</v>
      </c>
      <c r="P34" s="19">
        <v>-0.17455299799999999</v>
      </c>
      <c r="Q34" s="11" t="s">
        <v>84</v>
      </c>
      <c r="R34" s="8">
        <v>30</v>
      </c>
      <c r="S34" s="8" t="s">
        <v>25</v>
      </c>
      <c r="T34" s="8">
        <v>50.45</v>
      </c>
      <c r="U34" s="8">
        <v>43.15</v>
      </c>
      <c r="V34" s="8">
        <v>40.83</v>
      </c>
      <c r="W34" s="8">
        <v>51.6</v>
      </c>
      <c r="X34" s="8" t="s">
        <v>25</v>
      </c>
      <c r="Y34" s="8" t="s">
        <v>25</v>
      </c>
      <c r="Z34" s="13">
        <f>AVERAGE(T34:W34)</f>
        <v>46.5075</v>
      </c>
      <c r="AA34" s="10"/>
      <c r="AB34" s="10"/>
      <c r="AC34" s="10"/>
    </row>
    <row r="35" spans="1:29" ht="14.25" customHeight="1" x14ac:dyDescent="0.3">
      <c r="A35" s="11" t="s">
        <v>18</v>
      </c>
      <c r="B35" s="18" t="s">
        <v>19</v>
      </c>
      <c r="C35" s="18" t="s">
        <v>20</v>
      </c>
      <c r="D35" s="11" t="s">
        <v>116</v>
      </c>
      <c r="E35" s="11">
        <v>1055</v>
      </c>
      <c r="F35" s="19">
        <v>1.01E-2</v>
      </c>
      <c r="G35" s="19">
        <f>29.14+3.44</f>
        <v>32.58</v>
      </c>
      <c r="H35" s="11" t="s">
        <v>81</v>
      </c>
      <c r="I35" s="20" t="s">
        <v>73</v>
      </c>
      <c r="J35" s="20" t="s">
        <v>61</v>
      </c>
      <c r="K35" s="20" t="s">
        <v>62</v>
      </c>
      <c r="L35" s="20" t="s">
        <v>63</v>
      </c>
      <c r="M35" s="11" t="s">
        <v>86</v>
      </c>
      <c r="N35" s="12">
        <v>72.322000000000003</v>
      </c>
      <c r="O35" s="12">
        <v>0.221</v>
      </c>
      <c r="P35" s="19">
        <v>7.8231797000000006E-2</v>
      </c>
      <c r="Q35" s="11" t="s">
        <v>65</v>
      </c>
      <c r="R35" s="8" t="s">
        <v>25</v>
      </c>
      <c r="S35" s="8" t="s">
        <v>25</v>
      </c>
      <c r="T35" s="8" t="s">
        <v>25</v>
      </c>
      <c r="U35" s="8" t="s">
        <v>25</v>
      </c>
      <c r="V35" s="8" t="s">
        <v>25</v>
      </c>
      <c r="W35" s="8" t="s">
        <v>25</v>
      </c>
      <c r="X35" s="8" t="s">
        <v>25</v>
      </c>
      <c r="Y35" s="8" t="s">
        <v>25</v>
      </c>
      <c r="Z35" s="13" t="s">
        <v>25</v>
      </c>
      <c r="AA35" s="10"/>
      <c r="AB35" s="10"/>
      <c r="AC35" s="10"/>
    </row>
    <row r="36" spans="1:29" ht="14.25" customHeight="1" x14ac:dyDescent="0.3">
      <c r="A36" s="11" t="s">
        <v>18</v>
      </c>
      <c r="B36" s="18" t="s">
        <v>19</v>
      </c>
      <c r="C36" s="18" t="s">
        <v>20</v>
      </c>
      <c r="D36" s="11" t="s">
        <v>117</v>
      </c>
      <c r="E36" s="11">
        <v>1055</v>
      </c>
      <c r="F36" s="19">
        <v>1.29E-2</v>
      </c>
      <c r="G36" s="19">
        <f>54.3+21.71</f>
        <v>76.009999999999991</v>
      </c>
      <c r="H36" s="11" t="s">
        <v>78</v>
      </c>
      <c r="I36" s="20" t="s">
        <v>73</v>
      </c>
      <c r="J36" s="20" t="s">
        <v>68</v>
      </c>
      <c r="K36" s="20" t="s">
        <v>62</v>
      </c>
      <c r="L36" s="20" t="s">
        <v>69</v>
      </c>
      <c r="M36" s="11" t="s">
        <v>86</v>
      </c>
      <c r="N36" s="12">
        <v>76.477000000000004</v>
      </c>
      <c r="O36" s="12">
        <v>0.2</v>
      </c>
      <c r="P36" s="19">
        <v>0.16322539899999999</v>
      </c>
      <c r="Q36" s="11" t="s">
        <v>65</v>
      </c>
      <c r="R36" s="8" t="s">
        <v>25</v>
      </c>
      <c r="S36" s="8" t="s">
        <v>25</v>
      </c>
      <c r="T36" s="8" t="s">
        <v>25</v>
      </c>
      <c r="U36" s="8" t="s">
        <v>25</v>
      </c>
      <c r="V36" s="8" t="s">
        <v>25</v>
      </c>
      <c r="W36" s="8" t="s">
        <v>25</v>
      </c>
      <c r="X36" s="8" t="s">
        <v>25</v>
      </c>
      <c r="Y36" s="8" t="s">
        <v>25</v>
      </c>
      <c r="Z36" s="13" t="s">
        <v>25</v>
      </c>
      <c r="AA36" s="10"/>
      <c r="AB36" s="10"/>
      <c r="AC36" s="10"/>
    </row>
    <row r="37" spans="1:29" ht="14.25" customHeight="1" x14ac:dyDescent="0.3">
      <c r="A37" s="11" t="s">
        <v>21</v>
      </c>
      <c r="B37" s="18" t="s">
        <v>22</v>
      </c>
      <c r="C37" s="18" t="s">
        <v>23</v>
      </c>
      <c r="D37" s="11" t="s">
        <v>118</v>
      </c>
      <c r="E37" s="11">
        <v>827</v>
      </c>
      <c r="F37" s="19">
        <v>0.38219999999999998</v>
      </c>
      <c r="G37" s="19">
        <f>6.39+2.93</f>
        <v>9.32</v>
      </c>
      <c r="H37" s="11" t="s">
        <v>72</v>
      </c>
      <c r="I37" s="20" t="s">
        <v>60</v>
      </c>
      <c r="J37" s="20" t="s">
        <v>61</v>
      </c>
      <c r="K37" s="20" t="s">
        <v>62</v>
      </c>
      <c r="L37" s="20" t="s">
        <v>63</v>
      </c>
      <c r="M37" s="11" t="s">
        <v>86</v>
      </c>
      <c r="N37" s="12">
        <v>57.938000000000002</v>
      </c>
      <c r="O37" s="12">
        <v>0.111</v>
      </c>
      <c r="P37" s="19">
        <v>-0.15769685999999999</v>
      </c>
      <c r="Q37" s="11" t="s">
        <v>84</v>
      </c>
      <c r="R37" s="8">
        <v>50</v>
      </c>
      <c r="S37" s="8">
        <v>43.96</v>
      </c>
      <c r="T37" s="8">
        <v>41.28</v>
      </c>
      <c r="U37" s="8">
        <v>36.14</v>
      </c>
      <c r="V37" s="8">
        <v>41.23</v>
      </c>
      <c r="W37" s="8">
        <v>40.82</v>
      </c>
      <c r="X37" s="8">
        <v>57.09</v>
      </c>
      <c r="Y37" s="8" t="s">
        <v>25</v>
      </c>
      <c r="Z37" s="13">
        <f>AVERAGE(S37:X37)</f>
        <v>43.419999999999995</v>
      </c>
      <c r="AA37" s="10"/>
      <c r="AB37" s="10"/>
      <c r="AC37" s="10"/>
    </row>
    <row r="38" spans="1:29" ht="14.25" customHeight="1" x14ac:dyDescent="0.3">
      <c r="A38" s="11" t="s">
        <v>21</v>
      </c>
      <c r="B38" s="18" t="s">
        <v>22</v>
      </c>
      <c r="C38" s="18" t="s">
        <v>23</v>
      </c>
      <c r="D38" s="11" t="s">
        <v>119</v>
      </c>
      <c r="E38" s="11">
        <v>827</v>
      </c>
      <c r="F38" s="19">
        <v>0.1103</v>
      </c>
      <c r="G38" s="19">
        <v>4.6500000000000004</v>
      </c>
      <c r="H38" s="11" t="s">
        <v>81</v>
      </c>
      <c r="I38" s="20" t="s">
        <v>60</v>
      </c>
      <c r="J38" s="20" t="s">
        <v>61</v>
      </c>
      <c r="K38" s="20" t="s">
        <v>79</v>
      </c>
      <c r="L38" s="20" t="s">
        <v>63</v>
      </c>
      <c r="M38" s="11" t="s">
        <v>86</v>
      </c>
      <c r="N38" s="12">
        <v>64.168999999999997</v>
      </c>
      <c r="O38" s="12">
        <v>6.9000000000000006E-2</v>
      </c>
      <c r="P38" s="19">
        <v>-0.13011172300000001</v>
      </c>
      <c r="Q38" s="11" t="s">
        <v>65</v>
      </c>
      <c r="R38" s="8" t="s">
        <v>25</v>
      </c>
      <c r="S38" s="8" t="s">
        <v>25</v>
      </c>
      <c r="T38" s="8" t="s">
        <v>25</v>
      </c>
      <c r="U38" s="8" t="s">
        <v>25</v>
      </c>
      <c r="V38" s="8" t="s">
        <v>25</v>
      </c>
      <c r="W38" s="8" t="s">
        <v>25</v>
      </c>
      <c r="X38" s="8" t="s">
        <v>25</v>
      </c>
      <c r="Y38" s="8" t="s">
        <v>25</v>
      </c>
      <c r="Z38" s="13" t="s">
        <v>25</v>
      </c>
      <c r="AA38" s="10"/>
      <c r="AB38" s="10"/>
      <c r="AC38" s="10"/>
    </row>
    <row r="39" spans="1:29" ht="14.25" customHeight="1" x14ac:dyDescent="0.3">
      <c r="A39" s="11" t="s">
        <v>21</v>
      </c>
      <c r="B39" s="18" t="s">
        <v>22</v>
      </c>
      <c r="C39" s="18" t="s">
        <v>23</v>
      </c>
      <c r="D39" s="11" t="s">
        <v>120</v>
      </c>
      <c r="E39" s="11">
        <v>827</v>
      </c>
      <c r="F39" s="19">
        <v>6.0000000000000001E-3</v>
      </c>
      <c r="G39" s="19">
        <v>16.89</v>
      </c>
      <c r="H39" s="11" t="s">
        <v>81</v>
      </c>
      <c r="I39" s="20" t="s">
        <v>73</v>
      </c>
      <c r="J39" s="20" t="s">
        <v>61</v>
      </c>
      <c r="K39" s="20" t="s">
        <v>62</v>
      </c>
      <c r="L39" s="20" t="s">
        <v>63</v>
      </c>
      <c r="M39" s="11" t="s">
        <v>86</v>
      </c>
      <c r="N39" s="12">
        <v>76.370999999999995</v>
      </c>
      <c r="O39" s="12">
        <v>0.6</v>
      </c>
      <c r="P39" s="19">
        <v>0.298031773</v>
      </c>
      <c r="Q39" s="11" t="s">
        <v>65</v>
      </c>
      <c r="R39" s="8" t="s">
        <v>25</v>
      </c>
      <c r="S39" s="8" t="s">
        <v>25</v>
      </c>
      <c r="T39" s="8" t="s">
        <v>25</v>
      </c>
      <c r="U39" s="8" t="s">
        <v>25</v>
      </c>
      <c r="V39" s="8" t="s">
        <v>25</v>
      </c>
      <c r="W39" s="8" t="s">
        <v>25</v>
      </c>
      <c r="X39" s="8" t="s">
        <v>25</v>
      </c>
      <c r="Y39" s="8" t="s">
        <v>25</v>
      </c>
      <c r="Z39" s="13" t="s">
        <v>25</v>
      </c>
      <c r="AA39" s="10"/>
      <c r="AB39" s="10"/>
      <c r="AC39" s="10"/>
    </row>
    <row r="40" spans="1:29" ht="14.25" customHeight="1" x14ac:dyDescent="0.3">
      <c r="A40" s="11" t="s">
        <v>21</v>
      </c>
      <c r="B40" s="18" t="s">
        <v>22</v>
      </c>
      <c r="C40" s="18" t="s">
        <v>24</v>
      </c>
      <c r="D40" s="11" t="s">
        <v>121</v>
      </c>
      <c r="E40" s="11">
        <v>763</v>
      </c>
      <c r="F40" s="19">
        <v>0.38219999999999998</v>
      </c>
      <c r="G40" s="19">
        <f>5.9+4.63</f>
        <v>10.530000000000001</v>
      </c>
      <c r="H40" s="11" t="s">
        <v>72</v>
      </c>
      <c r="I40" s="20" t="s">
        <v>60</v>
      </c>
      <c r="J40" s="20" t="s">
        <v>61</v>
      </c>
      <c r="K40" s="20" t="s">
        <v>62</v>
      </c>
      <c r="L40" s="20" t="s">
        <v>63</v>
      </c>
      <c r="M40" s="11" t="s">
        <v>86</v>
      </c>
      <c r="N40" s="12">
        <v>68.605000000000004</v>
      </c>
      <c r="O40" s="12">
        <v>8.2000000000000003E-2</v>
      </c>
      <c r="P40" s="19">
        <v>-0.15395440799999999</v>
      </c>
      <c r="Q40" s="11" t="s">
        <v>84</v>
      </c>
      <c r="R40" s="8">
        <v>30</v>
      </c>
      <c r="S40" s="8" t="s">
        <v>25</v>
      </c>
      <c r="T40" s="8" t="s">
        <v>25</v>
      </c>
      <c r="U40" s="8">
        <v>18.38</v>
      </c>
      <c r="V40" s="8">
        <v>29.3</v>
      </c>
      <c r="W40" s="8">
        <v>37.020000000000003</v>
      </c>
      <c r="X40" s="8">
        <v>45.11</v>
      </c>
      <c r="Y40" s="8" t="s">
        <v>25</v>
      </c>
      <c r="Z40" s="13">
        <f>AVERAGE(U40:X40)</f>
        <v>32.452500000000001</v>
      </c>
      <c r="AA40" s="10"/>
      <c r="AB40" s="10"/>
      <c r="AC40" s="10"/>
    </row>
    <row r="41" spans="1:29" ht="14.25" customHeight="1" x14ac:dyDescent="0.3">
      <c r="A41" s="11" t="s">
        <v>21</v>
      </c>
      <c r="B41" s="18" t="s">
        <v>22</v>
      </c>
      <c r="C41" s="18" t="s">
        <v>24</v>
      </c>
      <c r="D41" s="11" t="s">
        <v>122</v>
      </c>
      <c r="E41" s="11">
        <v>763</v>
      </c>
      <c r="F41" s="19">
        <v>0.30209999999999998</v>
      </c>
      <c r="G41" s="19">
        <f>5.04+2.04</f>
        <v>7.08</v>
      </c>
      <c r="H41" s="11" t="s">
        <v>72</v>
      </c>
      <c r="I41" s="20" t="s">
        <v>60</v>
      </c>
      <c r="J41" s="20" t="s">
        <v>61</v>
      </c>
      <c r="K41" s="20" t="s">
        <v>79</v>
      </c>
      <c r="L41" s="20" t="s">
        <v>63</v>
      </c>
      <c r="M41" s="11" t="s">
        <v>86</v>
      </c>
      <c r="N41" s="12">
        <v>72.400999999999996</v>
      </c>
      <c r="O41" s="12">
        <v>9.4E-2</v>
      </c>
      <c r="P41" s="19">
        <v>-0.14776882799999999</v>
      </c>
      <c r="Q41" s="11" t="s">
        <v>65</v>
      </c>
      <c r="R41" s="8" t="s">
        <v>25</v>
      </c>
      <c r="S41" s="8" t="s">
        <v>25</v>
      </c>
      <c r="T41" s="8" t="s">
        <v>25</v>
      </c>
      <c r="U41" s="8" t="s">
        <v>25</v>
      </c>
      <c r="V41" s="8" t="s">
        <v>25</v>
      </c>
      <c r="W41" s="8" t="s">
        <v>25</v>
      </c>
      <c r="X41" s="8" t="s">
        <v>25</v>
      </c>
      <c r="Y41" s="8" t="s">
        <v>25</v>
      </c>
      <c r="Z41" s="13" t="s">
        <v>25</v>
      </c>
      <c r="AA41" s="10"/>
      <c r="AB41" s="10"/>
      <c r="AC41" s="10"/>
    </row>
    <row r="42" spans="1:29" ht="14.25" customHeight="1" x14ac:dyDescent="0.3">
      <c r="A42" s="11" t="s">
        <v>21</v>
      </c>
      <c r="B42" s="18" t="s">
        <v>22</v>
      </c>
      <c r="C42" s="18" t="s">
        <v>24</v>
      </c>
      <c r="D42" s="11" t="s">
        <v>123</v>
      </c>
      <c r="E42" s="11">
        <v>763</v>
      </c>
      <c r="F42" s="19">
        <v>5.4999999999999997E-3</v>
      </c>
      <c r="G42" s="19">
        <f>27.01+1.88</f>
        <v>28.89</v>
      </c>
      <c r="H42" s="11" t="s">
        <v>72</v>
      </c>
      <c r="I42" s="20" t="s">
        <v>73</v>
      </c>
      <c r="J42" s="20" t="s">
        <v>61</v>
      </c>
      <c r="K42" s="20" t="s">
        <v>62</v>
      </c>
      <c r="L42" s="20" t="s">
        <v>63</v>
      </c>
      <c r="M42" s="11" t="s">
        <v>86</v>
      </c>
      <c r="N42" s="12">
        <v>82.028000000000006</v>
      </c>
      <c r="O42" s="12">
        <v>0.193</v>
      </c>
      <c r="P42" s="19">
        <v>0.30168074700000003</v>
      </c>
      <c r="Q42" s="11" t="s">
        <v>65</v>
      </c>
      <c r="R42" s="8" t="s">
        <v>25</v>
      </c>
      <c r="S42" s="8" t="s">
        <v>25</v>
      </c>
      <c r="T42" s="8" t="s">
        <v>25</v>
      </c>
      <c r="U42" s="8" t="s">
        <v>25</v>
      </c>
      <c r="V42" s="8" t="s">
        <v>25</v>
      </c>
      <c r="W42" s="8" t="s">
        <v>25</v>
      </c>
      <c r="X42" s="8" t="s">
        <v>25</v>
      </c>
      <c r="Y42" s="8" t="s">
        <v>25</v>
      </c>
      <c r="Z42" s="13" t="s">
        <v>25</v>
      </c>
      <c r="AA42" s="10"/>
      <c r="AB42" s="10"/>
      <c r="AC42" s="10"/>
    </row>
    <row r="43" spans="1:29" ht="14.25" customHeight="1" x14ac:dyDescent="0.3">
      <c r="A43" s="10"/>
      <c r="B43" s="10"/>
      <c r="C43" s="10"/>
      <c r="D43" s="10"/>
      <c r="E43" s="10"/>
      <c r="F43" s="10"/>
      <c r="G43" s="10"/>
      <c r="H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4.2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4.2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4.2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4.2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4.2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4.2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4.2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4.2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4.2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4.2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4.2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4.2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4.2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4.2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4.2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4.2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4.2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4.2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4.2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4.2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4.2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4.2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4.2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4.2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4.2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4.2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4.2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4.2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4.2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4.2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4.2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4.2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4.2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4.2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4.2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4.2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4.2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4.2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4.2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4.2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4.2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4.2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4.2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4.2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4.2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4.2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4.2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4.2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4.2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4.2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4.2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4.2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4.2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4.2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4.2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4.2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4.2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4.2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4.2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4.2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4.2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4.2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4.2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4.2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4.2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4.2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4.2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4.2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4.2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4.2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4.2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4.2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4.2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4.2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4.2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4.2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4.2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4.2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4.2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4.2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4.2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4.2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4.2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4.2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4.2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4.2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4.2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4.2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4.2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4.2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4.2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4.2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4.2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4.2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4.2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4.2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4.2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4.2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4.2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4.2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4.2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4.2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4.2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4.2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4.2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4.2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22"/>
  <sheetViews>
    <sheetView workbookViewId="0">
      <selection activeCell="E13" sqref="E13"/>
    </sheetView>
  </sheetViews>
  <sheetFormatPr defaultColWidth="14.44140625" defaultRowHeight="15" customHeight="1" x14ac:dyDescent="0.3"/>
  <cols>
    <col min="1" max="1" width="9.5546875" customWidth="1"/>
    <col min="2" max="2" width="26.5546875" customWidth="1"/>
    <col min="3" max="3" width="26.6640625" customWidth="1"/>
  </cols>
  <sheetData>
    <row r="1" spans="1:25" x14ac:dyDescent="0.3">
      <c r="A1" s="1" t="s">
        <v>26</v>
      </c>
      <c r="B1" s="1" t="s">
        <v>27</v>
      </c>
      <c r="C1" s="1" t="s">
        <v>28</v>
      </c>
      <c r="D1" s="1" t="s">
        <v>29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 spans="1:25" s="27" customFormat="1" x14ac:dyDescent="0.3">
      <c r="A2" s="25" t="s">
        <v>30</v>
      </c>
      <c r="B2" s="25" t="s">
        <v>125</v>
      </c>
      <c r="C2" s="25" t="s">
        <v>31</v>
      </c>
      <c r="D2" s="26">
        <v>0.96479999999999999</v>
      </c>
    </row>
    <row r="3" spans="1:25" s="27" customFormat="1" x14ac:dyDescent="0.3">
      <c r="A3" s="25" t="s">
        <v>30</v>
      </c>
      <c r="B3" s="25" t="s">
        <v>125</v>
      </c>
      <c r="C3" s="25" t="s">
        <v>32</v>
      </c>
      <c r="D3" s="26">
        <v>5.2040000000000003E-2</v>
      </c>
    </row>
    <row r="4" spans="1:25" s="27" customFormat="1" x14ac:dyDescent="0.3">
      <c r="A4" s="25" t="s">
        <v>30</v>
      </c>
      <c r="B4" s="25" t="s">
        <v>125</v>
      </c>
      <c r="C4" s="25" t="s">
        <v>33</v>
      </c>
      <c r="D4" s="26">
        <v>0.51519999999999999</v>
      </c>
    </row>
    <row r="5" spans="1:25" s="27" customFormat="1" x14ac:dyDescent="0.3">
      <c r="A5" s="25" t="s">
        <v>30</v>
      </c>
      <c r="B5" s="25" t="s">
        <v>125</v>
      </c>
      <c r="C5" s="25" t="s">
        <v>34</v>
      </c>
      <c r="D5" s="26">
        <v>0.39989999999999998</v>
      </c>
    </row>
    <row r="6" spans="1:25" s="27" customFormat="1" x14ac:dyDescent="0.3">
      <c r="A6" s="25" t="s">
        <v>30</v>
      </c>
      <c r="B6" s="25" t="s">
        <v>125</v>
      </c>
      <c r="C6" s="25" t="s">
        <v>35</v>
      </c>
      <c r="D6" s="26">
        <v>0.59540000000000004</v>
      </c>
    </row>
    <row r="7" spans="1:25" x14ac:dyDescent="0.3">
      <c r="A7" s="15" t="s">
        <v>30</v>
      </c>
      <c r="B7" s="15" t="s">
        <v>36</v>
      </c>
      <c r="C7" s="15" t="s">
        <v>35</v>
      </c>
      <c r="D7" s="17">
        <v>4.4979999999999999E-2</v>
      </c>
    </row>
    <row r="8" spans="1:25" x14ac:dyDescent="0.3">
      <c r="A8" s="15" t="s">
        <v>30</v>
      </c>
      <c r="B8" s="15" t="s">
        <v>36</v>
      </c>
      <c r="C8" s="15" t="s">
        <v>33</v>
      </c>
      <c r="D8" s="2">
        <v>0.31019999999999998</v>
      </c>
    </row>
    <row r="9" spans="1:25" x14ac:dyDescent="0.3">
      <c r="A9" s="15" t="s">
        <v>30</v>
      </c>
      <c r="B9" s="15" t="s">
        <v>36</v>
      </c>
      <c r="C9" s="15" t="s">
        <v>31</v>
      </c>
      <c r="D9" s="17">
        <v>4.9719999999999999E-3</v>
      </c>
    </row>
    <row r="10" spans="1:25" x14ac:dyDescent="0.3">
      <c r="A10" s="15" t="s">
        <v>30</v>
      </c>
      <c r="B10" s="15" t="s">
        <v>36</v>
      </c>
      <c r="C10" s="15" t="s">
        <v>32</v>
      </c>
      <c r="D10" s="17">
        <v>2.4510000000000001E-2</v>
      </c>
    </row>
    <row r="11" spans="1:25" x14ac:dyDescent="0.3">
      <c r="A11" s="15" t="s">
        <v>30</v>
      </c>
      <c r="B11" s="15" t="s">
        <v>36</v>
      </c>
      <c r="C11" s="15" t="s">
        <v>34</v>
      </c>
      <c r="D11" s="2">
        <v>0.38159999999999999</v>
      </c>
    </row>
    <row r="12" spans="1:25" x14ac:dyDescent="0.3">
      <c r="A12" s="15" t="s">
        <v>30</v>
      </c>
      <c r="B12" s="15" t="s">
        <v>37</v>
      </c>
      <c r="C12" s="15" t="s">
        <v>32</v>
      </c>
      <c r="D12" s="2">
        <v>7.6090000000000005E-2</v>
      </c>
    </row>
    <row r="13" spans="1:25" x14ac:dyDescent="0.3">
      <c r="A13" s="15" t="s">
        <v>30</v>
      </c>
      <c r="B13" s="15" t="s">
        <v>37</v>
      </c>
      <c r="C13" s="15" t="s">
        <v>31</v>
      </c>
      <c r="D13" s="2">
        <v>0.84060000000000001</v>
      </c>
    </row>
    <row r="14" spans="1:25" x14ac:dyDescent="0.3">
      <c r="A14" s="15" t="s">
        <v>30</v>
      </c>
      <c r="B14" s="15" t="s">
        <v>37</v>
      </c>
      <c r="C14" s="15" t="s">
        <v>34</v>
      </c>
      <c r="D14" s="2">
        <v>0.31950000000000001</v>
      </c>
    </row>
    <row r="15" spans="1:25" x14ac:dyDescent="0.3">
      <c r="A15" s="15" t="s">
        <v>30</v>
      </c>
      <c r="B15" s="15" t="s">
        <v>37</v>
      </c>
      <c r="C15" s="15" t="s">
        <v>33</v>
      </c>
      <c r="D15" s="2">
        <v>0.43109999999999998</v>
      </c>
    </row>
    <row r="16" spans="1:25" x14ac:dyDescent="0.3">
      <c r="A16" s="16" t="s">
        <v>30</v>
      </c>
      <c r="B16" s="16" t="s">
        <v>37</v>
      </c>
      <c r="C16" s="16" t="s">
        <v>35</v>
      </c>
      <c r="D16" s="3">
        <v>0.8175</v>
      </c>
    </row>
    <row r="17" spans="1:4" x14ac:dyDescent="0.3">
      <c r="A17" s="15" t="s">
        <v>38</v>
      </c>
      <c r="B17" s="15" t="s">
        <v>39</v>
      </c>
      <c r="C17" s="15" t="s">
        <v>40</v>
      </c>
      <c r="D17" s="15">
        <v>0.63039999999999996</v>
      </c>
    </row>
    <row r="18" spans="1:4" x14ac:dyDescent="0.3">
      <c r="A18" s="15" t="s">
        <v>38</v>
      </c>
      <c r="B18" s="15" t="s">
        <v>39</v>
      </c>
      <c r="C18" s="15" t="s">
        <v>0</v>
      </c>
      <c r="D18" s="2">
        <v>0.67130000000000001</v>
      </c>
    </row>
    <row r="19" spans="1:4" x14ac:dyDescent="0.3">
      <c r="A19" s="15" t="s">
        <v>38</v>
      </c>
      <c r="B19" s="15" t="s">
        <v>39</v>
      </c>
      <c r="C19" s="15" t="s">
        <v>35</v>
      </c>
      <c r="D19" s="2">
        <v>0.15179999999999999</v>
      </c>
    </row>
    <row r="20" spans="1:4" x14ac:dyDescent="0.3">
      <c r="A20" s="15" t="s">
        <v>38</v>
      </c>
      <c r="B20" s="15" t="s">
        <v>39</v>
      </c>
      <c r="C20" s="15" t="s">
        <v>2</v>
      </c>
      <c r="D20" s="2">
        <v>0.98499999999999999</v>
      </c>
    </row>
    <row r="21" spans="1:4" x14ac:dyDescent="0.3">
      <c r="A21" s="15" t="s">
        <v>38</v>
      </c>
      <c r="B21" s="15" t="s">
        <v>39</v>
      </c>
      <c r="C21" s="15" t="s">
        <v>32</v>
      </c>
      <c r="D21" s="2">
        <v>0.72529999999999994</v>
      </c>
    </row>
    <row r="22" spans="1:4" x14ac:dyDescent="0.3">
      <c r="A22" s="15" t="s">
        <v>38</v>
      </c>
      <c r="B22" s="15" t="s">
        <v>39</v>
      </c>
      <c r="C22" s="15" t="s">
        <v>31</v>
      </c>
      <c r="D22" s="2">
        <v>0.52149999999999996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</vt:lpstr>
      <vt:lpstr>Table_S2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Keeffe</dc:creator>
  <cp:lastModifiedBy>Rachel Keeffe</cp:lastModifiedBy>
  <dcterms:created xsi:type="dcterms:W3CDTF">2023-10-16T19:10:26Z</dcterms:created>
  <dcterms:modified xsi:type="dcterms:W3CDTF">2025-06-30T16:21:30Z</dcterms:modified>
</cp:coreProperties>
</file>