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Vaste verhouding" sheetId="1" r:id="rId1"/>
    <sheet name="Vrij" sheetId="4" r:id="rId2"/>
    <sheet name="Test" sheetId="5" r:id="rId3"/>
  </sheets>
  <definedNames>
    <definedName name="solver_adj" localSheetId="2" hidden="1">Test!$G$3:$G$7,Test!$E$22:$E$26</definedName>
    <definedName name="solver_adj" localSheetId="0" hidden="1">'Vaste verhouding'!$G$3:$G$5,'Vaste verhouding'!$E$20:$E$22</definedName>
    <definedName name="solver_adj" localSheetId="1" hidden="1">Vrij!$H$3:$H$5,Vrij!$E$20:$E$22,Vrij!$C$3:$C$5</definedName>
    <definedName name="solver_cvg" localSheetId="2" hidden="1">0.0001</definedName>
    <definedName name="solver_cvg" localSheetId="0" hidden="1">0.0001</definedName>
    <definedName name="solver_cvg" localSheetId="1" hidden="1">0.0001</definedName>
    <definedName name="solver_drv" localSheetId="2" hidden="1">1</definedName>
    <definedName name="solver_drv" localSheetId="0" hidden="1">1</definedName>
    <definedName name="solver_drv" localSheetId="1" hidden="1">1</definedName>
    <definedName name="solver_eng" localSheetId="2" hidden="1">1</definedName>
    <definedName name="solver_eng" localSheetId="0" hidden="1">1</definedName>
    <definedName name="solver_eng" localSheetId="1" hidden="1">1</definedName>
    <definedName name="solver_est" localSheetId="2" hidden="1">1</definedName>
    <definedName name="solver_est" localSheetId="0" hidden="1">1</definedName>
    <definedName name="solver_est" localSheetId="1" hidden="1">1</definedName>
    <definedName name="solver_itr" localSheetId="2" hidden="1">2147483647</definedName>
    <definedName name="solver_itr" localSheetId="0" hidden="1">2147483647</definedName>
    <definedName name="solver_itr" localSheetId="1" hidden="1">2147483647</definedName>
    <definedName name="solver_lhs1" localSheetId="2" hidden="1">Test!$A$30</definedName>
    <definedName name="solver_lhs1" localSheetId="0" hidden="1">'Vaste verhouding'!$A$26</definedName>
    <definedName name="solver_lhs1" localSheetId="1" hidden="1">Vrij!$A$26</definedName>
    <definedName name="solver_lhs2" localSheetId="2" hidden="1">Test!$E$22:$E$26</definedName>
    <definedName name="solver_lhs2" localSheetId="0" hidden="1">'Vaste verhouding'!$E$20:$E$22</definedName>
    <definedName name="solver_lhs2" localSheetId="1" hidden="1">Vrij!$C$3</definedName>
    <definedName name="solver_lhs3" localSheetId="2" hidden="1">Test!$E$27</definedName>
    <definedName name="solver_lhs3" localSheetId="0" hidden="1">'Vaste verhouding'!$E$23</definedName>
    <definedName name="solver_lhs3" localSheetId="1" hidden="1">Vrij!$C$4</definedName>
    <definedName name="solver_lhs4" localSheetId="1" hidden="1">Vrij!$C$5</definedName>
    <definedName name="solver_lhs5" localSheetId="1" hidden="1">Vrij!$C$6</definedName>
    <definedName name="solver_lhs6" localSheetId="1" hidden="1">Vrij!$E$20:$E$22</definedName>
    <definedName name="solver_lhs7" localSheetId="1" hidden="1">Vrij!$E$23</definedName>
    <definedName name="solver_mip" localSheetId="2" hidden="1">2147483647</definedName>
    <definedName name="solver_mip" localSheetId="0" hidden="1">2147483647</definedName>
    <definedName name="solver_mip" localSheetId="1" hidden="1">2147483647</definedName>
    <definedName name="solver_mni" localSheetId="2" hidden="1">30</definedName>
    <definedName name="solver_mni" localSheetId="0" hidden="1">30</definedName>
    <definedName name="solver_mni" localSheetId="1" hidden="1">30</definedName>
    <definedName name="solver_mrt" localSheetId="2" hidden="1">0.075</definedName>
    <definedName name="solver_mrt" localSheetId="0" hidden="1">0.075</definedName>
    <definedName name="solver_mrt" localSheetId="1" hidden="1">0.075</definedName>
    <definedName name="solver_msl" localSheetId="2" hidden="1">2</definedName>
    <definedName name="solver_msl" localSheetId="0" hidden="1">2</definedName>
    <definedName name="solver_msl" localSheetId="1" hidden="1">2</definedName>
    <definedName name="solver_neg" localSheetId="2" hidden="1">1</definedName>
    <definedName name="solver_neg" localSheetId="0" hidden="1">1</definedName>
    <definedName name="solver_neg" localSheetId="1" hidden="1">1</definedName>
    <definedName name="solver_nod" localSheetId="2" hidden="1">2147483647</definedName>
    <definedName name="solver_nod" localSheetId="0" hidden="1">2147483647</definedName>
    <definedName name="solver_nod" localSheetId="1" hidden="1">2147483647</definedName>
    <definedName name="solver_num" localSheetId="2" hidden="1">3</definedName>
    <definedName name="solver_num" localSheetId="0" hidden="1">3</definedName>
    <definedName name="solver_num" localSheetId="1" hidden="1">7</definedName>
    <definedName name="solver_nwt" localSheetId="2" hidden="1">1</definedName>
    <definedName name="solver_nwt" localSheetId="0" hidden="1">1</definedName>
    <definedName name="solver_nwt" localSheetId="1" hidden="1">1</definedName>
    <definedName name="solver_opt" localSheetId="2" hidden="1">Test!$C$17</definedName>
    <definedName name="solver_opt" localSheetId="0" hidden="1">'Vaste verhouding'!$C$15</definedName>
    <definedName name="solver_opt" localSheetId="1" hidden="1">Vrij!$C$15</definedName>
    <definedName name="solver_pre" localSheetId="2" hidden="1">0.000001</definedName>
    <definedName name="solver_pre" localSheetId="0" hidden="1">0.000001</definedName>
    <definedName name="solver_pre" localSheetId="1" hidden="1">0.000001</definedName>
    <definedName name="solver_rbv" localSheetId="2" hidden="1">1</definedName>
    <definedName name="solver_rbv" localSheetId="0" hidden="1">1</definedName>
    <definedName name="solver_rbv" localSheetId="1" hidden="1">1</definedName>
    <definedName name="solver_rel1" localSheetId="2" hidden="1">2</definedName>
    <definedName name="solver_rel1" localSheetId="0" hidden="1">2</definedName>
    <definedName name="solver_rel1" localSheetId="1" hidden="1">2</definedName>
    <definedName name="solver_rel2" localSheetId="2" hidden="1">5</definedName>
    <definedName name="solver_rel2" localSheetId="0" hidden="1">5</definedName>
    <definedName name="solver_rel2" localSheetId="1" hidden="1">3</definedName>
    <definedName name="solver_rel3" localSheetId="2" hidden="1">2</definedName>
    <definedName name="solver_rel3" localSheetId="0" hidden="1">2</definedName>
    <definedName name="solver_rel3" localSheetId="1" hidden="1">3</definedName>
    <definedName name="solver_rel4" localSheetId="1" hidden="1">3</definedName>
    <definedName name="solver_rel5" localSheetId="1" hidden="1">2</definedName>
    <definedName name="solver_rel6" localSheetId="1" hidden="1">5</definedName>
    <definedName name="solver_rel7" localSheetId="1" hidden="1">2</definedName>
    <definedName name="solver_rhs1" localSheetId="2" hidden="1">Test!$D$30</definedName>
    <definedName name="solver_rhs1" localSheetId="0" hidden="1">'Vaste verhouding'!$D$26</definedName>
    <definedName name="solver_rhs1" localSheetId="1" hidden="1">Vrij!$D$26</definedName>
    <definedName name="solver_rhs2" localSheetId="2" hidden="1">binair</definedName>
    <definedName name="solver_rhs2" localSheetId="0" hidden="1">binair</definedName>
    <definedName name="solver_rhs2" localSheetId="1" hidden="1">0</definedName>
    <definedName name="solver_rhs3" localSheetId="2" hidden="1">1</definedName>
    <definedName name="solver_rhs3" localSheetId="0" hidden="1">1</definedName>
    <definedName name="solver_rhs3" localSheetId="1" hidden="1">0</definedName>
    <definedName name="solver_rhs4" localSheetId="1" hidden="1">0</definedName>
    <definedName name="solver_rhs5" localSheetId="1" hidden="1">1</definedName>
    <definedName name="solver_rhs6" localSheetId="1" hidden="1">binair</definedName>
    <definedName name="solver_rhs7" localSheetId="1" hidden="1">1</definedName>
    <definedName name="solver_rlx" localSheetId="2" hidden="1">2</definedName>
    <definedName name="solver_rlx" localSheetId="0" hidden="1">2</definedName>
    <definedName name="solver_rlx" localSheetId="1" hidden="1">2</definedName>
    <definedName name="solver_rsd" localSheetId="2" hidden="1">0</definedName>
    <definedName name="solver_rsd" localSheetId="0" hidden="1">0</definedName>
    <definedName name="solver_rsd" localSheetId="1" hidden="1">0</definedName>
    <definedName name="solver_scl" localSheetId="2" hidden="1">1</definedName>
    <definedName name="solver_scl" localSheetId="0" hidden="1">1</definedName>
    <definedName name="solver_scl" localSheetId="1" hidden="1">1</definedName>
    <definedName name="solver_sho" localSheetId="2" hidden="1">2</definedName>
    <definedName name="solver_sho" localSheetId="0" hidden="1">2</definedName>
    <definedName name="solver_sho" localSheetId="1" hidden="1">2</definedName>
    <definedName name="solver_ssz" localSheetId="2" hidden="1">100</definedName>
    <definedName name="solver_ssz" localSheetId="0" hidden="1">100</definedName>
    <definedName name="solver_ssz" localSheetId="1" hidden="1">100</definedName>
    <definedName name="solver_tim" localSheetId="2" hidden="1">2147483647</definedName>
    <definedName name="solver_tim" localSheetId="0" hidden="1">2147483647</definedName>
    <definedName name="solver_tim" localSheetId="1" hidden="1">2147483647</definedName>
    <definedName name="solver_tol" localSheetId="2" hidden="1">0.01</definedName>
    <definedName name="solver_tol" localSheetId="0" hidden="1">0.01</definedName>
    <definedName name="solver_tol" localSheetId="1" hidden="1">0.01</definedName>
    <definedName name="solver_typ" localSheetId="2" hidden="1">1</definedName>
    <definedName name="solver_typ" localSheetId="0" hidden="1">1</definedName>
    <definedName name="solver_typ" localSheetId="1" hidden="1">1</definedName>
    <definedName name="solver_val" localSheetId="2" hidden="1">0</definedName>
    <definedName name="solver_val" localSheetId="0" hidden="1">0</definedName>
    <definedName name="solver_val" localSheetId="1" hidden="1">0</definedName>
    <definedName name="solver_ver" localSheetId="2" hidden="1">3</definedName>
    <definedName name="solver_ver" localSheetId="0" hidden="1">3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C24" i="5" l="1"/>
  <c r="C25" i="5"/>
  <c r="D24" i="5"/>
  <c r="D25" i="5"/>
  <c r="F6" i="5"/>
  <c r="C17" i="5"/>
  <c r="F5" i="5"/>
  <c r="E27" i="5"/>
  <c r="D26" i="5"/>
  <c r="C26" i="5"/>
  <c r="D23" i="5"/>
  <c r="C23" i="5"/>
  <c r="D22" i="5"/>
  <c r="C22" i="5"/>
  <c r="M17" i="5"/>
  <c r="M16" i="5"/>
  <c r="M15" i="5"/>
  <c r="C11" i="5"/>
  <c r="F7" i="5"/>
  <c r="F4" i="5"/>
  <c r="B4" i="5"/>
  <c r="F3" i="5"/>
  <c r="B3" i="5"/>
  <c r="A30" i="5" l="1"/>
  <c r="C12" i="5"/>
  <c r="C14" i="5" s="1"/>
  <c r="D30" i="5" s="1"/>
  <c r="C18" i="5"/>
  <c r="D13" i="5"/>
  <c r="D21" i="4"/>
  <c r="D22" i="4"/>
  <c r="D20" i="4"/>
  <c r="C21" i="4"/>
  <c r="C22" i="4"/>
  <c r="C20" i="4"/>
  <c r="D21" i="1"/>
  <c r="D22" i="1"/>
  <c r="D20" i="1"/>
  <c r="C20" i="1"/>
  <c r="C21" i="1"/>
  <c r="C22" i="1"/>
  <c r="P14" i="4" l="1"/>
  <c r="P15" i="4"/>
  <c r="P13" i="4"/>
  <c r="M14" i="1"/>
  <c r="M15" i="1"/>
  <c r="M13" i="1"/>
  <c r="C6" i="4"/>
  <c r="B5" i="4"/>
  <c r="B4" i="4"/>
  <c r="B3" i="4"/>
  <c r="E23" i="4"/>
  <c r="D11" i="4"/>
  <c r="C9" i="4"/>
  <c r="G5" i="4"/>
  <c r="G4" i="4"/>
  <c r="G3" i="4"/>
  <c r="F5" i="1"/>
  <c r="F4" i="1"/>
  <c r="F3" i="1"/>
  <c r="E23" i="1"/>
  <c r="D11" i="1"/>
  <c r="C9" i="1"/>
  <c r="B5" i="1"/>
  <c r="B4" i="1"/>
  <c r="B3" i="1"/>
  <c r="C15" i="1" l="1"/>
  <c r="C16" i="1" s="1"/>
  <c r="C10" i="1"/>
  <c r="C12" i="1" s="1"/>
  <c r="D26" i="1" s="1"/>
  <c r="C15" i="4"/>
  <c r="C16" i="4" s="1"/>
  <c r="A26" i="4"/>
  <c r="C10" i="4"/>
  <c r="C12" i="4" s="1"/>
  <c r="D26" i="4" s="1"/>
  <c r="A26" i="1"/>
</calcChain>
</file>

<file path=xl/sharedStrings.xml><?xml version="1.0" encoding="utf-8"?>
<sst xmlns="http://schemas.openxmlformats.org/spreadsheetml/2006/main" count="129" uniqueCount="45">
  <si>
    <t>Tot huizen</t>
  </si>
  <si>
    <t>Eengez</t>
  </si>
  <si>
    <t>Bung</t>
  </si>
  <si>
    <t>Maisons</t>
  </si>
  <si>
    <t>#</t>
  </si>
  <si>
    <t>Breedte</t>
  </si>
  <si>
    <t>Diepte</t>
  </si>
  <si>
    <t>Waarde extra m vrijstand</t>
  </si>
  <si>
    <t>Totale oppervlakte</t>
  </si>
  <si>
    <t>Totale opp water</t>
  </si>
  <si>
    <t>Totaal te verdelen</t>
  </si>
  <si>
    <t>Beslissingsvariavelen</t>
  </si>
  <si>
    <t>Voorwaarden</t>
  </si>
  <si>
    <t>Totale extra winst</t>
  </si>
  <si>
    <t>Doelfunctie --&gt; max</t>
  </si>
  <si>
    <t>m2 van 1 maison</t>
  </si>
  <si>
    <t>m2 van 1 bung</t>
  </si>
  <si>
    <t>m2 van 1 eengez</t>
  </si>
  <si>
    <t>onderschat m2 --&gt; overschat winst</t>
  </si>
  <si>
    <t>midden</t>
  </si>
  <si>
    <t>Min vrijstand</t>
  </si>
  <si>
    <t>Totale opp huizen (incl min vrijstand)</t>
  </si>
  <si>
    <t>Totaal m2 verdeelt</t>
  </si>
  <si>
    <t>=</t>
  </si>
  <si>
    <t>IS BEGIN</t>
  </si>
  <si>
    <t>begin</t>
  </si>
  <si>
    <t>maar dit telt als vrije ruimte</t>
  </si>
  <si>
    <t>waarde</t>
  </si>
  <si>
    <t>Totale winst</t>
  </si>
  <si>
    <t>Overzicht</t>
  </si>
  <si>
    <t>20 huizen</t>
  </si>
  <si>
    <t>60 huizen</t>
  </si>
  <si>
    <t>40 huizen</t>
  </si>
  <si>
    <t>Extra winst</t>
  </si>
  <si>
    <t>PERCENTAGE</t>
  </si>
  <si>
    <t>eeng</t>
  </si>
  <si>
    <t>bung</t>
  </si>
  <si>
    <t>Fractie</t>
  </si>
  <si>
    <t>Upper bound</t>
  </si>
  <si>
    <t>Lower bound</t>
  </si>
  <si>
    <t>maisons</t>
  </si>
  <si>
    <t>m EXTRA vrijstand</t>
  </si>
  <si>
    <t>m2 van maison 3</t>
  </si>
  <si>
    <t>m2 van maison 1</t>
  </si>
  <si>
    <t>m2 van maison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</si>
</sst>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€&quot;\ * #,##0.00_ ;_ &quot;€&quot;\ * \-#,##0.00_ ;_ &quot;€&quot;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 quotePrefix="1"/>
    <xf numFmtId="0" fontId="0" fillId="0" borderId="0" xfId="0" applyFill="1"/>
    <xf numFmtId="44" fontId="0" fillId="2" borderId="0" xfId="1" applyFont="1" applyFill="1"/>
    <xf numFmtId="0" fontId="3" fillId="0" borderId="0" xfId="0" applyFont="1"/>
    <xf numFmtId="44" fontId="0" fillId="0" borderId="0" xfId="0" applyNumberFormat="1"/>
    <xf numFmtId="0" fontId="2" fillId="3" borderId="0" xfId="0" applyFont="1" applyFill="1"/>
    <xf numFmtId="0" fontId="0" fillId="3" borderId="0" xfId="0" applyFill="1"/>
    <xf numFmtId="0" fontId="3" fillId="3" borderId="0" xfId="0" applyFont="1" applyFill="1"/>
    <xf numFmtId="44" fontId="0" fillId="3" borderId="0" xfId="1" applyFont="1" applyFill="1"/>
    <xf numFmtId="44" fontId="0" fillId="3" borderId="0" xfId="0" applyNumberFormat="1" applyFill="1"/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B7" sqref="B7"/>
    </sheetView>
  </sheetViews>
  <sheetFormatPr defaultRowHeight="14.4" x14ac:dyDescent="0.3"/>
  <cols>
    <col min="1" max="1" width="9.44140625" bestFit="1" customWidth="1"/>
    <col min="3" max="3" width="15.44140625" customWidth="1"/>
    <col min="5" max="5" width="11.77734375" bestFit="1" customWidth="1"/>
    <col min="6" max="6" width="21.77734375" bestFit="1" customWidth="1"/>
    <col min="7" max="7" width="18" bestFit="1" customWidth="1"/>
    <col min="11" max="13" width="15" bestFit="1" customWidth="1"/>
  </cols>
  <sheetData>
    <row r="1" spans="1:13" x14ac:dyDescent="0.3">
      <c r="G1" s="2" t="s">
        <v>11</v>
      </c>
    </row>
    <row r="2" spans="1:13" x14ac:dyDescent="0.3">
      <c r="B2" t="s">
        <v>4</v>
      </c>
      <c r="C2" t="s">
        <v>5</v>
      </c>
      <c r="D2" t="s">
        <v>6</v>
      </c>
      <c r="E2" t="s">
        <v>20</v>
      </c>
      <c r="F2" t="s">
        <v>7</v>
      </c>
      <c r="G2" s="2" t="s">
        <v>41</v>
      </c>
      <c r="H2" t="s">
        <v>27</v>
      </c>
    </row>
    <row r="3" spans="1:13" x14ac:dyDescent="0.3">
      <c r="A3" t="s">
        <v>1</v>
      </c>
      <c r="B3">
        <f>0.6*B6</f>
        <v>36</v>
      </c>
      <c r="C3">
        <v>8</v>
      </c>
      <c r="D3">
        <v>8</v>
      </c>
      <c r="E3">
        <v>2</v>
      </c>
      <c r="F3">
        <f>0.03*H3</f>
        <v>8550</v>
      </c>
      <c r="G3" s="2">
        <v>0.51395689818104784</v>
      </c>
      <c r="H3">
        <v>285000</v>
      </c>
    </row>
    <row r="4" spans="1:13" x14ac:dyDescent="0.3">
      <c r="A4" t="s">
        <v>2</v>
      </c>
      <c r="B4">
        <f>0.25*B6</f>
        <v>15</v>
      </c>
      <c r="C4">
        <v>10</v>
      </c>
      <c r="D4">
        <v>7.5</v>
      </c>
      <c r="E4">
        <v>3</v>
      </c>
      <c r="F4">
        <f>0.04*H4</f>
        <v>15960</v>
      </c>
      <c r="G4" s="2">
        <v>8.2124092480508395</v>
      </c>
      <c r="H4">
        <v>399000</v>
      </c>
    </row>
    <row r="5" spans="1:13" x14ac:dyDescent="0.3">
      <c r="A5" t="s">
        <v>3</v>
      </c>
      <c r="B5">
        <f>0.15*B6</f>
        <v>9</v>
      </c>
      <c r="C5">
        <v>11</v>
      </c>
      <c r="D5">
        <v>10.5</v>
      </c>
      <c r="E5">
        <v>6</v>
      </c>
      <c r="F5">
        <f>0.06*H5</f>
        <v>36600</v>
      </c>
      <c r="G5" s="2">
        <v>29.027938150025541</v>
      </c>
      <c r="H5">
        <v>610000</v>
      </c>
    </row>
    <row r="6" spans="1:13" x14ac:dyDescent="0.3">
      <c r="A6" s="6" t="s">
        <v>0</v>
      </c>
      <c r="B6" s="6">
        <v>60</v>
      </c>
    </row>
    <row r="9" spans="1:13" x14ac:dyDescent="0.3">
      <c r="A9" t="s">
        <v>8</v>
      </c>
      <c r="C9">
        <f>180*160</f>
        <v>28800</v>
      </c>
    </row>
    <row r="10" spans="1:13" x14ac:dyDescent="0.3">
      <c r="A10" t="s">
        <v>21</v>
      </c>
      <c r="C10">
        <f>SUMPRODUCT(B3:B5,C3:C5+E3:E5,D3:D5+E3:E5)</f>
        <v>8172</v>
      </c>
      <c r="J10" s="8" t="s">
        <v>29</v>
      </c>
      <c r="K10" s="9"/>
      <c r="L10" s="9"/>
      <c r="M10" s="9"/>
    </row>
    <row r="11" spans="1:13" x14ac:dyDescent="0.3">
      <c r="A11" t="s">
        <v>9</v>
      </c>
      <c r="C11">
        <v>0</v>
      </c>
      <c r="D11">
        <f>0.2*C9</f>
        <v>5760</v>
      </c>
      <c r="E11" t="s">
        <v>26</v>
      </c>
      <c r="J11" s="9"/>
      <c r="K11" s="13" t="s">
        <v>38</v>
      </c>
      <c r="L11" s="13"/>
      <c r="M11" s="10" t="s">
        <v>39</v>
      </c>
    </row>
    <row r="12" spans="1:13" x14ac:dyDescent="0.3">
      <c r="A12" s="1" t="s">
        <v>10</v>
      </c>
      <c r="B12" s="1"/>
      <c r="C12" s="1">
        <f>C9-C10-C11</f>
        <v>20628</v>
      </c>
      <c r="J12" s="9"/>
      <c r="K12" s="9" t="s">
        <v>33</v>
      </c>
      <c r="L12" s="9" t="s">
        <v>28</v>
      </c>
      <c r="M12" s="9"/>
    </row>
    <row r="13" spans="1:13" x14ac:dyDescent="0.3">
      <c r="J13" s="9" t="s">
        <v>30</v>
      </c>
      <c r="K13" s="11">
        <v>9492145.1789900512</v>
      </c>
      <c r="L13" s="11">
        <v>16737145.178990051</v>
      </c>
      <c r="M13" s="12">
        <f>L13-K13</f>
        <v>7245000</v>
      </c>
    </row>
    <row r="14" spans="1:13" x14ac:dyDescent="0.3">
      <c r="A14" s="2" t="s">
        <v>14</v>
      </c>
      <c r="B14" s="2"/>
      <c r="C14" s="2"/>
      <c r="J14" s="9" t="s">
        <v>32</v>
      </c>
      <c r="K14" s="11">
        <v>11236621.108188428</v>
      </c>
      <c r="L14" s="11">
        <v>25726621.108188428</v>
      </c>
      <c r="M14" s="12">
        <f t="shared" ref="M14:M15" si="0">L14-K14</f>
        <v>14490000</v>
      </c>
    </row>
    <row r="15" spans="1:13" x14ac:dyDescent="0.3">
      <c r="A15" s="2" t="s">
        <v>13</v>
      </c>
      <c r="B15" s="2"/>
      <c r="C15" s="5">
        <f>SUMPRODUCT(B3:B5,F3:F5,G3:G5)</f>
        <v>11686049.533861909</v>
      </c>
      <c r="J15" s="9" t="s">
        <v>31</v>
      </c>
      <c r="K15" s="11">
        <v>11686049.463199079</v>
      </c>
      <c r="L15" s="11">
        <v>33421049.463199079</v>
      </c>
      <c r="M15" s="12">
        <f t="shared" si="0"/>
        <v>21735000</v>
      </c>
    </row>
    <row r="16" spans="1:13" x14ac:dyDescent="0.3">
      <c r="A16" t="s">
        <v>28</v>
      </c>
      <c r="C16" s="7">
        <f>SUMPRODUCT(B3:B5,H3:H5)+C15</f>
        <v>33421049.533861909</v>
      </c>
    </row>
    <row r="18" spans="1:6" x14ac:dyDescent="0.3">
      <c r="A18" s="1" t="s">
        <v>12</v>
      </c>
      <c r="C18" t="s">
        <v>18</v>
      </c>
    </row>
    <row r="19" spans="1:6" x14ac:dyDescent="0.3">
      <c r="C19" t="s">
        <v>19</v>
      </c>
      <c r="D19" t="s">
        <v>25</v>
      </c>
      <c r="E19" s="2" t="s">
        <v>24</v>
      </c>
      <c r="F19" s="4"/>
    </row>
    <row r="20" spans="1:6" x14ac:dyDescent="0.3">
      <c r="A20" t="s">
        <v>17</v>
      </c>
      <c r="C20">
        <f>(C3+E3+G3)*(D3+E3+G3)-(C3+E3)*(D3+E3)</f>
        <v>10.543289656808852</v>
      </c>
      <c r="D20">
        <f>(C3+E3+G3)*(D3+2*E3+2*G3)-(C3+E3)*(D3+2*E3)</f>
        <v>16.974924128169306</v>
      </c>
      <c r="E20" s="2">
        <v>1</v>
      </c>
      <c r="F20" s="4"/>
    </row>
    <row r="21" spans="1:6" x14ac:dyDescent="0.3">
      <c r="A21" t="s">
        <v>16</v>
      </c>
      <c r="C21">
        <f t="shared" ref="C21:C22" si="1">(C4+E4+G4)*(D4+E4+G4)-(C4+E4)*(D4+E4)</f>
        <v>260.4352829866657</v>
      </c>
      <c r="D21">
        <f t="shared" ref="D21:D22" si="2">(C4+E4+G4)*(D4+2*E4+2*G4)-(C4+E4)*(D4+2*E4)</f>
        <v>459.27749661295002</v>
      </c>
      <c r="E21" s="2">
        <v>0</v>
      </c>
      <c r="F21" s="4"/>
    </row>
    <row r="22" spans="1:6" x14ac:dyDescent="0.3">
      <c r="A22" t="s">
        <v>15</v>
      </c>
      <c r="C22">
        <f t="shared" si="1"/>
        <v>1815.0571212675641</v>
      </c>
      <c r="D22">
        <f t="shared" si="2"/>
        <v>3325.3208919598596</v>
      </c>
      <c r="E22" s="2">
        <v>0</v>
      </c>
      <c r="F22" s="4"/>
    </row>
    <row r="23" spans="1:6" x14ac:dyDescent="0.3">
      <c r="E23">
        <f>SUM(E20:E22)</f>
        <v>1</v>
      </c>
    </row>
    <row r="25" spans="1:6" x14ac:dyDescent="0.3">
      <c r="A25" t="s">
        <v>22</v>
      </c>
      <c r="C25" s="3" t="s">
        <v>23</v>
      </c>
      <c r="D25" t="s">
        <v>10</v>
      </c>
    </row>
    <row r="26" spans="1:6" x14ac:dyDescent="0.3">
      <c r="A26">
        <f>(B3-E20)*C20+(B4-E21)*C21+(B5-E22)*C22+E20*D20+E21*D21+E22*D22</f>
        <v>20628.03339832454</v>
      </c>
      <c r="C26" s="3" t="s">
        <v>23</v>
      </c>
      <c r="D26">
        <f>C12</f>
        <v>20628</v>
      </c>
    </row>
  </sheetData>
  <mergeCells count="1">
    <mergeCell ref="K11:L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H3" sqref="H3"/>
    </sheetView>
  </sheetViews>
  <sheetFormatPr defaultRowHeight="14.4" x14ac:dyDescent="0.3"/>
  <cols>
    <col min="1" max="1" width="9.44140625" bestFit="1" customWidth="1"/>
    <col min="3" max="3" width="15.44140625" customWidth="1"/>
    <col min="5" max="5" width="11.77734375" bestFit="1" customWidth="1"/>
    <col min="6" max="6" width="21.77734375" bestFit="1" customWidth="1"/>
    <col min="7" max="8" width="18" bestFit="1" customWidth="1"/>
    <col min="11" max="12" width="15" bestFit="1" customWidth="1"/>
    <col min="16" max="16" width="15" bestFit="1" customWidth="1"/>
  </cols>
  <sheetData>
    <row r="1" spans="1:16" x14ac:dyDescent="0.3">
      <c r="H1" s="2" t="s">
        <v>11</v>
      </c>
    </row>
    <row r="2" spans="1:16" x14ac:dyDescent="0.3">
      <c r="B2" t="s">
        <v>4</v>
      </c>
      <c r="C2" s="2" t="s">
        <v>34</v>
      </c>
      <c r="D2" t="s">
        <v>5</v>
      </c>
      <c r="E2" t="s">
        <v>6</v>
      </c>
      <c r="F2" t="s">
        <v>20</v>
      </c>
      <c r="G2" t="s">
        <v>7</v>
      </c>
      <c r="H2" s="2" t="s">
        <v>41</v>
      </c>
      <c r="I2" t="s">
        <v>27</v>
      </c>
    </row>
    <row r="3" spans="1:16" x14ac:dyDescent="0.3">
      <c r="A3" t="s">
        <v>1</v>
      </c>
      <c r="B3">
        <f>C3*B6</f>
        <v>31.864304460589029</v>
      </c>
      <c r="C3" s="2">
        <v>0.53107174100981713</v>
      </c>
      <c r="D3">
        <v>8</v>
      </c>
      <c r="E3">
        <v>8</v>
      </c>
      <c r="F3">
        <v>2</v>
      </c>
      <c r="G3">
        <f>0.03*I3</f>
        <v>8550</v>
      </c>
      <c r="H3" s="2">
        <v>0</v>
      </c>
      <c r="I3">
        <v>285000</v>
      </c>
    </row>
    <row r="4" spans="1:16" x14ac:dyDescent="0.3">
      <c r="A4" t="s">
        <v>2</v>
      </c>
      <c r="B4">
        <f>C4*B6</f>
        <v>0</v>
      </c>
      <c r="C4" s="2">
        <v>0</v>
      </c>
      <c r="D4">
        <v>10</v>
      </c>
      <c r="E4">
        <v>7.5</v>
      </c>
      <c r="F4">
        <v>3</v>
      </c>
      <c r="G4">
        <f>0.04*I4</f>
        <v>15960</v>
      </c>
      <c r="H4" s="2">
        <v>0.34495644935737435</v>
      </c>
      <c r="I4">
        <v>399000</v>
      </c>
    </row>
    <row r="5" spans="1:16" x14ac:dyDescent="0.3">
      <c r="A5" t="s">
        <v>3</v>
      </c>
      <c r="B5">
        <f>C5*B6</f>
        <v>28.135695539410971</v>
      </c>
      <c r="C5" s="2">
        <v>0.46892825899018287</v>
      </c>
      <c r="D5">
        <v>11</v>
      </c>
      <c r="E5">
        <v>10.5</v>
      </c>
      <c r="F5">
        <v>6</v>
      </c>
      <c r="G5">
        <f>0.06*I5</f>
        <v>36600</v>
      </c>
      <c r="H5" s="2">
        <v>13.423180795805798</v>
      </c>
      <c r="I5">
        <v>610000</v>
      </c>
    </row>
    <row r="6" spans="1:16" x14ac:dyDescent="0.3">
      <c r="A6" s="6" t="s">
        <v>0</v>
      </c>
      <c r="B6" s="6">
        <v>60</v>
      </c>
      <c r="C6">
        <f>SUM(C3:C5)</f>
        <v>1</v>
      </c>
    </row>
    <row r="9" spans="1:16" x14ac:dyDescent="0.3">
      <c r="A9" t="s">
        <v>8</v>
      </c>
      <c r="C9">
        <f>180*160</f>
        <v>28800</v>
      </c>
      <c r="J9" s="8" t="s">
        <v>29</v>
      </c>
      <c r="K9" s="9"/>
      <c r="L9" s="9"/>
      <c r="M9" s="9"/>
      <c r="N9" s="9"/>
      <c r="O9" s="9"/>
      <c r="P9" s="9"/>
    </row>
    <row r="10" spans="1:16" x14ac:dyDescent="0.3">
      <c r="A10" t="s">
        <v>21</v>
      </c>
      <c r="C10">
        <f>SUMPRODUCT(B3:B5,D3:D5+F3:F5,E3:E5+F3:F5)</f>
        <v>11078.493044863681</v>
      </c>
      <c r="J10" s="9"/>
      <c r="K10" s="13" t="s">
        <v>38</v>
      </c>
      <c r="L10" s="13"/>
      <c r="M10" s="13"/>
      <c r="N10" s="13"/>
      <c r="O10" s="13"/>
      <c r="P10" s="10" t="s">
        <v>39</v>
      </c>
    </row>
    <row r="11" spans="1:16" x14ac:dyDescent="0.3">
      <c r="A11" t="s">
        <v>9</v>
      </c>
      <c r="C11">
        <v>0</v>
      </c>
      <c r="D11">
        <f>0.2*C9</f>
        <v>5760</v>
      </c>
      <c r="E11" t="s">
        <v>26</v>
      </c>
      <c r="J11" s="9"/>
      <c r="K11" s="9"/>
      <c r="L11" s="9"/>
      <c r="M11" s="14" t="s">
        <v>37</v>
      </c>
      <c r="N11" s="14"/>
      <c r="O11" s="14"/>
      <c r="P11" s="9"/>
    </row>
    <row r="12" spans="1:16" x14ac:dyDescent="0.3">
      <c r="A12" s="1" t="s">
        <v>10</v>
      </c>
      <c r="B12" s="1"/>
      <c r="C12" s="1">
        <f>C9-C10-C11</f>
        <v>17721.506955136319</v>
      </c>
      <c r="J12" s="9"/>
      <c r="K12" s="9" t="s">
        <v>33</v>
      </c>
      <c r="L12" s="9" t="s">
        <v>28</v>
      </c>
      <c r="M12" s="9" t="s">
        <v>35</v>
      </c>
      <c r="N12" s="9" t="s">
        <v>36</v>
      </c>
      <c r="O12" s="9" t="s">
        <v>40</v>
      </c>
      <c r="P12" s="9"/>
    </row>
    <row r="13" spans="1:16" x14ac:dyDescent="0.3">
      <c r="J13" s="9" t="s">
        <v>30</v>
      </c>
      <c r="K13" s="11">
        <v>15517048.775082435</v>
      </c>
      <c r="L13" s="11">
        <v>27717048.775082435</v>
      </c>
      <c r="M13" s="9">
        <v>0</v>
      </c>
      <c r="N13" s="9">
        <v>0</v>
      </c>
      <c r="O13" s="9">
        <v>1</v>
      </c>
      <c r="P13" s="12">
        <f>L13-K13</f>
        <v>12200000</v>
      </c>
    </row>
    <row r="14" spans="1:16" x14ac:dyDescent="0.3">
      <c r="A14" s="2" t="s">
        <v>14</v>
      </c>
      <c r="B14" s="2"/>
      <c r="C14" s="2"/>
      <c r="J14" s="9" t="s">
        <v>32</v>
      </c>
      <c r="K14" s="11">
        <v>15035261.688628538</v>
      </c>
      <c r="L14" s="11">
        <v>36377635.198073901</v>
      </c>
      <c r="M14" s="9">
        <v>0.23520203773497222</v>
      </c>
      <c r="N14" s="9">
        <v>0</v>
      </c>
      <c r="O14" s="9">
        <v>0.76479796226502783</v>
      </c>
      <c r="P14" s="12">
        <f>L14-K14</f>
        <v>21342373.509445362</v>
      </c>
    </row>
    <row r="15" spans="1:16" x14ac:dyDescent="0.3">
      <c r="A15" s="2" t="s">
        <v>13</v>
      </c>
      <c r="B15" s="2"/>
      <c r="C15" s="5">
        <f>SUMPRODUCT(B3:B5,G3:G5,H3:H5)</f>
        <v>13822741.326310124</v>
      </c>
      <c r="J15" s="9" t="s">
        <v>31</v>
      </c>
      <c r="K15" s="11">
        <v>13822741.326310124</v>
      </c>
      <c r="L15" s="11">
        <v>40066842.376618691</v>
      </c>
      <c r="M15" s="9">
        <v>0.53107174100981713</v>
      </c>
      <c r="N15" s="9">
        <v>0</v>
      </c>
      <c r="O15" s="9">
        <v>0.46892825899018287</v>
      </c>
      <c r="P15" s="12">
        <f>L15-K15</f>
        <v>26244101.050308567</v>
      </c>
    </row>
    <row r="16" spans="1:16" x14ac:dyDescent="0.3">
      <c r="A16" t="s">
        <v>28</v>
      </c>
      <c r="C16" s="7">
        <f>SUMPRODUCT(B3:B5,I3:I5)+C15</f>
        <v>40066842.376618691</v>
      </c>
    </row>
    <row r="18" spans="1:6" x14ac:dyDescent="0.3">
      <c r="A18" s="1" t="s">
        <v>12</v>
      </c>
      <c r="C18" t="s">
        <v>18</v>
      </c>
    </row>
    <row r="19" spans="1:6" x14ac:dyDescent="0.3">
      <c r="C19" t="s">
        <v>19</v>
      </c>
      <c r="D19" t="s">
        <v>25</v>
      </c>
      <c r="E19" s="2" t="s">
        <v>24</v>
      </c>
      <c r="F19" s="4"/>
    </row>
    <row r="20" spans="1:6" x14ac:dyDescent="0.3">
      <c r="A20" t="s">
        <v>17</v>
      </c>
      <c r="C20">
        <f>(D3+F3+H3)*(E3+F3+H3)-(D3+F3)*(E3+F3)</f>
        <v>0</v>
      </c>
      <c r="D20">
        <f>(D3+F3+H3)*(E3+2*F3+2*H3)-(D3+F3)*(E3+2*F3)</f>
        <v>0</v>
      </c>
      <c r="E20" s="2">
        <v>1</v>
      </c>
      <c r="F20" s="4"/>
    </row>
    <row r="21" spans="1:6" x14ac:dyDescent="0.3">
      <c r="A21" t="s">
        <v>16</v>
      </c>
      <c r="C21">
        <f t="shared" ref="C21:C22" si="0">(D4+F4+H4)*(E4+F4+H4)-(D4+F4)*(E4+F4)</f>
        <v>8.2254715118515378</v>
      </c>
      <c r="D21">
        <f t="shared" ref="D21:D22" si="1">(D4+F4+H4)*(E4+2*F4+2*H4)-(D4+F4)*(E4+2*F4)</f>
        <v>13.86376965352278</v>
      </c>
      <c r="E21" s="2">
        <v>0</v>
      </c>
      <c r="F21" s="4"/>
    </row>
    <row r="22" spans="1:6" x14ac:dyDescent="0.3">
      <c r="A22" t="s">
        <v>15</v>
      </c>
      <c r="C22">
        <f t="shared" si="0"/>
        <v>629.85833933638389</v>
      </c>
      <c r="D22">
        <f t="shared" si="1"/>
        <v>1118.7732803168069</v>
      </c>
      <c r="E22" s="2">
        <v>0</v>
      </c>
      <c r="F22" s="4"/>
    </row>
    <row r="23" spans="1:6" x14ac:dyDescent="0.3">
      <c r="E23">
        <f>SUM(E20:E22)</f>
        <v>1</v>
      </c>
    </row>
    <row r="25" spans="1:6" x14ac:dyDescent="0.3">
      <c r="A25" t="s">
        <v>22</v>
      </c>
      <c r="C25" s="3" t="s">
        <v>23</v>
      </c>
      <c r="D25" t="s">
        <v>10</v>
      </c>
    </row>
    <row r="26" spans="1:6" x14ac:dyDescent="0.3">
      <c r="A26">
        <f>(B3-E20)*C20+(B4-E21)*C21+(B5-E22)*C22+E20*D20+E21*D21+E22*D22</f>
        <v>17721.502468527498</v>
      </c>
      <c r="C26" s="3" t="s">
        <v>23</v>
      </c>
      <c r="D26">
        <f>C12</f>
        <v>17721.506955136319</v>
      </c>
    </row>
  </sheetData>
  <mergeCells count="2">
    <mergeCell ref="M11:O11"/>
    <mergeCell ref="K10:O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C25" sqref="C25"/>
    </sheetView>
  </sheetViews>
  <sheetFormatPr defaultRowHeight="14.4" x14ac:dyDescent="0.3"/>
  <cols>
    <col min="1" max="1" width="12" bestFit="1" customWidth="1"/>
    <col min="3" max="3" width="15.44140625" customWidth="1"/>
    <col min="5" max="5" width="11.77734375" bestFit="1" customWidth="1"/>
    <col min="6" max="6" width="21.77734375" bestFit="1" customWidth="1"/>
    <col min="7" max="7" width="18" bestFit="1" customWidth="1"/>
    <col min="11" max="13" width="15" bestFit="1" customWidth="1"/>
  </cols>
  <sheetData>
    <row r="1" spans="1:13" x14ac:dyDescent="0.3">
      <c r="G1" s="2" t="s">
        <v>11</v>
      </c>
    </row>
    <row r="2" spans="1:13" x14ac:dyDescent="0.3">
      <c r="B2" t="s">
        <v>4</v>
      </c>
      <c r="C2" t="s">
        <v>5</v>
      </c>
      <c r="D2" t="s">
        <v>6</v>
      </c>
      <c r="E2" t="s">
        <v>20</v>
      </c>
      <c r="F2" t="s">
        <v>7</v>
      </c>
      <c r="G2" s="2" t="s">
        <v>41</v>
      </c>
      <c r="H2" t="s">
        <v>27</v>
      </c>
    </row>
    <row r="3" spans="1:13" x14ac:dyDescent="0.3">
      <c r="A3" t="s">
        <v>1</v>
      </c>
      <c r="B3">
        <f>0.6*B8</f>
        <v>12</v>
      </c>
      <c r="C3">
        <v>8</v>
      </c>
      <c r="D3">
        <v>8</v>
      </c>
      <c r="E3">
        <v>2</v>
      </c>
      <c r="F3">
        <f>0.03*H3</f>
        <v>8550</v>
      </c>
      <c r="G3" s="2">
        <v>7.4382796730515635</v>
      </c>
      <c r="H3">
        <v>285000</v>
      </c>
    </row>
    <row r="4" spans="1:13" x14ac:dyDescent="0.3">
      <c r="A4" t="s">
        <v>2</v>
      </c>
      <c r="B4">
        <f>0.25*B8</f>
        <v>5</v>
      </c>
      <c r="C4">
        <v>10</v>
      </c>
      <c r="D4">
        <v>7.5</v>
      </c>
      <c r="E4">
        <v>3</v>
      </c>
      <c r="F4">
        <f>0.04*H4</f>
        <v>15960</v>
      </c>
      <c r="G4" s="2">
        <v>22.977080408105202</v>
      </c>
      <c r="H4">
        <v>399000</v>
      </c>
    </row>
    <row r="5" spans="1:13" x14ac:dyDescent="0.3">
      <c r="A5" t="s">
        <v>3</v>
      </c>
      <c r="B5">
        <v>1</v>
      </c>
      <c r="C5">
        <v>11</v>
      </c>
      <c r="D5">
        <v>10.5</v>
      </c>
      <c r="E5">
        <v>6</v>
      </c>
      <c r="F5">
        <f>0.06*H5</f>
        <v>36600</v>
      </c>
      <c r="G5" s="2">
        <v>62.812270397701845</v>
      </c>
      <c r="H5">
        <v>610000</v>
      </c>
    </row>
    <row r="6" spans="1:13" x14ac:dyDescent="0.3">
      <c r="A6" t="s">
        <v>3</v>
      </c>
      <c r="B6">
        <v>1</v>
      </c>
      <c r="C6">
        <v>11</v>
      </c>
      <c r="D6">
        <v>10.5</v>
      </c>
      <c r="E6">
        <v>6</v>
      </c>
      <c r="F6">
        <f>0.06*H6</f>
        <v>36600</v>
      </c>
      <c r="G6" s="2">
        <v>62.814421256045996</v>
      </c>
      <c r="H6">
        <v>610000</v>
      </c>
    </row>
    <row r="7" spans="1:13" x14ac:dyDescent="0.3">
      <c r="A7" t="s">
        <v>3</v>
      </c>
      <c r="B7">
        <v>1</v>
      </c>
      <c r="C7">
        <v>11</v>
      </c>
      <c r="D7">
        <v>10.5</v>
      </c>
      <c r="E7">
        <v>6</v>
      </c>
      <c r="F7">
        <f>0.06*H7</f>
        <v>36600</v>
      </c>
      <c r="G7" s="2">
        <v>62.772400123054993</v>
      </c>
      <c r="H7">
        <v>610000</v>
      </c>
    </row>
    <row r="8" spans="1:13" x14ac:dyDescent="0.3">
      <c r="A8" s="6" t="s">
        <v>0</v>
      </c>
      <c r="B8" s="6">
        <v>20</v>
      </c>
    </row>
    <row r="11" spans="1:13" x14ac:dyDescent="0.3">
      <c r="A11" t="s">
        <v>8</v>
      </c>
      <c r="C11">
        <f>180*160</f>
        <v>28800</v>
      </c>
    </row>
    <row r="12" spans="1:13" x14ac:dyDescent="0.3">
      <c r="A12" t="s">
        <v>21</v>
      </c>
      <c r="C12">
        <f>SUMPRODUCT(B3:B7,C3:C7+E3:E7,D3:D7+E3:E7)</f>
        <v>2724</v>
      </c>
      <c r="J12" s="8" t="s">
        <v>29</v>
      </c>
      <c r="K12" s="9"/>
      <c r="L12" s="9"/>
      <c r="M12" s="9"/>
    </row>
    <row r="13" spans="1:13" x14ac:dyDescent="0.3">
      <c r="A13" t="s">
        <v>9</v>
      </c>
      <c r="C13">
        <v>0</v>
      </c>
      <c r="D13">
        <f>0.2*C11</f>
        <v>5760</v>
      </c>
      <c r="E13" t="s">
        <v>26</v>
      </c>
      <c r="J13" s="9"/>
      <c r="K13" s="13" t="s">
        <v>38</v>
      </c>
      <c r="L13" s="13"/>
      <c r="M13" s="10" t="s">
        <v>39</v>
      </c>
    </row>
    <row r="14" spans="1:13" x14ac:dyDescent="0.3">
      <c r="A14" s="1" t="s">
        <v>10</v>
      </c>
      <c r="B14" s="1"/>
      <c r="C14" s="1">
        <f>C11-C12-C13</f>
        <v>26076</v>
      </c>
      <c r="J14" s="9"/>
      <c r="K14" s="9" t="s">
        <v>33</v>
      </c>
      <c r="L14" s="9" t="s">
        <v>28</v>
      </c>
      <c r="M14" s="9"/>
    </row>
    <row r="15" spans="1:13" x14ac:dyDescent="0.3">
      <c r="J15" s="9" t="s">
        <v>30</v>
      </c>
      <c r="K15" s="11">
        <v>9492145.1789900512</v>
      </c>
      <c r="L15" s="11">
        <v>16737145.178990051</v>
      </c>
      <c r="M15" s="12">
        <f>L15-K15</f>
        <v>7245000</v>
      </c>
    </row>
    <row r="16" spans="1:13" x14ac:dyDescent="0.3">
      <c r="A16" s="2" t="s">
        <v>14</v>
      </c>
      <c r="B16" s="2"/>
      <c r="C16" s="2"/>
      <c r="J16" s="9" t="s">
        <v>32</v>
      </c>
      <c r="K16" s="11">
        <v>11236621.108188428</v>
      </c>
      <c r="L16" s="11">
        <v>25726621.108188428</v>
      </c>
      <c r="M16" s="12">
        <f t="shared" ref="M16:M17" si="0">L16-K16</f>
        <v>14490000</v>
      </c>
    </row>
    <row r="17" spans="1:13" x14ac:dyDescent="0.3">
      <c r="A17" s="2" t="s">
        <v>13</v>
      </c>
      <c r="B17" s="2"/>
      <c r="C17" s="5">
        <f>SUMPRODUCT(B3:B7,F3:F7,G3:G7)</f>
        <v>9492145.2700528689</v>
      </c>
      <c r="J17" s="9" t="s">
        <v>31</v>
      </c>
      <c r="K17" s="11">
        <v>11686049.463199079</v>
      </c>
      <c r="L17" s="11">
        <v>33421049.463199079</v>
      </c>
      <c r="M17" s="12">
        <f t="shared" si="0"/>
        <v>21735000</v>
      </c>
    </row>
    <row r="18" spans="1:13" x14ac:dyDescent="0.3">
      <c r="A18" t="s">
        <v>28</v>
      </c>
      <c r="C18" s="7">
        <f>SUMPRODUCT(B3:B7,H3:H7)+C17</f>
        <v>16737145.270052869</v>
      </c>
    </row>
    <row r="20" spans="1:13" x14ac:dyDescent="0.3">
      <c r="A20" s="1" t="s">
        <v>12</v>
      </c>
      <c r="C20" t="s">
        <v>18</v>
      </c>
    </row>
    <row r="21" spans="1:13" x14ac:dyDescent="0.3">
      <c r="C21" t="s">
        <v>19</v>
      </c>
      <c r="D21" t="s">
        <v>25</v>
      </c>
      <c r="E21" s="2" t="s">
        <v>24</v>
      </c>
      <c r="F21" s="4"/>
    </row>
    <row r="22" spans="1:13" x14ac:dyDescent="0.3">
      <c r="A22" t="s">
        <v>17</v>
      </c>
      <c r="C22">
        <f>(C3+E3+G3)*(D3+E3+G3)-(C3+E3)*(D3+E3)</f>
        <v>204.09359795556338</v>
      </c>
      <c r="D22">
        <f>(C3+E3+G3)*(D3+2*E3+2*G3)-(C3+E3)*(D3+2*E3)</f>
        <v>348.68095852671422</v>
      </c>
      <c r="E22" s="2">
        <v>1</v>
      </c>
      <c r="F22" s="4"/>
    </row>
    <row r="23" spans="1:13" x14ac:dyDescent="0.3">
      <c r="A23" t="s">
        <v>16</v>
      </c>
      <c r="C23">
        <f>(C4+E4+G4)*(D4+E4+G4)-(C4+E4)*(D4+E4)</f>
        <v>1067.9076136710041</v>
      </c>
      <c r="D23">
        <f>(C4+E4+G4)*(D4+2*E4+2*G4)-(C4+E4)*(D4+2*E4)</f>
        <v>1963.4871242812192</v>
      </c>
      <c r="E23" s="2">
        <v>0</v>
      </c>
      <c r="F23" s="4"/>
    </row>
    <row r="24" spans="1:13" x14ac:dyDescent="0.3">
      <c r="A24" t="s">
        <v>43</v>
      </c>
      <c r="C24">
        <f>(C5+E5+G5)*(D5+E5+G5)-(C5+E5)*(D5+E5)</f>
        <v>6049.5923708370219</v>
      </c>
      <c r="D24">
        <f t="shared" ref="D24:D25" si="1">(C5+E5+G5)*(D5+2*E5+2*G5)-(C5+E5)*(D5+2*E5)</f>
        <v>11439.655902498174</v>
      </c>
      <c r="E24" s="2">
        <v>0</v>
      </c>
      <c r="F24" s="4"/>
    </row>
    <row r="25" spans="1:13" x14ac:dyDescent="0.3">
      <c r="A25" t="s">
        <v>44</v>
      </c>
      <c r="C25">
        <f t="shared" ref="C25" si="2">(C6+E6+G6)*(D6+E6+G6)-(C6+E6)*(D6+E6)</f>
        <v>6049.9346298095425</v>
      </c>
      <c r="D25">
        <f t="shared" si="1"/>
        <v>11440.317836430602</v>
      </c>
      <c r="E25" s="2">
        <v>0</v>
      </c>
      <c r="F25" s="4"/>
    </row>
    <row r="26" spans="1:13" x14ac:dyDescent="0.3">
      <c r="A26" t="s">
        <v>42</v>
      </c>
      <c r="C26">
        <f t="shared" ref="C26" si="3">(C7+E7+G7)*(D7+E7+G7)-(C7+E7)*(D7+E7)</f>
        <v>6043.249621331257</v>
      </c>
      <c r="D26">
        <f t="shared" ref="D26" si="4">(C7+E7+G7)*(D7+2*E7+2*G7)-(C7+E7)*(D7+2*E7)</f>
        <v>11427.389041370436</v>
      </c>
      <c r="E26" s="2">
        <v>0</v>
      </c>
      <c r="F26" s="4"/>
    </row>
    <row r="27" spans="1:13" x14ac:dyDescent="0.3">
      <c r="E27">
        <f>SUM(E22:E26)</f>
        <v>1</v>
      </c>
    </row>
    <row r="29" spans="1:13" x14ac:dyDescent="0.3">
      <c r="A29" t="s">
        <v>22</v>
      </c>
      <c r="C29" s="3" t="s">
        <v>23</v>
      </c>
      <c r="D29" t="s">
        <v>10</v>
      </c>
    </row>
    <row r="30" spans="1:13" x14ac:dyDescent="0.3">
      <c r="A30">
        <f>(B3-E22)*C22+(B4-E23)*C23+(B5-E24)*C24+(B6-E25)*C25+(B7-E26)*C26+E22*D22+E23*D23+E24*D24+E25*D25+E26*D26</f>
        <v>26076.025226370755</v>
      </c>
      <c r="C30" s="3" t="s">
        <v>23</v>
      </c>
      <c r="D30">
        <f>C14</f>
        <v>26076</v>
      </c>
    </row>
  </sheetData>
  <mergeCells count="1">
    <mergeCell ref="K13:L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Vaste verhouding</vt:lpstr>
      <vt:lpstr>Vrij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Eigenaar</dc:creator>
  <cp:lastModifiedBy>Eigenaar</cp:lastModifiedBy>
  <dcterms:created xsi:type="dcterms:W3CDTF">2018-05-08T18:44:08Z</dcterms:created>
  <dcterms:modified xsi:type="dcterms:W3CDTF">2018-05-14T09:51:47Z</dcterms:modified>
</cp:coreProperties>
</file>