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/>
  <mc:AlternateContent xmlns:mc="http://schemas.openxmlformats.org/markup-compatibility/2006">
    <mc:Choice Requires="x15">
      <x15ac:absPath xmlns:x15ac="http://schemas.microsoft.com/office/spreadsheetml/2010/11/ac" url="https://daveywaterproducts-my.sharepoint.com/personal/rmohsen_daveyeurope_eu/Documents/Bureau/"/>
    </mc:Choice>
  </mc:AlternateContent>
  <xr:revisionPtr revIDLastSave="999" documentId="8_{7EBB65C2-4D45-499E-AC9A-B4E10859F468}" xr6:coauthVersionLast="47" xr6:coauthVersionMax="47" xr10:uidLastSave="{E0991B1B-7F07-42EC-8786-5E8182009A5E}"/>
  <bookViews>
    <workbookView xWindow="28680" yWindow="-105" windowWidth="29040" windowHeight="15720" firstSheet="6" activeTab="7" xr2:uid="{00000000-000D-0000-FFFF-FFFF00000000}"/>
  </bookViews>
  <sheets>
    <sheet name="Photos" sheetId="5" state="hidden" r:id="rId1"/>
    <sheet name="Données" sheetId="1" state="hidden" r:id="rId2"/>
    <sheet name="Tableaux Filtration SilensorPro" sheetId="4" state="hidden" r:id="rId3"/>
    <sheet name="Tableaux Filtration StarFlo VS" sheetId="6" state="hidden" r:id="rId4"/>
    <sheet name="Feuille Calculs Silensor" sheetId="3" state="hidden" r:id="rId5"/>
    <sheet name="Feuille Calculs StarFlo VS" sheetId="7" state="hidden" r:id="rId6"/>
    <sheet name="Calculateur SLL vs SP" sheetId="2" r:id="rId7"/>
    <sheet name="Calculateur StarFlo-StarFloVS" sheetId="8" r:id="rId8"/>
  </sheets>
  <definedNames>
    <definedName name="_xlnm.Print_Area" localSheetId="6">'Calculateur SLL vs SP'!$A$1:$Q$49</definedName>
    <definedName name="_xlnm.Print_Area" localSheetId="7">'Calculateur StarFlo-StarFloVS'!$A$1:$R$49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" i="2" l="1" a="1"/>
  <c r="I8" i="2" s="1"/>
  <c r="I8" i="8" a="1"/>
  <c r="I8" i="8" s="1"/>
  <c r="G10" i="8" l="1" a="1"/>
  <c r="G10" i="8" s="1"/>
  <c r="G9" i="8" a="1"/>
  <c r="G9" i="8" s="1"/>
  <c r="U31" i="7" a="1"/>
  <c r="U31" i="7" s="1"/>
  <c r="D27" i="7" a="1"/>
  <c r="D27" i="7" s="1"/>
  <c r="B27" i="7" a="1"/>
  <c r="B27" i="7" s="1"/>
  <c r="O33" i="1"/>
  <c r="O32" i="1"/>
  <c r="O31" i="1"/>
  <c r="O30" i="1"/>
  <c r="O29" i="1"/>
  <c r="O28" i="1"/>
  <c r="O27" i="1"/>
  <c r="O24" i="1"/>
  <c r="O23" i="1"/>
  <c r="N54" i="6"/>
  <c r="N55" i="6"/>
  <c r="N56" i="6"/>
  <c r="N53" i="6"/>
  <c r="G54" i="6"/>
  <c r="G55" i="6"/>
  <c r="G56" i="6"/>
  <c r="G53" i="6"/>
  <c r="U37" i="6"/>
  <c r="U38" i="6"/>
  <c r="U39" i="6"/>
  <c r="U36" i="6"/>
  <c r="N37" i="6"/>
  <c r="N38" i="6"/>
  <c r="N39" i="6"/>
  <c r="N36" i="6"/>
  <c r="G37" i="6"/>
  <c r="G38" i="6"/>
  <c r="G39" i="6"/>
  <c r="G36" i="6"/>
  <c r="K54" i="6"/>
  <c r="M54" i="6" s="1"/>
  <c r="K55" i="6"/>
  <c r="M55" i="6" s="1"/>
  <c r="K56" i="6"/>
  <c r="M56" i="6" s="1"/>
  <c r="K53" i="6"/>
  <c r="M53" i="6" s="1"/>
  <c r="D54" i="6"/>
  <c r="D55" i="6"/>
  <c r="F55" i="6" s="1"/>
  <c r="D56" i="6"/>
  <c r="F56" i="6" s="1"/>
  <c r="D53" i="6"/>
  <c r="F53" i="6" s="1"/>
  <c r="R37" i="6"/>
  <c r="T37" i="6" s="1"/>
  <c r="R38" i="6"/>
  <c r="T38" i="6" s="1"/>
  <c r="R39" i="6"/>
  <c r="T39" i="6" s="1"/>
  <c r="R36" i="6"/>
  <c r="T36" i="6" s="1"/>
  <c r="K37" i="6"/>
  <c r="K38" i="6"/>
  <c r="M38" i="6" s="1"/>
  <c r="K39" i="6"/>
  <c r="M39" i="6" s="1"/>
  <c r="K36" i="6"/>
  <c r="M36" i="6" s="1"/>
  <c r="D37" i="6"/>
  <c r="D38" i="6"/>
  <c r="F38" i="6" s="1"/>
  <c r="D39" i="6"/>
  <c r="F39" i="6" s="1"/>
  <c r="D36" i="6"/>
  <c r="F36" i="6" s="1"/>
  <c r="U20" i="6"/>
  <c r="U21" i="6"/>
  <c r="U22" i="6"/>
  <c r="U19" i="6"/>
  <c r="R20" i="6"/>
  <c r="T20" i="6" s="1"/>
  <c r="R21" i="6"/>
  <c r="T21" i="6" s="1"/>
  <c r="R22" i="6"/>
  <c r="T22" i="6" s="1"/>
  <c r="R19" i="6"/>
  <c r="T19" i="6" s="1"/>
  <c r="N20" i="6"/>
  <c r="N21" i="6"/>
  <c r="N22" i="6"/>
  <c r="N19" i="6"/>
  <c r="K20" i="6"/>
  <c r="M20" i="6" s="1"/>
  <c r="K21" i="6"/>
  <c r="M21" i="6" s="1"/>
  <c r="K22" i="6"/>
  <c r="M22" i="6" s="1"/>
  <c r="K19" i="6"/>
  <c r="M19" i="6" s="1"/>
  <c r="G20" i="6"/>
  <c r="G21" i="6"/>
  <c r="G22" i="6"/>
  <c r="G19" i="6"/>
  <c r="G29" i="6" s="1"/>
  <c r="O26" i="1" s="1"/>
  <c r="D20" i="6"/>
  <c r="F20" i="6" s="1"/>
  <c r="D21" i="6"/>
  <c r="F21" i="6" s="1"/>
  <c r="D22" i="6"/>
  <c r="F22" i="6" s="1"/>
  <c r="D19" i="6"/>
  <c r="F19" i="6" s="1"/>
  <c r="U5" i="6"/>
  <c r="U6" i="6"/>
  <c r="U7" i="6"/>
  <c r="U4" i="6"/>
  <c r="R5" i="6"/>
  <c r="T5" i="6" s="1"/>
  <c r="R6" i="6"/>
  <c r="T6" i="6" s="1"/>
  <c r="R7" i="6"/>
  <c r="T7" i="6" s="1"/>
  <c r="R4" i="6"/>
  <c r="T4" i="6" s="1"/>
  <c r="N4" i="6"/>
  <c r="N12" i="6" s="1"/>
  <c r="M4" i="6"/>
  <c r="K4" i="6"/>
  <c r="G4" i="6"/>
  <c r="G12" i="6" s="1"/>
  <c r="D4" i="6"/>
  <c r="F54" i="6"/>
  <c r="M37" i="6"/>
  <c r="F37" i="6"/>
  <c r="F4" i="6"/>
  <c r="F12" i="6" s="1"/>
  <c r="G9" i="2" a="1"/>
  <c r="G9" i="2" s="1"/>
  <c r="G10" i="2" a="1"/>
  <c r="G10" i="2" s="1"/>
  <c r="N53" i="4"/>
  <c r="N54" i="4"/>
  <c r="N55" i="4"/>
  <c r="N56" i="4"/>
  <c r="N57" i="4"/>
  <c r="N58" i="4"/>
  <c r="N59" i="4"/>
  <c r="N60" i="4"/>
  <c r="N61" i="4"/>
  <c r="N62" i="4"/>
  <c r="G53" i="4"/>
  <c r="G54" i="4"/>
  <c r="G55" i="4"/>
  <c r="G56" i="4"/>
  <c r="G57" i="4"/>
  <c r="G58" i="4"/>
  <c r="G59" i="4"/>
  <c r="G60" i="4"/>
  <c r="G61" i="4"/>
  <c r="G62" i="4"/>
  <c r="K53" i="4"/>
  <c r="M53" i="4" s="1"/>
  <c r="K54" i="4"/>
  <c r="M54" i="4" s="1"/>
  <c r="K55" i="4"/>
  <c r="M55" i="4" s="1"/>
  <c r="K56" i="4"/>
  <c r="M56" i="4" s="1"/>
  <c r="K57" i="4"/>
  <c r="M57" i="4" s="1"/>
  <c r="K58" i="4"/>
  <c r="M58" i="4" s="1"/>
  <c r="K59" i="4"/>
  <c r="M59" i="4" s="1"/>
  <c r="K60" i="4"/>
  <c r="M60" i="4" s="1"/>
  <c r="K61" i="4"/>
  <c r="M61" i="4" s="1"/>
  <c r="K62" i="4"/>
  <c r="M62" i="4" s="1"/>
  <c r="D53" i="4"/>
  <c r="F53" i="4" s="1"/>
  <c r="D54" i="4"/>
  <c r="F54" i="4" s="1"/>
  <c r="D55" i="4"/>
  <c r="F55" i="4" s="1"/>
  <c r="D56" i="4"/>
  <c r="F56" i="4" s="1"/>
  <c r="D57" i="4"/>
  <c r="F57" i="4" s="1"/>
  <c r="D58" i="4"/>
  <c r="F58" i="4" s="1"/>
  <c r="D59" i="4"/>
  <c r="F59" i="4" s="1"/>
  <c r="D60" i="4"/>
  <c r="F60" i="4" s="1"/>
  <c r="D61" i="4"/>
  <c r="F61" i="4" s="1"/>
  <c r="D62" i="4"/>
  <c r="F62" i="4" s="1"/>
  <c r="U36" i="4"/>
  <c r="U37" i="4"/>
  <c r="U38" i="4"/>
  <c r="U39" i="4"/>
  <c r="U40" i="4"/>
  <c r="U41" i="4"/>
  <c r="U42" i="4"/>
  <c r="U43" i="4"/>
  <c r="U44" i="4"/>
  <c r="U45" i="4"/>
  <c r="R36" i="4"/>
  <c r="T36" i="4" s="1"/>
  <c r="R37" i="4"/>
  <c r="T37" i="4" s="1"/>
  <c r="R38" i="4"/>
  <c r="T38" i="4" s="1"/>
  <c r="R39" i="4"/>
  <c r="T39" i="4" s="1"/>
  <c r="R40" i="4"/>
  <c r="T40" i="4" s="1"/>
  <c r="R41" i="4"/>
  <c r="T41" i="4" s="1"/>
  <c r="R42" i="4"/>
  <c r="T42" i="4" s="1"/>
  <c r="R43" i="4"/>
  <c r="T43" i="4" s="1"/>
  <c r="R44" i="4"/>
  <c r="T44" i="4" s="1"/>
  <c r="R45" i="4"/>
  <c r="T45" i="4" s="1"/>
  <c r="G36" i="4"/>
  <c r="G37" i="4"/>
  <c r="G38" i="4"/>
  <c r="G39" i="4"/>
  <c r="G40" i="4"/>
  <c r="G41" i="4"/>
  <c r="G42" i="4"/>
  <c r="G43" i="4"/>
  <c r="G44" i="4"/>
  <c r="G45" i="4"/>
  <c r="D36" i="4"/>
  <c r="F36" i="4" s="1"/>
  <c r="D37" i="4"/>
  <c r="F37" i="4" s="1"/>
  <c r="D38" i="4"/>
  <c r="F38" i="4" s="1"/>
  <c r="D39" i="4"/>
  <c r="F39" i="4" s="1"/>
  <c r="D40" i="4"/>
  <c r="F40" i="4" s="1"/>
  <c r="D41" i="4"/>
  <c r="F41" i="4" s="1"/>
  <c r="D42" i="4"/>
  <c r="F42" i="4" s="1"/>
  <c r="D43" i="4"/>
  <c r="F43" i="4" s="1"/>
  <c r="D44" i="4"/>
  <c r="F44" i="4" s="1"/>
  <c r="D45" i="4"/>
  <c r="F45" i="4" s="1"/>
  <c r="N36" i="4"/>
  <c r="N37" i="4"/>
  <c r="N38" i="4"/>
  <c r="N39" i="4"/>
  <c r="N40" i="4"/>
  <c r="N41" i="4"/>
  <c r="N42" i="4"/>
  <c r="N43" i="4"/>
  <c r="N44" i="4"/>
  <c r="N45" i="4"/>
  <c r="K36" i="4"/>
  <c r="M36" i="4" s="1"/>
  <c r="K37" i="4"/>
  <c r="M37" i="4" s="1"/>
  <c r="K38" i="4"/>
  <c r="M38" i="4" s="1"/>
  <c r="K39" i="4"/>
  <c r="M39" i="4" s="1"/>
  <c r="K40" i="4"/>
  <c r="M40" i="4" s="1"/>
  <c r="K41" i="4"/>
  <c r="M41" i="4" s="1"/>
  <c r="K42" i="4"/>
  <c r="M42" i="4" s="1"/>
  <c r="K43" i="4"/>
  <c r="M43" i="4" s="1"/>
  <c r="K44" i="4"/>
  <c r="M44" i="4" s="1"/>
  <c r="K45" i="4"/>
  <c r="M45" i="4" s="1"/>
  <c r="U19" i="4"/>
  <c r="U20" i="4"/>
  <c r="U21" i="4"/>
  <c r="U22" i="4"/>
  <c r="U23" i="4"/>
  <c r="U24" i="4"/>
  <c r="U25" i="4"/>
  <c r="U26" i="4"/>
  <c r="U27" i="4"/>
  <c r="U28" i="4"/>
  <c r="R19" i="4"/>
  <c r="T19" i="4" s="1"/>
  <c r="R20" i="4"/>
  <c r="T20" i="4" s="1"/>
  <c r="R21" i="4"/>
  <c r="T21" i="4" s="1"/>
  <c r="R22" i="4"/>
  <c r="T22" i="4" s="1"/>
  <c r="R23" i="4"/>
  <c r="T23" i="4" s="1"/>
  <c r="R24" i="4"/>
  <c r="T24" i="4" s="1"/>
  <c r="R25" i="4"/>
  <c r="T25" i="4" s="1"/>
  <c r="R26" i="4"/>
  <c r="T26" i="4" s="1"/>
  <c r="R27" i="4"/>
  <c r="T27" i="4" s="1"/>
  <c r="R28" i="4"/>
  <c r="T28" i="4" s="1"/>
  <c r="N19" i="4"/>
  <c r="N20" i="4"/>
  <c r="N21" i="4"/>
  <c r="N22" i="4"/>
  <c r="N23" i="4"/>
  <c r="N24" i="4"/>
  <c r="N25" i="4"/>
  <c r="N26" i="4"/>
  <c r="N27" i="4"/>
  <c r="N28" i="4"/>
  <c r="K19" i="4"/>
  <c r="M19" i="4" s="1"/>
  <c r="K20" i="4"/>
  <c r="M20" i="4" s="1"/>
  <c r="K21" i="4"/>
  <c r="M21" i="4" s="1"/>
  <c r="K22" i="4"/>
  <c r="M22" i="4" s="1"/>
  <c r="K23" i="4"/>
  <c r="M23" i="4" s="1"/>
  <c r="K24" i="4"/>
  <c r="M24" i="4" s="1"/>
  <c r="K25" i="4"/>
  <c r="M25" i="4" s="1"/>
  <c r="K26" i="4"/>
  <c r="M26" i="4" s="1"/>
  <c r="K27" i="4"/>
  <c r="M27" i="4" s="1"/>
  <c r="K28" i="4"/>
  <c r="M28" i="4" s="1"/>
  <c r="N5" i="4"/>
  <c r="N6" i="4"/>
  <c r="N4" i="4"/>
  <c r="G19" i="4"/>
  <c r="G20" i="4"/>
  <c r="G21" i="4"/>
  <c r="G22" i="4"/>
  <c r="G23" i="4"/>
  <c r="G24" i="4"/>
  <c r="G25" i="4"/>
  <c r="G26" i="4"/>
  <c r="G27" i="4"/>
  <c r="G28" i="4"/>
  <c r="D20" i="4"/>
  <c r="F20" i="4" s="1"/>
  <c r="D21" i="4"/>
  <c r="F21" i="4" s="1"/>
  <c r="D22" i="4"/>
  <c r="F22" i="4" s="1"/>
  <c r="D23" i="4"/>
  <c r="F23" i="4" s="1"/>
  <c r="D24" i="4"/>
  <c r="F24" i="4" s="1"/>
  <c r="D25" i="4"/>
  <c r="F25" i="4" s="1"/>
  <c r="D26" i="4"/>
  <c r="F26" i="4" s="1"/>
  <c r="D27" i="4"/>
  <c r="F27" i="4" s="1"/>
  <c r="D28" i="4"/>
  <c r="F28" i="4" s="1"/>
  <c r="D19" i="4"/>
  <c r="F19" i="4" s="1"/>
  <c r="K5" i="4"/>
  <c r="M5" i="4" s="1"/>
  <c r="K6" i="4"/>
  <c r="M6" i="4" s="1"/>
  <c r="K4" i="4"/>
  <c r="M4" i="4" s="1"/>
  <c r="R5" i="4"/>
  <c r="T5" i="4" s="1"/>
  <c r="R6" i="4"/>
  <c r="T6" i="4" s="1"/>
  <c r="R7" i="4"/>
  <c r="T7" i="4" s="1"/>
  <c r="R8" i="4"/>
  <c r="T8" i="4" s="1"/>
  <c r="R9" i="4"/>
  <c r="T9" i="4" s="1"/>
  <c r="R4" i="4"/>
  <c r="T4" i="4" s="1"/>
  <c r="D4" i="4"/>
  <c r="F4" i="4" s="1"/>
  <c r="F12" i="4" s="1"/>
  <c r="U5" i="4"/>
  <c r="U6" i="4"/>
  <c r="U7" i="4"/>
  <c r="U8" i="4"/>
  <c r="U9" i="4"/>
  <c r="U4" i="4"/>
  <c r="G4" i="4"/>
  <c r="G12" i="4" s="1"/>
  <c r="O5" i="1" s="1"/>
  <c r="D27" i="3" a="1"/>
  <c r="D27" i="3" s="1"/>
  <c r="B27" i="3" a="1"/>
  <c r="B27" i="3" s="1"/>
  <c r="I31" i="7" l="1" a="1"/>
  <c r="I31" i="7" s="1"/>
  <c r="M37" i="7" s="1"/>
  <c r="E9" i="8" s="1"/>
  <c r="M46" i="6"/>
  <c r="N63" i="6"/>
  <c r="G63" i="6"/>
  <c r="U46" i="6"/>
  <c r="N46" i="6"/>
  <c r="G46" i="6"/>
  <c r="U29" i="6"/>
  <c r="N29" i="6"/>
  <c r="F29" i="6"/>
  <c r="U12" i="6"/>
  <c r="O25" i="1" s="1"/>
  <c r="M12" i="6"/>
  <c r="M29" i="6"/>
  <c r="T29" i="6"/>
  <c r="M63" i="6"/>
  <c r="T46" i="6"/>
  <c r="F63" i="6"/>
  <c r="T12" i="6"/>
  <c r="F46" i="6"/>
  <c r="G63" i="4"/>
  <c r="O14" i="1" s="1"/>
  <c r="N46" i="4"/>
  <c r="O12" i="1" s="1"/>
  <c r="F29" i="4"/>
  <c r="F46" i="4"/>
  <c r="G29" i="4"/>
  <c r="O8" i="1" s="1"/>
  <c r="G46" i="4"/>
  <c r="O11" i="1" s="1"/>
  <c r="M63" i="4"/>
  <c r="N63" i="4"/>
  <c r="O15" i="1" s="1"/>
  <c r="F63" i="4"/>
  <c r="T46" i="4"/>
  <c r="U46" i="4"/>
  <c r="O13" i="1" s="1"/>
  <c r="M46" i="4"/>
  <c r="U29" i="4"/>
  <c r="O10" i="1" s="1"/>
  <c r="T29" i="4"/>
  <c r="N29" i="4"/>
  <c r="O9" i="1" s="1"/>
  <c r="M29" i="4"/>
  <c r="N12" i="4"/>
  <c r="O6" i="1" s="1"/>
  <c r="M12" i="4"/>
  <c r="U12" i="4"/>
  <c r="O7" i="1" s="1"/>
  <c r="T12" i="4"/>
  <c r="I31" i="3" a="1"/>
  <c r="I31" i="3" s="1"/>
  <c r="G39" i="7" l="1"/>
  <c r="E8" i="8" s="1"/>
  <c r="U31" i="3" a="1"/>
  <c r="U31" i="3" s="1"/>
  <c r="M37" i="3" s="1"/>
  <c r="E9" i="2" s="1"/>
  <c r="G39" i="3" l="1"/>
  <c r="E8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</futureMetadata>
  <cellMetadata count="1">
    <bk>
      <rc t="1" v="0"/>
    </bk>
  </cellMetadata>
  <valueMetadata count="5">
    <bk>
      <rc t="2" v="0"/>
    </bk>
    <bk>
      <rc t="2" v="1"/>
    </bk>
    <bk>
      <rc t="2" v="2"/>
    </bk>
    <bk>
      <rc t="2" v="3"/>
    </bk>
    <bk>
      <rc t="2" v="4"/>
    </bk>
  </valueMetadata>
</metadata>
</file>

<file path=xl/sharedStrings.xml><?xml version="1.0" encoding="utf-8"?>
<sst xmlns="http://schemas.openxmlformats.org/spreadsheetml/2006/main" count="652" uniqueCount="111">
  <si>
    <t>Durée de la saison (mois)</t>
  </si>
  <si>
    <t>Mono-vitesse</t>
  </si>
  <si>
    <t>-</t>
  </si>
  <si>
    <t>SP200BT (VSD)</t>
  </si>
  <si>
    <t>SP400BT (VSD)</t>
  </si>
  <si>
    <t>Pompe</t>
  </si>
  <si>
    <t>Consommation annuelle (kWh)</t>
  </si>
  <si>
    <t>Économies d'énergie (kWh)</t>
  </si>
  <si>
    <t>Économies d'énergie (%)</t>
  </si>
  <si>
    <t>Cout du kWh</t>
  </si>
  <si>
    <t>Nombre d'heures de filtration</t>
  </si>
  <si>
    <t>Total</t>
  </si>
  <si>
    <t>Model</t>
  </si>
  <si>
    <t>Imput Power (W)</t>
  </si>
  <si>
    <t>Débit (m3/h)</t>
  </si>
  <si>
    <t>SLL150E</t>
  </si>
  <si>
    <t>SLL200E</t>
  </si>
  <si>
    <t>SLL300E</t>
  </si>
  <si>
    <t>SLL400E</t>
  </si>
  <si>
    <t>Volume de la piscine m3</t>
  </si>
  <si>
    <t>Puissance (CV)</t>
  </si>
  <si>
    <t>Dial Position</t>
  </si>
  <si>
    <t>SP200BT</t>
  </si>
  <si>
    <t>SP400BT</t>
  </si>
  <si>
    <t>Cout de fonctionnement de la pompe mono par saison</t>
  </si>
  <si>
    <t>Temp de fonctionnement (Heure)</t>
  </si>
  <si>
    <t xml:space="preserve">Puissance (W) </t>
  </si>
  <si>
    <t>(Puissance (W) * Temps de fonctionnement * Prix kWh) / 1000</t>
  </si>
  <si>
    <t>Heure</t>
  </si>
  <si>
    <t>Vitesse</t>
  </si>
  <si>
    <t>Durée (h)</t>
  </si>
  <si>
    <t>Volume filtré (m³)</t>
  </si>
  <si>
    <t>V1</t>
  </si>
  <si>
    <t>6-8h</t>
  </si>
  <si>
    <t>V2</t>
  </si>
  <si>
    <t>8-10h</t>
  </si>
  <si>
    <t>V3</t>
  </si>
  <si>
    <t>10-12h</t>
  </si>
  <si>
    <t>V4</t>
  </si>
  <si>
    <t>12-15h</t>
  </si>
  <si>
    <t>V5</t>
  </si>
  <si>
    <t>15-18h</t>
  </si>
  <si>
    <t>18-20h</t>
  </si>
  <si>
    <t>20-24h</t>
  </si>
  <si>
    <t>20m3</t>
  </si>
  <si>
    <t>30m3</t>
  </si>
  <si>
    <t>40m3</t>
  </si>
  <si>
    <t>50m3</t>
  </si>
  <si>
    <t>60m3</t>
  </si>
  <si>
    <t>70m3</t>
  </si>
  <si>
    <t>80m3</t>
  </si>
  <si>
    <t>90m3</t>
  </si>
  <si>
    <t>100m3</t>
  </si>
  <si>
    <t>110m3</t>
  </si>
  <si>
    <t>120m3</t>
  </si>
  <si>
    <t>0-10h</t>
  </si>
  <si>
    <t>Consommation (W)</t>
  </si>
  <si>
    <t>10-18h</t>
  </si>
  <si>
    <t>18-24h</t>
  </si>
  <si>
    <t>0-24h</t>
  </si>
  <si>
    <t>V6</t>
  </si>
  <si>
    <t>V7</t>
  </si>
  <si>
    <t>V8</t>
  </si>
  <si>
    <t>V9</t>
  </si>
  <si>
    <t>V10</t>
  </si>
  <si>
    <t>Débit théorique m3/h</t>
  </si>
  <si>
    <t>0-4h</t>
  </si>
  <si>
    <t>4-6h</t>
  </si>
  <si>
    <t>15-17h</t>
  </si>
  <si>
    <t>17-19h</t>
  </si>
  <si>
    <t>19-21h</t>
  </si>
  <si>
    <t>21-24h</t>
  </si>
  <si>
    <t>17-20h</t>
  </si>
  <si>
    <t>20-22h</t>
  </si>
  <si>
    <t>22-24h</t>
  </si>
  <si>
    <t>Durée de la saison en mois</t>
  </si>
  <si>
    <t>Puissance Pompe actuelle  (CV)</t>
  </si>
  <si>
    <t>Economies réalisées</t>
  </si>
  <si>
    <t>Cout de fonctionnement avec une pompe VSD</t>
  </si>
  <si>
    <t>(Consommation Total journalière (W) *(Durée de la saison * 30) * Prix kWh) / 1000</t>
  </si>
  <si>
    <t>Tableau correspondance Volume Piscine/Watts</t>
  </si>
  <si>
    <t>Cout de fonctionnement de la pompe mono par saison - Cout de fonctionnement avec une pompe VSD</t>
  </si>
  <si>
    <t>Soit</t>
  </si>
  <si>
    <t>Economies d'énergie</t>
  </si>
  <si>
    <t>Economies chaque année</t>
  </si>
  <si>
    <t xml:space="preserve"> Volume Piscine (m3)</t>
  </si>
  <si>
    <t>Pompes Mono SLL</t>
  </si>
  <si>
    <t>Pompes Mono DSF</t>
  </si>
  <si>
    <t>DSF150CE</t>
  </si>
  <si>
    <t>DSF200CE</t>
  </si>
  <si>
    <t>DSF250CE</t>
  </si>
  <si>
    <t>DSF300CE</t>
  </si>
  <si>
    <t>DSF420CE</t>
  </si>
  <si>
    <t>Conso Watt/Jour Silensor VSD</t>
  </si>
  <si>
    <t>DSF250VSCE</t>
  </si>
  <si>
    <t>DSF420VSCE</t>
  </si>
  <si>
    <t>Speed</t>
  </si>
  <si>
    <t>DSF250VS</t>
  </si>
  <si>
    <t>DSF420VS</t>
  </si>
  <si>
    <t>0-6h</t>
  </si>
  <si>
    <t>6-10h</t>
  </si>
  <si>
    <t>10-14h</t>
  </si>
  <si>
    <t>14-20h</t>
  </si>
  <si>
    <t>0-20h</t>
  </si>
  <si>
    <t>0-18h</t>
  </si>
  <si>
    <t>10-17h</t>
  </si>
  <si>
    <t>17-22h</t>
  </si>
  <si>
    <t>Conso Watt/Jour StarFlo VS</t>
  </si>
  <si>
    <t>(Consommation Total journalière (W) StarFloVS *(Durée de la saison * 30) * Prix kWh) / 1000</t>
  </si>
  <si>
    <t>Modèle préconisé pour une piscine de</t>
  </si>
  <si>
    <t>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</si>
</sst>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18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22"/>
      <color theme="8" tint="-0.249977111117893"/>
      <name val="Calibri"/>
      <family val="2"/>
      <scheme val="minor"/>
    </font>
    <font>
      <b/>
      <sz val="20"/>
      <color rgb="FF3F3F76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6"/>
      <color rgb="FF3F3F3F"/>
      <name val="Calibri"/>
      <family val="2"/>
      <scheme val="minor"/>
    </font>
    <font>
      <b/>
      <sz val="48"/>
      <color theme="9" tint="-0.249977111117893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9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indexed="64"/>
      </left>
      <right style="thin">
        <color rgb="FF3F3F3F"/>
      </right>
      <top style="medium">
        <color indexed="64"/>
      </top>
      <bottom style="thin">
        <color rgb="FF3F3F3F"/>
      </bottom>
      <diagonal/>
    </border>
    <border>
      <left style="medium">
        <color indexed="64"/>
      </left>
      <right style="thin">
        <color rgb="FF3F3F3F"/>
      </right>
      <top style="thin">
        <color rgb="FF3F3F3F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</borders>
  <cellStyleXfs count="13">
    <xf numFmtId="0" fontId="0" fillId="0" borderId="0"/>
    <xf numFmtId="9" fontId="3" fillId="0" borderId="0" applyFont="0" applyFill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8" fillId="16" borderId="7" applyNumberFormat="0" applyAlignment="0" applyProtection="0"/>
    <xf numFmtId="0" fontId="9" fillId="17" borderId="8" applyNumberFormat="0" applyAlignment="0" applyProtection="0"/>
    <xf numFmtId="0" fontId="3" fillId="18" borderId="0" applyNumberFormat="0" applyBorder="0" applyAlignment="0" applyProtection="0"/>
    <xf numFmtId="0" fontId="10" fillId="19" borderId="0" applyNumberFormat="0" applyBorder="0" applyAlignment="0" applyProtection="0"/>
  </cellStyleXfs>
  <cellXfs count="57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6" borderId="1" xfId="6" applyBorder="1"/>
    <xf numFmtId="0" fontId="3" fillId="8" borderId="1" xfId="8" applyBorder="1"/>
    <xf numFmtId="0" fontId="3" fillId="3" borderId="1" xfId="3" applyBorder="1"/>
    <xf numFmtId="0" fontId="3" fillId="5" borderId="1" xfId="5" applyBorder="1"/>
    <xf numFmtId="0" fontId="3" fillId="2" borderId="1" xfId="2" applyBorder="1"/>
    <xf numFmtId="0" fontId="0" fillId="0" borderId="0" xfId="0" applyAlignment="1">
      <alignment horizontal="center" vertical="center"/>
    </xf>
    <xf numFmtId="12" fontId="3" fillId="7" borderId="1" xfId="7" applyNumberFormat="1" applyBorder="1" applyAlignment="1">
      <alignment horizontal="center" vertical="center"/>
    </xf>
    <xf numFmtId="0" fontId="3" fillId="7" borderId="1" xfId="7" applyBorder="1" applyAlignment="1">
      <alignment horizontal="center" vertical="center"/>
    </xf>
    <xf numFmtId="0" fontId="0" fillId="10" borderId="1" xfId="0" applyFill="1" applyBorder="1"/>
    <xf numFmtId="0" fontId="3" fillId="6" borderId="1" xfId="6" applyBorder="1" applyAlignment="1">
      <alignment horizontal="center" vertical="center"/>
    </xf>
    <xf numFmtId="0" fontId="3" fillId="5" borderId="1" xfId="5" applyBorder="1" applyAlignment="1">
      <alignment horizontal="center" vertical="center"/>
    </xf>
    <xf numFmtId="0" fontId="4" fillId="0" borderId="0" xfId="0" applyFont="1"/>
    <xf numFmtId="164" fontId="0" fillId="0" borderId="0" xfId="0" applyNumberFormat="1"/>
    <xf numFmtId="0" fontId="0" fillId="11" borderId="1" xfId="0" applyFill="1" applyBorder="1" applyAlignment="1">
      <alignment horizontal="center" vertical="center"/>
    </xf>
    <xf numFmtId="0" fontId="3" fillId="11" borderId="1" xfId="7" applyFill="1" applyBorder="1" applyAlignment="1">
      <alignment horizontal="center" vertical="center"/>
    </xf>
    <xf numFmtId="0" fontId="3" fillId="11" borderId="4" xfId="7" applyFill="1" applyBorder="1" applyAlignment="1">
      <alignment horizontal="center" vertical="center"/>
    </xf>
    <xf numFmtId="0" fontId="3" fillId="4" borderId="1" xfId="4" applyBorder="1" applyAlignment="1"/>
    <xf numFmtId="0" fontId="3" fillId="2" borderId="1" xfId="2" applyBorder="1" applyAlignment="1">
      <alignment horizontal="center" vertical="center"/>
    </xf>
    <xf numFmtId="0" fontId="4" fillId="0" borderId="4" xfId="0" applyFont="1" applyBorder="1" applyAlignment="1">
      <alignment horizontal="center" vertical="top"/>
    </xf>
    <xf numFmtId="0" fontId="6" fillId="1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top"/>
    </xf>
    <xf numFmtId="0" fontId="3" fillId="0" borderId="0" xfId="8" applyFill="1" applyBorder="1" applyAlignment="1"/>
    <xf numFmtId="0" fontId="6" fillId="14" borderId="0" xfId="0" applyFont="1" applyFill="1"/>
    <xf numFmtId="0" fontId="6" fillId="12" borderId="0" xfId="0" applyFont="1" applyFill="1"/>
    <xf numFmtId="9" fontId="0" fillId="0" borderId="0" xfId="1" applyFont="1"/>
    <xf numFmtId="0" fontId="3" fillId="15" borderId="1" xfId="4" applyFill="1" applyBorder="1" applyAlignment="1">
      <alignment horizontal="center" vertical="center"/>
    </xf>
    <xf numFmtId="0" fontId="3" fillId="15" borderId="3" xfId="4" applyFill="1" applyBorder="1" applyAlignment="1"/>
    <xf numFmtId="0" fontId="0" fillId="9" borderId="1" xfId="0" applyFill="1" applyBorder="1" applyAlignment="1">
      <alignment horizontal="center" vertical="center"/>
    </xf>
    <xf numFmtId="0" fontId="3" fillId="8" borderId="1" xfId="8" applyBorder="1" applyAlignment="1">
      <alignment horizontal="center" vertical="center" wrapText="1"/>
    </xf>
    <xf numFmtId="0" fontId="7" fillId="14" borderId="0" xfId="0" applyFont="1" applyFill="1"/>
    <xf numFmtId="0" fontId="7" fillId="10" borderId="0" xfId="0" applyFont="1" applyFill="1"/>
    <xf numFmtId="0" fontId="0" fillId="0" borderId="0" xfId="0" applyProtection="1">
      <protection locked="0"/>
    </xf>
    <xf numFmtId="0" fontId="0" fillId="0" borderId="0" xfId="0" applyAlignment="1" applyProtection="1">
      <alignment horizontal="center" vertical="center"/>
      <protection locked="0"/>
    </xf>
    <xf numFmtId="2" fontId="3" fillId="7" borderId="1" xfId="7" applyNumberFormat="1" applyBorder="1" applyAlignment="1">
      <alignment horizontal="center" vertical="center"/>
    </xf>
    <xf numFmtId="0" fontId="3" fillId="4" borderId="1" xfId="4" applyBorder="1" applyAlignment="1">
      <alignment horizontal="center"/>
    </xf>
    <xf numFmtId="0" fontId="3" fillId="4" borderId="2" xfId="4" applyBorder="1" applyAlignment="1">
      <alignment horizontal="center"/>
    </xf>
    <xf numFmtId="0" fontId="3" fillId="4" borderId="3" xfId="4" applyBorder="1" applyAlignment="1">
      <alignment horizontal="center"/>
    </xf>
    <xf numFmtId="0" fontId="3" fillId="8" borderId="1" xfId="8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14" fillId="16" borderId="7" xfId="9" applyFont="1" applyAlignment="1">
      <alignment horizontal="center" vertical="center"/>
    </xf>
    <xf numFmtId="0" fontId="15" fillId="19" borderId="4" xfId="12" applyFont="1" applyBorder="1" applyAlignment="1">
      <alignment horizontal="center" vertical="center"/>
    </xf>
    <xf numFmtId="0" fontId="15" fillId="19" borderId="4" xfId="12" applyFont="1" applyBorder="1" applyAlignment="1">
      <alignment horizontal="center" vertical="center" wrapText="1"/>
    </xf>
    <xf numFmtId="10" fontId="11" fillId="18" borderId="6" xfId="11" applyNumberFormat="1" applyFont="1" applyBorder="1" applyAlignment="1">
      <alignment horizontal="center" vertical="center"/>
    </xf>
    <xf numFmtId="164" fontId="11" fillId="18" borderId="5" xfId="11" applyNumberFormat="1" applyFont="1" applyBorder="1" applyAlignment="1">
      <alignment horizontal="center" vertical="center"/>
    </xf>
    <xf numFmtId="0" fontId="13" fillId="0" borderId="0" xfId="0" applyFont="1" applyProtection="1">
      <protection locked="0"/>
    </xf>
    <xf numFmtId="0" fontId="12" fillId="0" borderId="0" xfId="0" applyFont="1"/>
    <xf numFmtId="0" fontId="13" fillId="0" borderId="0" xfId="0" applyFont="1"/>
    <xf numFmtId="0" fontId="17" fillId="0" borderId="0" xfId="0" applyFont="1" applyAlignment="1">
      <alignment horizontal="center" vertical="center"/>
    </xf>
    <xf numFmtId="0" fontId="16" fillId="17" borderId="9" xfId="10" applyFont="1" applyBorder="1" applyAlignment="1">
      <alignment horizontal="center" vertical="center"/>
    </xf>
    <xf numFmtId="0" fontId="16" fillId="17" borderId="10" xfId="10" applyFont="1" applyBorder="1" applyAlignment="1">
      <alignment horizontal="center" vertical="center"/>
    </xf>
    <xf numFmtId="0" fontId="14" fillId="16" borderId="11" xfId="9" applyFont="1" applyBorder="1" applyAlignment="1">
      <alignment horizontal="center" vertical="center"/>
    </xf>
    <xf numFmtId="0" fontId="13" fillId="0" borderId="0" xfId="0" applyFont="1" applyAlignment="1">
      <alignment horizontal="center"/>
    </xf>
  </cellXfs>
  <cellStyles count="13">
    <cellStyle name="20 % - Accent2" xfId="2" builtinId="34"/>
    <cellStyle name="20 % - Accent5" xfId="5" builtinId="46"/>
    <cellStyle name="40 % - Accent5" xfId="6" builtinId="47"/>
    <cellStyle name="40 % - Accent6" xfId="7" builtinId="51"/>
    <cellStyle name="60 % - Accent2" xfId="3" builtinId="36"/>
    <cellStyle name="60 % - Accent3" xfId="11" builtinId="40"/>
    <cellStyle name="60 % - Accent4" xfId="4" builtinId="44"/>
    <cellStyle name="60 % - Accent6" xfId="8" builtinId="52"/>
    <cellStyle name="Accent6" xfId="12" builtinId="49"/>
    <cellStyle name="Entrée" xfId="9" builtinId="20"/>
    <cellStyle name="Normal" xfId="0" builtinId="0"/>
    <cellStyle name="Pourcentage" xfId="1" builtinId="5"/>
    <cellStyle name="Sortie" xfId="10" builtinId="21"/>
  </cellStyles>
  <dxfs count="369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20"/>
        <color rgb="FF3F3F76"/>
        <name val="Calibri"/>
        <family val="2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/>
        <strike val="0"/>
        <outline val="0"/>
        <shadow val="0"/>
        <u val="none"/>
        <vertAlign val="baseline"/>
        <sz val="20"/>
        <color rgb="FF3F3F76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rgb="FF7F7F7F"/>
        </left>
        <right style="thin">
          <color rgb="FF7F7F7F"/>
        </right>
        <top style="thin">
          <color rgb="FF7F7F7F"/>
        </top>
        <bottom/>
        <vertical/>
        <horizontal/>
      </border>
      <protection locked="1" hidden="0"/>
    </dxf>
    <dxf>
      <font>
        <b/>
        <strike val="0"/>
        <outline val="0"/>
        <shadow val="0"/>
        <u val="none"/>
        <vertAlign val="baseline"/>
        <sz val="20"/>
        <color rgb="FF3F3F76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rgb="FF7F7F7F"/>
        </left>
        <right style="thin">
          <color rgb="FF7F7F7F"/>
        </right>
        <top style="thin">
          <color rgb="FF7F7F7F"/>
        </top>
        <bottom/>
        <vertical/>
        <horizontal/>
      </border>
      <protection locked="1" hidden="0"/>
    </dxf>
    <dxf>
      <font>
        <b/>
        <strike val="0"/>
        <outline val="0"/>
        <shadow val="0"/>
        <u val="none"/>
        <vertAlign val="baseline"/>
        <sz val="20"/>
        <color rgb="FF3F3F76"/>
        <name val="Calibri"/>
        <family val="2"/>
        <scheme val="minor"/>
      </font>
      <numFmt numFmtId="17" formatCode="#&quot; &quot;?/?"/>
      <alignment horizontal="center" vertical="center" textRotation="0" wrapText="0" indent="0" justifyLastLine="0" shrinkToFit="0" readingOrder="0"/>
      <border diagonalUp="0" diagonalDown="0">
        <left style="thin">
          <color rgb="FF7F7F7F"/>
        </left>
        <right style="thin">
          <color rgb="FF7F7F7F"/>
        </right>
        <top style="thin">
          <color rgb="FF7F7F7F"/>
        </top>
        <bottom/>
        <vertical/>
        <horizontal/>
      </border>
      <protection locked="1" hidden="0"/>
    </dxf>
    <dxf>
      <font>
        <b/>
        <strike val="0"/>
        <outline val="0"/>
        <shadow val="0"/>
        <u val="none"/>
        <vertAlign val="baseline"/>
        <sz val="20"/>
        <color rgb="FF3F3F76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rgb="FF7F7F7F"/>
        </left>
        <right style="thin">
          <color rgb="FF7F7F7F"/>
        </right>
        <top style="thin">
          <color rgb="FF7F7F7F"/>
        </top>
        <bottom/>
        <vertical/>
        <horizontal/>
      </border>
      <protection locked="1" hidden="0"/>
    </dxf>
    <dxf>
      <font>
        <b/>
        <strike val="0"/>
        <outline val="0"/>
        <shadow val="0"/>
        <u val="none"/>
        <vertAlign val="baseline"/>
        <sz val="20"/>
        <color rgb="FF3F3F76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rgb="FF7F7F7F"/>
        </left>
        <right style="thin">
          <color rgb="FF7F7F7F"/>
        </right>
        <top style="thin">
          <color rgb="FF7F7F7F"/>
        </top>
        <bottom/>
        <vertical/>
        <horizontal/>
      </border>
      <protection locked="0" hidden="0"/>
    </dxf>
    <dxf>
      <border outline="0">
        <bottom style="thin">
          <color indexed="64"/>
        </bottom>
      </border>
    </dxf>
    <dxf>
      <border outline="0">
        <bottom style="thin">
          <color rgb="FF7F7F7F"/>
        </bottom>
      </border>
    </dxf>
    <dxf>
      <font>
        <b/>
        <strike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20"/>
        <color rgb="FF3F3F76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color rgb="FF3F3F76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color rgb="FF3F3F76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color rgb="FF3F3F76"/>
        <name val="Calibri"/>
        <family val="2"/>
        <scheme val="minor"/>
      </font>
      <numFmt numFmtId="17" formatCode="#&quot; &quot;?/?"/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color rgb="FF3F3F76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color rgb="FF3F3F76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rgb="FF000000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rgb="FF000000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rgb="FF000000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rgb="FF000000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rgb="FF000000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rgb="FF000000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rgb="FF000000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rgb="FF000000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rgb="FF000000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rgb="FF000000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rgb="FF000000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22/10/relationships/richValueRel" Target="richData/richValueRel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06/relationships/rdRichValue" Target="richData/rdrichvalue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">
  <rv s="0">
    <v>0</v>
    <v>5</v>
  </rv>
  <rv s="0">
    <v>1</v>
    <v>5</v>
  </rv>
  <rv s="0">
    <v>2</v>
    <v>5</v>
  </rv>
  <rv s="0">
    <v>0</v>
    <v>4</v>
  </rv>
  <rv s="0">
    <v>2</v>
    <v>4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BC3D4B-96C1-4047-BCE8-16564AA4BB08}" name="Tableau3" displayName="Tableau3" ref="B3:G12" totalsRowCount="1" headerRowDxfId="368" dataDxfId="366" headerRowBorderDxfId="367" tableBorderDxfId="365">
  <tableColumns count="6">
    <tableColumn id="1" xr3:uid="{4F6312AF-18BA-44ED-8FB9-335C82F22D3D}" name="Heure" totalsRowLabel="Total" dataDxfId="364" totalsRowDxfId="363"/>
    <tableColumn id="2" xr3:uid="{6B9C6922-DBAF-4A98-ADB5-32E66BD40390}" name="Vitesse" dataDxfId="362" totalsRowDxfId="361"/>
    <tableColumn id="3" xr3:uid="{852616E1-6D1A-4CA0-8513-FEB9E76F02C8}" name="Débit (m3/h)" dataDxfId="360" totalsRowDxfId="359">
      <calculatedColumnFormula>VLOOKUP(Tableau3[[#This Row],[Vitesse]],Données!$B$40:$C$49,2,0)</calculatedColumnFormula>
    </tableColumn>
    <tableColumn id="4" xr3:uid="{1EC14715-6A1D-40F2-9D33-B77D7C422F93}" name="Durée (h)" dataDxfId="358" totalsRowDxfId="357"/>
    <tableColumn id="5" xr3:uid="{AFE0A7EC-D304-4870-95F8-C49A55C14F9F}" name="Volume filtré (m³)" totalsRowFunction="custom" dataDxfId="356" totalsRowDxfId="355">
      <calculatedColumnFormula>Tableau3[[#This Row],[Durée (h)]]*Tableau3[[#This Row],[Débit (m3/h)]]</calculatedColumnFormula>
      <totalsRowFormula>F4+F5+F6+F7+F8+F9+F10+F11</totalsRowFormula>
    </tableColumn>
    <tableColumn id="6" xr3:uid="{556AC910-56EB-4B26-B815-3DC93CBA99AD}" name="Consommation (W)" totalsRowFunction="custom" dataDxfId="354" totalsRowDxfId="353">
      <calculatedColumnFormula>Tableau3[[#This Row],[Durée (h)]]*VLOOKUP(Tableau3[[#This Row],[Vitesse]],Données!$B$26:$C$35,2,0)</calculatedColumnFormula>
      <totalsRowFormula>G4+G5+G6+G7+G8+G9+G10+G11</totalsRowFormula>
    </tableColumn>
  </tableColumns>
  <tableStyleInfo name="TableStyleMedium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56F5065C-98C5-41E0-AD8E-146DBD96BA94}" name="Tableau321" displayName="Tableau321" ref="I3:N12" totalsRowCount="1" headerRowDxfId="352" dataDxfId="350" headerRowBorderDxfId="351" tableBorderDxfId="349">
  <tableColumns count="6">
    <tableColumn id="1" xr3:uid="{F758C34D-16C5-4F47-B276-612A89093853}" name="Heure" totalsRowLabel="Total" dataDxfId="348" totalsRowDxfId="347"/>
    <tableColumn id="2" xr3:uid="{48FBF954-0805-4385-8E91-DD3927F072B3}" name="Vitesse" dataDxfId="346" totalsRowDxfId="345"/>
    <tableColumn id="3" xr3:uid="{85BDB4EB-6DB8-4B50-8A3C-D2C5BA3F5E7C}" name="Débit (m3/h)" dataDxfId="344" totalsRowDxfId="343"/>
    <tableColumn id="4" xr3:uid="{0A1DBB41-E18A-4C55-BC41-5C8F86050333}" name="Durée (h)" dataDxfId="342" totalsRowDxfId="341"/>
    <tableColumn id="5" xr3:uid="{FA348293-73E9-462C-80CF-B3C912B3F28E}" name="Volume filtré (m³)" totalsRowFunction="custom" dataDxfId="340" totalsRowDxfId="339">
      <calculatedColumnFormula>Tableau321[[#This Row],[Durée (h)]]*Tableau321[[#This Row],[Débit (m3/h)]]</calculatedColumnFormula>
      <totalsRowFormula>M4+M5+M6+M7+M8+M9+M10+M11</totalsRowFormula>
    </tableColumn>
    <tableColumn id="6" xr3:uid="{3236B045-21BD-4557-A57C-9DC6C7B34163}" name="Consommation (W)" totalsRowFunction="custom" dataDxfId="338" totalsRowDxfId="337">
      <calculatedColumnFormula>Tableau321[[#This Row],[Durée (h)]]*Données!#REF!</calculatedColumnFormula>
      <totalsRowFormula>N4+N5+N6+N7+N8+N9+N10+N11</totalsRowFormula>
    </tableColumn>
  </tableColumns>
  <tableStyleInfo name="TableStyleMedium1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70360F5-F5FA-4AA2-80F3-A491ECA2DFB7}" name="Tableau322" displayName="Tableau322" ref="P3:U12" totalsRowCount="1" headerRowDxfId="336" dataDxfId="334" headerRowBorderDxfId="335" tableBorderDxfId="333">
  <tableColumns count="6">
    <tableColumn id="1" xr3:uid="{2DA4850E-D527-4D32-896D-8EB6DCEA831F}" name="Heure" totalsRowLabel="Total" dataDxfId="332" totalsRowDxfId="331"/>
    <tableColumn id="2" xr3:uid="{EC0C8347-8100-4FE1-8AE5-D116A1388C26}" name="Vitesse" dataDxfId="330" totalsRowDxfId="329"/>
    <tableColumn id="3" xr3:uid="{68CCE3D4-C8B0-4D5F-8596-212B430B5927}" name="Débit (m3/h)" dataDxfId="328" totalsRowDxfId="327"/>
    <tableColumn id="4" xr3:uid="{F7E0A320-1B83-4DB6-96F7-300EC67BF7D9}" name="Durée (h)" dataDxfId="326" totalsRowDxfId="325"/>
    <tableColumn id="5" xr3:uid="{5C5C6469-7CEF-49C6-8655-EA8829C58142}" name="Volume filtré (m³)" totalsRowFunction="custom" dataDxfId="324" totalsRowDxfId="323">
      <calculatedColumnFormula>Tableau322[[#This Row],[Durée (h)]]*Tableau322[[#This Row],[Débit (m3/h)]]</calculatedColumnFormula>
      <totalsRowFormula>T4+T5+T6+T7+T8+T9+T10+T11</totalsRowFormula>
    </tableColumn>
    <tableColumn id="6" xr3:uid="{98BABB5A-F7E7-43DD-B3FA-745D6984286A}" name="Consommation (W)" totalsRowFunction="custom" dataDxfId="322" totalsRowDxfId="321">
      <calculatedColumnFormula>Tableau322[[#This Row],[Durée (h)]]*VLOOKUP(Tableau322[[#This Row],[Vitesse]],Données!$B$26:$C$35,2,0)</calculatedColumnFormula>
      <totalsRowFormula>U4+U5+U6+U7+U8+U9+U10+U11</totalsRowFormula>
    </tableColumn>
  </tableColumns>
  <tableStyleInfo name="TableStyleMedium1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0A96E6C-ECE9-4824-99AF-5A07A05C4D06}" name="Tableau323" displayName="Tableau323" ref="B18:G29" totalsRowCount="1" headerRowDxfId="320" dataDxfId="318" headerRowBorderDxfId="319" tableBorderDxfId="317">
  <tableColumns count="6">
    <tableColumn id="1" xr3:uid="{F4CD414F-C1A9-4982-83AE-832650257CD6}" name="Heure" totalsRowLabel="Total" dataDxfId="316" totalsRowDxfId="315"/>
    <tableColumn id="2" xr3:uid="{60B94ACE-29A2-4B4F-91DB-CAD65C22219E}" name="Vitesse" dataDxfId="314" totalsRowDxfId="313"/>
    <tableColumn id="3" xr3:uid="{81F8015D-2835-4623-8677-51D98537EDCC}" name="Débit (m3/h)" dataDxfId="312" totalsRowDxfId="311">
      <calculatedColumnFormula>VLOOKUP(Tableau323[[#This Row],[Vitesse]],Données!$B$40:$C$49,2,0)</calculatedColumnFormula>
    </tableColumn>
    <tableColumn id="4" xr3:uid="{E72289A5-E665-4C67-8191-2F24CC8F860C}" name="Durée (h)" dataDxfId="310" totalsRowDxfId="309"/>
    <tableColumn id="5" xr3:uid="{ABB250C7-B9E5-4067-9ED4-9FE2979E4A57}" name="Volume filtré (m³)" totalsRowFunction="custom" dataDxfId="308" totalsRowDxfId="307">
      <calculatedColumnFormula>Tableau323[[#This Row],[Durée (h)]]*Tableau323[[#This Row],[Débit (m3/h)]]</calculatedColumnFormula>
      <totalsRowFormula>F19+F20+F21+F22+F23+F24+F25+F26+F27+F28</totalsRowFormula>
    </tableColumn>
    <tableColumn id="6" xr3:uid="{596972BF-BAC3-4F8E-B5B9-133FF733D8AD}" name="Consommation (W)" totalsRowFunction="custom" dataDxfId="306" totalsRowDxfId="305">
      <calculatedColumnFormula>Tableau323[[#This Row],[Durée (h)]]*VLOOKUP(Tableau323[[#This Row],[Vitesse]],Données!$B$26:$C$35,2,0)</calculatedColumnFormula>
      <totalsRowFormula>G19+G20+G21+G22+G23+G24+G25+G26+G27+G28</totalsRowFormula>
    </tableColumn>
  </tableColumns>
  <tableStyleInfo name="TableStyleMedium1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F59E1DAE-449F-4832-B12B-503A4F38FF7F}" name="Tableau324" displayName="Tableau324" ref="I18:N29" totalsRowCount="1" headerRowDxfId="304" dataDxfId="302" headerRowBorderDxfId="303" tableBorderDxfId="301">
  <tableColumns count="6">
    <tableColumn id="1" xr3:uid="{20B3452F-8944-4810-83FA-8A8EE20FB5EA}" name="Heure" totalsRowLabel="Total" dataDxfId="300" totalsRowDxfId="299"/>
    <tableColumn id="2" xr3:uid="{69C7F264-5C1F-4FF7-8753-5619FFAF7EBB}" name="Vitesse" dataDxfId="298" totalsRowDxfId="297"/>
    <tableColumn id="3" xr3:uid="{72BBECA3-1D13-4620-B39D-267054D05E26}" name="Débit (m3/h)" dataDxfId="296" totalsRowDxfId="295">
      <calculatedColumnFormula>VLOOKUP(Tableau324[[#This Row],[Vitesse]],Données!$B$40:$C$49,2,0)</calculatedColumnFormula>
    </tableColumn>
    <tableColumn id="4" xr3:uid="{8BE2CEA4-9581-47AA-B189-78AD30A24CEC}" name="Durée (h)" dataDxfId="294" totalsRowDxfId="293"/>
    <tableColumn id="5" xr3:uid="{C792A173-6A2B-453E-AE72-875DD591BDB5}" name="Volume filtré (m³)" totalsRowFunction="custom" dataDxfId="292" totalsRowDxfId="291">
      <calculatedColumnFormula>Tableau324[[#This Row],[Durée (h)]]*Tableau324[[#This Row],[Débit (m3/h)]]</calculatedColumnFormula>
      <totalsRowFormula>M19+M20+M21+M22+M23+M24+M25+M26+M27+M28</totalsRowFormula>
    </tableColumn>
    <tableColumn id="6" xr3:uid="{76971271-DF85-4A74-9AC2-C6A8CE1DC9C4}" name="Consommation (W)" totalsRowFunction="custom" dataDxfId="290" totalsRowDxfId="289">
      <calculatedColumnFormula>Tableau324[[#This Row],[Durée (h)]]*VLOOKUP(Tableau324[[#This Row],[Vitesse]],Données!$B$26:$C$35,2,0)</calculatedColumnFormula>
      <totalsRowFormula>N19+N20+N21+N22+N23+N24+N25+N26+N27+N28</totalsRow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626F534-F1EA-453D-8C2D-3A80CC1ADD1F}" name="Tableau325" displayName="Tableau325" ref="P18:U29" totalsRowCount="1" headerRowDxfId="288" dataDxfId="286" headerRowBorderDxfId="287" tableBorderDxfId="285">
  <tableColumns count="6">
    <tableColumn id="1" xr3:uid="{D9E3B690-CDCA-4C52-AEA8-CD51CAF4549E}" name="Heure" totalsRowLabel="Total" dataDxfId="284" totalsRowDxfId="283"/>
    <tableColumn id="2" xr3:uid="{1366B210-3AB9-49CD-A375-148C355B4F89}" name="Vitesse" dataDxfId="282" totalsRowDxfId="281"/>
    <tableColumn id="3" xr3:uid="{C2CAE289-7C19-4402-BA91-D960399195A5}" name="Débit (m3/h)" dataDxfId="280" totalsRowDxfId="279">
      <calculatedColumnFormula>VLOOKUP(Tableau325[[#This Row],[Vitesse]],Données!$B$40:$C$49,2,0)</calculatedColumnFormula>
    </tableColumn>
    <tableColumn id="4" xr3:uid="{229339BD-D20F-429D-BE18-B0E02C49C7A7}" name="Durée (h)" dataDxfId="278" totalsRowDxfId="277"/>
    <tableColumn id="5" xr3:uid="{2763FC92-D789-4C6A-98D6-FA9B2489E21D}" name="Volume filtré (m³)" totalsRowFunction="custom" dataDxfId="276" totalsRowDxfId="275">
      <calculatedColumnFormula>Tableau325[[#This Row],[Durée (h)]]*Tableau325[[#This Row],[Débit (m3/h)]]</calculatedColumnFormula>
      <totalsRowFormula>T19+T20+T21+T22+T23+T24+T25+T26+T27+T28</totalsRowFormula>
    </tableColumn>
    <tableColumn id="6" xr3:uid="{43373A14-32E8-4A52-B41E-620CF4C1D725}" name="Consommation (W)" totalsRowFunction="custom" dataDxfId="274" totalsRowDxfId="273">
      <calculatedColumnFormula>Tableau325[[#This Row],[Durée (h)]]*VLOOKUP(Tableau325[[#This Row],[Vitesse]],Données!$B$26:$C$35,2,0)</calculatedColumnFormula>
      <totalsRowFormula>U19+U20+U21+U22+U23+U24+U25+U26+U27+U28</totalsRowFormula>
    </tableColumn>
  </tableColumns>
  <tableStyleInfo name="TableStyleMedium1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F8525340-D71B-4B8F-920C-B88864484041}" name="Tableau326" displayName="Tableau326" ref="B35:G46" totalsRowCount="1" headerRowDxfId="272" dataDxfId="270" headerRowBorderDxfId="271" tableBorderDxfId="269">
  <tableColumns count="6">
    <tableColumn id="1" xr3:uid="{369014F1-26C9-4458-99E2-3D8607CC46E8}" name="Heure" totalsRowLabel="Total" dataDxfId="268" totalsRowDxfId="267"/>
    <tableColumn id="2" xr3:uid="{778EBB5C-58DA-43F1-8161-A9A79814DCA1}" name="Vitesse" dataDxfId="266" totalsRowDxfId="265"/>
    <tableColumn id="3" xr3:uid="{52979980-C7CC-413B-A6CB-B40BFD5906D0}" name="Débit (m3/h)" dataDxfId="264" totalsRowDxfId="263">
      <calculatedColumnFormula>VLOOKUP(Tableau326[[#This Row],[Vitesse]],Données!$E$40:$F$49,2,0)</calculatedColumnFormula>
    </tableColumn>
    <tableColumn id="4" xr3:uid="{08CB9B61-EEDB-4E58-AACD-0547A6B8B3AB}" name="Durée (h)" dataDxfId="262" totalsRowDxfId="261"/>
    <tableColumn id="5" xr3:uid="{89A8C1DD-16D2-4B71-8F90-22D5239F56ED}" name="Volume filtré (m³)" totalsRowFunction="custom" dataDxfId="260" totalsRowDxfId="259">
      <calculatedColumnFormula>Tableau326[[#This Row],[Durée (h)]]*Tableau326[[#This Row],[Débit (m3/h)]]</calculatedColumnFormula>
      <totalsRowFormula>F36+F37+F38+F39+F40+F41+F42+F43+F44+F45</totalsRowFormula>
    </tableColumn>
    <tableColumn id="6" xr3:uid="{8CFE5900-03A1-451D-8D42-82B4D2BFE720}" name="Consommation (W)" totalsRowFunction="custom" dataDxfId="258" totalsRowDxfId="257">
      <calculatedColumnFormula>Tableau326[[#This Row],[Durée (h)]]*VLOOKUP(Tableau326[[#This Row],[Vitesse]],Données!$E$26:$F$35,2,0)</calculatedColumnFormula>
      <totalsRowFormula>G36+G37+G38+G39+G40+G41+G42+G43+G44+G45</totalsRowFormula>
    </tableColumn>
  </tableColumns>
  <tableStyleInfo name="TableStyleMedium1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3AEA9663-10D0-4668-804D-25BA5A1DEDAC}" name="Tableau327" displayName="Tableau327" ref="I35:N46" totalsRowCount="1" headerRowDxfId="256" dataDxfId="254" headerRowBorderDxfId="255" tableBorderDxfId="253">
  <tableColumns count="6">
    <tableColumn id="1" xr3:uid="{F2D343D5-C446-475D-9AF0-B8F0CDB7E7C5}" name="Heure" totalsRowLabel="Total" dataDxfId="252" totalsRowDxfId="251"/>
    <tableColumn id="2" xr3:uid="{F65BEB88-CB63-4ADC-A86C-687B23AA32CB}" name="Vitesse" dataDxfId="250" totalsRowDxfId="249"/>
    <tableColumn id="3" xr3:uid="{AB86C59D-8BEC-41D9-B2F3-260AA6D6235D}" name="Débit (m3/h)" dataDxfId="248" totalsRowDxfId="247">
      <calculatedColumnFormula>VLOOKUP(Tableau327[[#This Row],[Vitesse]],Données!$E$40:$F$49,2,0)</calculatedColumnFormula>
    </tableColumn>
    <tableColumn id="4" xr3:uid="{58DD0221-7BA4-4FBE-9D2A-181A7E4F2A1C}" name="Durée (h)" dataDxfId="246" totalsRowDxfId="245"/>
    <tableColumn id="5" xr3:uid="{F3C15D68-55A0-4B28-B0A9-5208362DCA39}" name="Volume filtré (m³)" totalsRowFunction="custom" dataDxfId="244" totalsRowDxfId="243">
      <calculatedColumnFormula>Tableau327[[#This Row],[Durée (h)]]*Tableau327[[#This Row],[Débit (m3/h)]]</calculatedColumnFormula>
      <totalsRowFormula>M36+M37+M38+M39+M40+M41+M42+M43+M44+M45</totalsRowFormula>
    </tableColumn>
    <tableColumn id="6" xr3:uid="{BAC62C17-A1FD-40AA-8BD3-1CE1AE330B02}" name="Consommation (W)" totalsRowFunction="custom" dataDxfId="242" totalsRowDxfId="241">
      <calculatedColumnFormula>Tableau327[[#This Row],[Durée (h)]]*VLOOKUP(Tableau327[[#This Row],[Vitesse]],Données!$E$26:$F$35,2,0)</calculatedColumnFormula>
      <totalsRowFormula>N36+N37+N38+N39+N40+N41+N42+N43+N44+N45</totalsRowFormula>
    </tableColumn>
  </tableColumns>
  <tableStyleInfo name="TableStyleMedium1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D4C2C275-F958-41DB-926E-305E555E62D8}" name="Tableau328" displayName="Tableau328" ref="P35:U46" totalsRowCount="1" headerRowDxfId="240" dataDxfId="238" headerRowBorderDxfId="239" tableBorderDxfId="237">
  <tableColumns count="6">
    <tableColumn id="1" xr3:uid="{31665B0D-F147-4672-924B-35081ACB1A72}" name="Heure" totalsRowLabel="Total" dataDxfId="236" totalsRowDxfId="235"/>
    <tableColumn id="2" xr3:uid="{BD5C9F47-BE21-423C-836F-98F4ECBFD1E0}" name="Vitesse" dataDxfId="234" totalsRowDxfId="233"/>
    <tableColumn id="3" xr3:uid="{27455253-75E3-4879-B529-FA598F9070F0}" name="Débit (m3/h)" dataDxfId="232" totalsRowDxfId="231">
      <calculatedColumnFormula>VLOOKUP(Tableau328[[#This Row],[Vitesse]],Données!$E$40:$F$49,2,0)</calculatedColumnFormula>
    </tableColumn>
    <tableColumn id="4" xr3:uid="{23D690ED-CDFC-46E3-A58E-5DA2D377167A}" name="Durée (h)" dataDxfId="230" totalsRowDxfId="229"/>
    <tableColumn id="5" xr3:uid="{EAE84217-427F-41EB-974B-977E22554232}" name="Volume filtré (m³)" totalsRowFunction="custom" dataDxfId="228" totalsRowDxfId="227">
      <calculatedColumnFormula>Tableau328[[#This Row],[Durée (h)]]*Tableau328[[#This Row],[Débit (m3/h)]]</calculatedColumnFormula>
      <totalsRowFormula>T36+T37+T38+T39+T40+T41+T42+T43+T44+T45</totalsRowFormula>
    </tableColumn>
    <tableColumn id="6" xr3:uid="{58E0911E-E552-440E-A896-F82F9775CAAC}" name="Consommation (W)" totalsRowFunction="custom" dataDxfId="226" totalsRowDxfId="225">
      <calculatedColumnFormula>Tableau328[[#This Row],[Durée (h)]]*VLOOKUP(Tableau328[[#This Row],[Vitesse]],Données!$E$26:$F$35,2,0)</calculatedColumnFormula>
      <totalsRowFormula>U36+U37+U38+U39+U40+U41+U42+U43+U44+U45</totalsRowFormula>
    </tableColumn>
  </tableColumns>
  <tableStyleInfo name="TableStyleMedium1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F55130A6-8E7B-4A06-993C-CFB8FEB0AC95}" name="Tableau329" displayName="Tableau329" ref="B52:G63" totalsRowCount="1" headerRowDxfId="224" dataDxfId="222" headerRowBorderDxfId="223" tableBorderDxfId="221">
  <tableColumns count="6">
    <tableColumn id="1" xr3:uid="{56508622-8143-42A2-B0BF-2EE20193DD27}" name="Heure" totalsRowLabel="Total" dataDxfId="220" totalsRowDxfId="219"/>
    <tableColumn id="2" xr3:uid="{D22BA010-8296-4C1D-9E74-C448203DB55E}" name="Vitesse" dataDxfId="218" totalsRowDxfId="217"/>
    <tableColumn id="3" xr3:uid="{2C7F898E-F0BF-4565-9365-7BC222B6E9CD}" name="Débit (m3/h)" dataDxfId="216" totalsRowDxfId="215">
      <calculatedColumnFormula>VLOOKUP(Tableau329[[#This Row],[Vitesse]],Données!$E$40:$F$49,2,0)</calculatedColumnFormula>
    </tableColumn>
    <tableColumn id="4" xr3:uid="{0C3C4571-765C-48FA-B8AC-8937FB646AB8}" name="Durée (h)" dataDxfId="214" totalsRowDxfId="213"/>
    <tableColumn id="5" xr3:uid="{1EE2C192-0EA4-4C70-BD76-D2968E7FCDBA}" name="Volume filtré (m³)" totalsRowFunction="custom" dataDxfId="212" totalsRowDxfId="211">
      <calculatedColumnFormula>Tableau329[[#This Row],[Durée (h)]]*Tableau329[[#This Row],[Débit (m3/h)]]</calculatedColumnFormula>
      <totalsRowFormula>F53+F54+F55+F56+F57+F58+F59+F60+F61+F62</totalsRowFormula>
    </tableColumn>
    <tableColumn id="6" xr3:uid="{EF4FFB6F-7F4F-4530-9E49-F2BE27C9A402}" name="Consommation (W)" totalsRowFunction="custom" dataDxfId="210" totalsRowDxfId="209">
      <calculatedColumnFormula>Tableau329[[#This Row],[Durée (h)]]*VLOOKUP(Tableau329[[#This Row],[Vitesse]],Données!$E$26:$F$35,2,0)</calculatedColumnFormula>
      <totalsRowFormula>G53+G54+G55+G56+G57+G58+G59+G60+G61+G62</totalsRowFormula>
    </tableColumn>
  </tableColumns>
  <tableStyleInfo name="TableStyleMedium1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46338F7A-4691-4C8E-B4A3-7A9D7AD96446}" name="Tableau330" displayName="Tableau330" ref="I52:N63" totalsRowCount="1" headerRowDxfId="208" dataDxfId="206" headerRowBorderDxfId="207" tableBorderDxfId="205">
  <tableColumns count="6">
    <tableColumn id="1" xr3:uid="{D07782B0-39DF-42CF-9007-9F28D7362C39}" name="Heure" totalsRowLabel="Total" dataDxfId="204" totalsRowDxfId="203"/>
    <tableColumn id="2" xr3:uid="{1CAE39B8-9337-462A-AA93-F783F0F1E27D}" name="Vitesse" dataDxfId="202" totalsRowDxfId="201"/>
    <tableColumn id="3" xr3:uid="{6238E3DF-E9BC-4DFF-AF3D-F7FD6E881699}" name="Débit (m3/h)" dataDxfId="200" totalsRowDxfId="199">
      <calculatedColumnFormula>VLOOKUP(Tableau330[[#This Row],[Vitesse]],Données!$E$40:$F$49,2,0)</calculatedColumnFormula>
    </tableColumn>
    <tableColumn id="4" xr3:uid="{C96E98A2-8D85-45FA-97C9-C3B5D5A4B261}" name="Durée (h)" dataDxfId="198" totalsRowDxfId="197"/>
    <tableColumn id="5" xr3:uid="{0C5C2DE8-6CF7-4B07-8E44-2D091F569EF2}" name="Volume filtré (m³)" totalsRowFunction="custom" dataDxfId="196" totalsRowDxfId="195">
      <calculatedColumnFormula>Tableau330[[#This Row],[Durée (h)]]*Tableau330[[#This Row],[Débit (m3/h)]]</calculatedColumnFormula>
      <totalsRowFormula>M53+M54+M55+M56+M57+M58+M59+M60+M61+M62</totalsRowFormula>
    </tableColumn>
    <tableColumn id="6" xr3:uid="{7D54368C-FE85-4B65-A69E-CE92C952FD66}" name="Consommation (W)" totalsRowFunction="custom" dataDxfId="194" totalsRowDxfId="193">
      <calculatedColumnFormula>Tableau330[[#This Row],[Durée (h)]]*VLOOKUP(Tableau330[[#This Row],[Vitesse]],Données!$E$26:$F$35,2,0)</calculatedColumnFormula>
      <totalsRowFormula>N53+N54+N55+N56+N57+N58+N59+N60+N61+N62</totalsRowFormula>
    </tableColumn>
  </tableColumns>
  <tableStyleInfo name="TableStyleMedium1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A38FEB0-7FBB-47CB-A1DD-CCCCE66764AD}" name="Tableau33" displayName="Tableau33" ref="B3:G12" totalsRowCount="1" headerRowDxfId="192" dataDxfId="190" headerRowBorderDxfId="191" tableBorderDxfId="189">
  <tableColumns count="6">
    <tableColumn id="1" xr3:uid="{BCA3A409-4B6D-4ABC-8E15-671FAE7E5C3C}" name="Heure" totalsRowLabel="Total" dataDxfId="188" totalsRowDxfId="187"/>
    <tableColumn id="2" xr3:uid="{3D18FA0F-58AE-4C41-929D-C4FBFCB66400}" name="Vitesse" dataDxfId="186" totalsRowDxfId="185"/>
    <tableColumn id="3" xr3:uid="{4F2A6FC5-4364-4B82-8307-47C160886214}" name="Débit (m3/h)" dataDxfId="184" totalsRowDxfId="183">
      <calculatedColumnFormula>VLOOKUP(Tableau33[[#This Row],[Vitesse]],Données!$B$63:$C$66,2,0)</calculatedColumnFormula>
    </tableColumn>
    <tableColumn id="4" xr3:uid="{9886A11F-C6F7-44D1-99AA-896AED669239}" name="Durée (h)" dataDxfId="182" totalsRowDxfId="181"/>
    <tableColumn id="5" xr3:uid="{33DC8521-8628-4F4A-8CE2-720C15671DD5}" name="Volume filtré (m³)" totalsRowFunction="custom" dataDxfId="180" totalsRowDxfId="179">
      <calculatedColumnFormula>Tableau33[[#This Row],[Durée (h)]]*Tableau33[[#This Row],[Débit (m3/h)]]</calculatedColumnFormula>
      <totalsRowFormula>F4+F5+F6+F7+F8+F9+F10+F11</totalsRowFormula>
    </tableColumn>
    <tableColumn id="6" xr3:uid="{75E9EBEF-2544-4141-A908-FD290BF99F79}" name="Consommation (W)" totalsRowFunction="custom" dataDxfId="178" totalsRowDxfId="177">
      <calculatedColumnFormula>Tableau33[[#This Row],[Durée (h)]]*VLOOKUP(Tableau33[[#This Row],[Vitesse]],Données!$B$55:$C$58,2,0)</calculatedColumnFormula>
      <totalsRowFormula>G4+G5+G6+G7+G8+G9+G10+G11</totalsRowFormula>
    </tableColumn>
  </tableColumns>
  <tableStyleInfo name="TableStyleMedium1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DCB4A8A-15E8-4781-991F-B4CBBB9B9CEB}" name="Tableau3215" displayName="Tableau3215" ref="I3:N12" totalsRowCount="1" headerRowDxfId="176" dataDxfId="174" headerRowBorderDxfId="175" tableBorderDxfId="173">
  <tableColumns count="6">
    <tableColumn id="1" xr3:uid="{1EF537F3-3CF1-4E4E-B3BC-1CF90D3E5E8F}" name="Heure" totalsRowLabel="Total" dataDxfId="172" totalsRowDxfId="171"/>
    <tableColumn id="2" xr3:uid="{EA1E09CE-DDBF-4BBF-9029-4088E8D065B8}" name="Vitesse" dataDxfId="170" totalsRowDxfId="169"/>
    <tableColumn id="3" xr3:uid="{86C78AE5-84EC-4C7B-A1BA-06F503636A61}" name="Débit (m3/h)" dataDxfId="168" totalsRowDxfId="167"/>
    <tableColumn id="4" xr3:uid="{C741DDAE-8135-4E74-A574-1A50C13D79B6}" name="Durée (h)" dataDxfId="166" totalsRowDxfId="165"/>
    <tableColumn id="5" xr3:uid="{83B10C7A-56C2-4EE4-8188-8023F9A150E6}" name="Volume filtré (m³)" totalsRowFunction="custom" dataDxfId="164" totalsRowDxfId="163">
      <calculatedColumnFormula>Tableau3215[[#This Row],[Durée (h)]]*Tableau3215[[#This Row],[Débit (m3/h)]]</calculatedColumnFormula>
      <totalsRowFormula>M4+M5+M6+M7+M8+M9+M10+M11</totalsRowFormula>
    </tableColumn>
    <tableColumn id="6" xr3:uid="{A95C3773-B8AB-446A-B3F5-A03E04BF865A}" name="Consommation (W)" totalsRowFunction="custom" dataDxfId="162" totalsRowDxfId="161">
      <calculatedColumnFormula>Tableau3215[[#This Row],[Durée (h)]]*Données!#REF!</calculatedColumnFormula>
      <totalsRowFormula>N4+N5+N6+N7+N8+N9+N10+N11</totalsRowFormula>
    </tableColumn>
  </tableColumns>
  <tableStyleInfo name="TableStyleMedium1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89A3E7D-C7E5-4FDC-9587-FDB5CCCAE792}" name="Tableau3226" displayName="Tableau3226" ref="P3:U12" totalsRowCount="1" headerRowDxfId="160" dataDxfId="158" headerRowBorderDxfId="159" tableBorderDxfId="157">
  <tableColumns count="6">
    <tableColumn id="1" xr3:uid="{781BEF84-E31F-4E07-BC25-AB8499B1C73F}" name="Heure" totalsRowLabel="Total" dataDxfId="156" totalsRowDxfId="155"/>
    <tableColumn id="2" xr3:uid="{92569988-B233-4AEC-94E6-A1CFCE1E2B99}" name="Vitesse" dataDxfId="154" totalsRowDxfId="153"/>
    <tableColumn id="3" xr3:uid="{9A8C2649-7584-456B-8C7E-B1DB164C229C}" name="Débit (m3/h)" dataDxfId="152" totalsRowDxfId="151"/>
    <tableColumn id="4" xr3:uid="{7F932DC1-EE3D-42C9-B2CF-1398F8D6F2C8}" name="Durée (h)" dataDxfId="150" totalsRowDxfId="149"/>
    <tableColumn id="5" xr3:uid="{66900A2E-4FED-4E54-9E83-6327F7FBB9EB}" name="Volume filtré (m³)" totalsRowFunction="custom" dataDxfId="148" totalsRowDxfId="147">
      <calculatedColumnFormula>Tableau3226[[#This Row],[Durée (h)]]*Tableau3226[[#This Row],[Débit (m3/h)]]</calculatedColumnFormula>
      <totalsRowFormula>T4+T5+T6+T7+T8+T9+T10+T11</totalsRowFormula>
    </tableColumn>
    <tableColumn id="6" xr3:uid="{FE0109C0-C7E4-487B-8315-A296BAD690E9}" name="Consommation (W)" totalsRowFunction="custom" dataDxfId="146" totalsRowDxfId="145">
      <calculatedColumnFormula>Tableau3226[[#This Row],[Durée (h)]]*VLOOKUP(Tableau3226[[#This Row],[Vitesse]],Données!$B$26:$C$35,2,0)</calculatedColumnFormula>
      <totalsRowFormula>U4+U5+U6+U7+U8+U9+U10+U11</totalsRowFormula>
    </tableColumn>
  </tableColumns>
  <tableStyleInfo name="TableStyleMedium1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06FA883-AAAF-4E8F-9223-E0BD245C1522}" name="Tableau3237" displayName="Tableau3237" ref="B18:G29" totalsRowCount="1" headerRowDxfId="144" dataDxfId="142" headerRowBorderDxfId="143" tableBorderDxfId="141">
  <tableColumns count="6">
    <tableColumn id="1" xr3:uid="{A5C2EE35-CE94-4315-BFD3-FFEA70E08E2A}" name="Heure" totalsRowLabel="Total" dataDxfId="140" totalsRowDxfId="139"/>
    <tableColumn id="2" xr3:uid="{18CB8AC2-E43D-484C-9D66-C2D4FBB7FF67}" name="Vitesse" dataDxfId="138" totalsRowDxfId="137"/>
    <tableColumn id="3" xr3:uid="{94D851DB-ACA4-4FDD-BBC2-5EBAD65DFE2A}" name="Débit (m3/h)" dataDxfId="136" totalsRowDxfId="135">
      <calculatedColumnFormula>VLOOKUP(Tableau3237[[#This Row],[Vitesse]],Données!$B$63:$C$66,2,0)</calculatedColumnFormula>
    </tableColumn>
    <tableColumn id="4" xr3:uid="{20762CAB-0054-4B05-A206-8F962E8B92F0}" name="Durée (h)" dataDxfId="134" totalsRowDxfId="133"/>
    <tableColumn id="5" xr3:uid="{D0755048-B350-4024-89CF-063B4C824FDD}" name="Volume filtré (m³)" totalsRowFunction="custom" dataDxfId="132" totalsRowDxfId="131">
      <calculatedColumnFormula>Tableau3237[[#This Row],[Durée (h)]]*Tableau3237[[#This Row],[Débit (m3/h)]]</calculatedColumnFormula>
      <totalsRowFormula>F19+F20+F21+F22+F23+F24+F25+F26+F27+F28</totalsRowFormula>
    </tableColumn>
    <tableColumn id="6" xr3:uid="{690BE0A2-B867-4B7E-BA01-345E55E6F601}" name="Consommation (W)" totalsRowFunction="custom" dataDxfId="130" totalsRowDxfId="129">
      <calculatedColumnFormula>Tableau3237[[#This Row],[Durée (h)]]*VLOOKUP(Tableau3237[[#This Row],[Vitesse]],Données!$B$55:$C$58,2,0)</calculatedColumnFormula>
      <totalsRowFormula>G19+G20+G21+G22+G23+G24+G25+G26+G27+G28</totalsRowFormula>
    </tableColumn>
  </tableColumns>
  <tableStyleInfo name="TableStyleMedium1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7B1986F-FBC5-4444-AA38-E7CAE5AEF9FB}" name="Tableau3248" displayName="Tableau3248" ref="I18:N29" totalsRowCount="1" headerRowDxfId="128" dataDxfId="126" headerRowBorderDxfId="127" tableBorderDxfId="125">
  <tableColumns count="6">
    <tableColumn id="1" xr3:uid="{A36C2F5B-560B-4CD3-A15D-A05B8FC3F379}" name="Heure" totalsRowLabel="Total" dataDxfId="124" totalsRowDxfId="123"/>
    <tableColumn id="2" xr3:uid="{11CBF926-1043-4628-85DD-3DE83D62077E}" name="Vitesse" dataDxfId="122" totalsRowDxfId="121"/>
    <tableColumn id="3" xr3:uid="{DB049504-E43C-45EA-B36F-494BD15E779F}" name="Débit (m3/h)" dataDxfId="120" totalsRowDxfId="119">
      <calculatedColumnFormula>VLOOKUP(Tableau3248[[#This Row],[Vitesse]],Données!$B$40:$C$49,2,0)</calculatedColumnFormula>
    </tableColumn>
    <tableColumn id="4" xr3:uid="{4A33E18A-B267-484B-9DC7-DF1367C48D7E}" name="Durée (h)" dataDxfId="118" totalsRowDxfId="117"/>
    <tableColumn id="5" xr3:uid="{42EF381B-BACE-4FB6-BBC2-F047D0B68354}" name="Volume filtré (m³)" totalsRowFunction="custom" dataDxfId="116" totalsRowDxfId="115">
      <calculatedColumnFormula>Tableau3248[[#This Row],[Durée (h)]]*Tableau3248[[#This Row],[Débit (m3/h)]]</calculatedColumnFormula>
      <totalsRowFormula>M19+M20+M21+M22+M23+M24+M25+M26+M27+M28</totalsRowFormula>
    </tableColumn>
    <tableColumn id="6" xr3:uid="{7CBE9C36-423E-458E-BAFF-1A2D92960DD3}" name="Consommation (W)" totalsRowFunction="custom" dataDxfId="114" totalsRowDxfId="113">
      <calculatedColumnFormula>Tableau3248[[#This Row],[Durée (h)]]*VLOOKUP(Tableau3248[[#This Row],[Vitesse]],Données!$B$26:$C$35,2,0)</calculatedColumnFormula>
      <totalsRowFormula>N19+N20+N21+N22+N23+N24+N25+N26+N27+N28</totalsRowFormula>
    </tableColumn>
  </tableColumns>
  <tableStyleInfo name="TableStyleMedium1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D53457C-4EBB-42F7-9D93-2D914A0358B4}" name="Tableau3259" displayName="Tableau3259" ref="P18:U29" totalsRowCount="1" headerRowDxfId="112" dataDxfId="110" headerRowBorderDxfId="111" tableBorderDxfId="109">
  <tableColumns count="6">
    <tableColumn id="1" xr3:uid="{7A4204AE-0F4B-4C3F-A887-C9B1AF44D3BF}" name="Heure" totalsRowLabel="Total" dataDxfId="108" totalsRowDxfId="107"/>
    <tableColumn id="2" xr3:uid="{BACDBFE7-7793-49F3-976B-CAAFBD1B4CD9}" name="Vitesse" dataDxfId="106" totalsRowDxfId="105"/>
    <tableColumn id="3" xr3:uid="{85B89BE1-B2D5-465D-9006-8996A936F0AB}" name="Débit (m3/h)" dataDxfId="104" totalsRowDxfId="103">
      <calculatedColumnFormula>VLOOKUP(Tableau3259[[#This Row],[Vitesse]],Données!$B$40:$C$49,2,0)</calculatedColumnFormula>
    </tableColumn>
    <tableColumn id="4" xr3:uid="{E7370406-2EFE-4693-BF0F-E3958066359D}" name="Durée (h)" dataDxfId="102" totalsRowDxfId="101"/>
    <tableColumn id="5" xr3:uid="{7A96DEF1-FA36-4276-B6DD-B976F4D32151}" name="Volume filtré (m³)" totalsRowFunction="custom" dataDxfId="100" totalsRowDxfId="99">
      <calculatedColumnFormula>Tableau3259[[#This Row],[Durée (h)]]*Tableau3259[[#This Row],[Débit (m3/h)]]</calculatedColumnFormula>
      <totalsRowFormula>T19+T20+T21+T22+T23+T24+T25+T26+T27+T28</totalsRowFormula>
    </tableColumn>
    <tableColumn id="6" xr3:uid="{99EBB77B-45FE-46BF-BB73-8C951B34E3E3}" name="Consommation (W)" totalsRowFunction="custom" dataDxfId="98" totalsRowDxfId="97">
      <calculatedColumnFormula>Tableau3259[[#This Row],[Durée (h)]]*VLOOKUP(Tableau3259[[#This Row],[Vitesse]],Données!$B$26:$C$35,2,0)</calculatedColumnFormula>
      <totalsRowFormula>U19+U20+U21+U22+U23+U24+U25+U26+U27+U28</totalsRowFormula>
    </tableColumn>
  </tableColumns>
  <tableStyleInfo name="TableStyleMedium1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52C749C-28B5-4BBA-9FEF-5513F27DD5E3}" name="Tableau32610" displayName="Tableau32610" ref="B35:G46" totalsRowCount="1" headerRowDxfId="96" dataDxfId="94" headerRowBorderDxfId="95" tableBorderDxfId="93">
  <tableColumns count="6">
    <tableColumn id="1" xr3:uid="{8D4B149C-0357-46EB-9666-485BBC68989A}" name="Heure" totalsRowLabel="Total" dataDxfId="92" totalsRowDxfId="91"/>
    <tableColumn id="2" xr3:uid="{DBABD92A-F285-4456-B4B1-B9F4ADBA34DE}" name="Vitesse" dataDxfId="90" totalsRowDxfId="89"/>
    <tableColumn id="3" xr3:uid="{282FA15B-42A1-4271-A581-29457676CFD0}" name="Débit (m3/h)" dataDxfId="88" totalsRowDxfId="87">
      <calculatedColumnFormula>VLOOKUP(Tableau32610[[#This Row],[Vitesse]],Données!$E$40:$F$49,2,0)</calculatedColumnFormula>
    </tableColumn>
    <tableColumn id="4" xr3:uid="{5327CCED-666E-4F58-A13A-CA49788BE2DF}" name="Durée (h)" dataDxfId="86" totalsRowDxfId="85"/>
    <tableColumn id="5" xr3:uid="{7C0F65D7-1467-426F-A5B2-A740CE8242F5}" name="Volume filtré (m³)" totalsRowFunction="custom" dataDxfId="84" totalsRowDxfId="83">
      <calculatedColumnFormula>Tableau32610[[#This Row],[Durée (h)]]*Tableau32610[[#This Row],[Débit (m3/h)]]</calculatedColumnFormula>
      <totalsRowFormula>F36+F37+F38+F39+F40+F41+F42+F43+F44+F45</totalsRowFormula>
    </tableColumn>
    <tableColumn id="6" xr3:uid="{6F8D8541-50DE-4FAD-9303-CAE3E4A7FD6E}" name="Consommation (W)" totalsRowFunction="custom" dataDxfId="82" totalsRowDxfId="81">
      <calculatedColumnFormula>Tableau32610[[#This Row],[Durée (h)]]*VLOOKUP(Tableau32610[[#This Row],[Vitesse]],Données!$E$26:$F$35,2,0)</calculatedColumnFormula>
      <totalsRowFormula>G36+G37+G38+G39+G40+G41+G42+G43+G44+G45</totalsRowFormula>
    </tableColumn>
  </tableColumns>
  <tableStyleInfo name="TableStyleMedium1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7D2C4D6-8A04-4140-A455-614C3D39D6EB}" name="Tableau32711" displayName="Tableau32711" ref="I35:N46" totalsRowCount="1" headerRowDxfId="80" dataDxfId="78" headerRowBorderDxfId="79" tableBorderDxfId="77">
  <tableColumns count="6">
    <tableColumn id="1" xr3:uid="{F25C1D2F-EB95-4997-854E-B2189D9F6979}" name="Heure" totalsRowLabel="Total" dataDxfId="76" totalsRowDxfId="75"/>
    <tableColumn id="2" xr3:uid="{21EC1B8C-8159-4B54-811A-FE486BF72FF7}" name="Vitesse" dataDxfId="74" totalsRowDxfId="73"/>
    <tableColumn id="3" xr3:uid="{7C50C7FE-A8CC-47EC-8F08-0DFCC8BF5F03}" name="Débit (m3/h)" dataDxfId="72" totalsRowDxfId="71">
      <calculatedColumnFormula>VLOOKUP(Tableau32711[[#This Row],[Vitesse]],Données!$E$40:$F$49,2,0)</calculatedColumnFormula>
    </tableColumn>
    <tableColumn id="4" xr3:uid="{24105D0A-87F3-433A-A462-51EA7B378C15}" name="Durée (h)" dataDxfId="70" totalsRowDxfId="69"/>
    <tableColumn id="5" xr3:uid="{1F10EEA7-CBDE-4BF8-843A-FFD171A38C3A}" name="Volume filtré (m³)" totalsRowFunction="custom" dataDxfId="68" totalsRowDxfId="67">
      <calculatedColumnFormula>Tableau32711[[#This Row],[Durée (h)]]*Tableau32711[[#This Row],[Débit (m3/h)]]</calculatedColumnFormula>
      <totalsRowFormula>M36+M37+M38+M39+M40+M41+M42+M43+M44+M45</totalsRowFormula>
    </tableColumn>
    <tableColumn id="6" xr3:uid="{7EDC4D2F-C284-4DC5-93EA-4553F0A25007}" name="Consommation (W)" totalsRowFunction="custom" dataDxfId="66" totalsRowDxfId="65">
      <calculatedColumnFormula>Tableau32711[[#This Row],[Durée (h)]]*VLOOKUP(Tableau32711[[#This Row],[Vitesse]],Données!$E$26:$F$35,2,0)</calculatedColumnFormula>
      <totalsRowFormula>N36+N37+N38+N39+N40+N41+N42+N43+N44+N45</totalsRowFormula>
    </tableColumn>
  </tableColumns>
  <tableStyleInfo name="TableStyleMedium1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12A8939-49AD-4CE8-8623-8416336E5281}" name="Tableau32812" displayName="Tableau32812" ref="P35:U46" totalsRowCount="1" headerRowDxfId="64" dataDxfId="62" headerRowBorderDxfId="63" tableBorderDxfId="61">
  <tableColumns count="6">
    <tableColumn id="1" xr3:uid="{A2524C45-C8B4-4CF5-AB33-3A677F9CE23D}" name="Heure" totalsRowLabel="Total" dataDxfId="60" totalsRowDxfId="59"/>
    <tableColumn id="2" xr3:uid="{94E09FB1-F9D2-443A-8BE6-1F90D8C26E4C}" name="Vitesse" dataDxfId="58" totalsRowDxfId="57"/>
    <tableColumn id="3" xr3:uid="{0147D8AF-6305-4E76-8853-45AB2E7607CA}" name="Débit (m3/h)" dataDxfId="56" totalsRowDxfId="55">
      <calculatedColumnFormula>VLOOKUP(Tableau32812[[#This Row],[Vitesse]],Données!$E$40:$F$49,2,0)</calculatedColumnFormula>
    </tableColumn>
    <tableColumn id="4" xr3:uid="{5FBA1E74-59BA-4F93-A0A0-B3A63EA37985}" name="Durée (h)" dataDxfId="54" totalsRowDxfId="53"/>
    <tableColumn id="5" xr3:uid="{88319613-5E28-47DF-9D74-9E026D1F5371}" name="Volume filtré (m³)" totalsRowFunction="custom" dataDxfId="52" totalsRowDxfId="51">
      <calculatedColumnFormula>Tableau32812[[#This Row],[Durée (h)]]*Tableau32812[[#This Row],[Débit (m3/h)]]</calculatedColumnFormula>
      <totalsRowFormula>T36+T37+T38+T39+T40+T41+T42+T43+T44+T45</totalsRowFormula>
    </tableColumn>
    <tableColumn id="6" xr3:uid="{A6AC970C-925B-40E7-8396-550188039254}" name="Consommation (W)" totalsRowFunction="custom" dataDxfId="50" totalsRowDxfId="49">
      <calculatedColumnFormula>Tableau32812[[#This Row],[Durée (h)]]*VLOOKUP(Tableau32812[[#This Row],[Vitesse]],Données!$E$26:$F$35,2,0)</calculatedColumnFormula>
      <totalsRowFormula>U36+U37+U38+U39+U40+U41+U42+U43+U44+U45</totalsRowFormula>
    </tableColumn>
  </tableColumns>
  <tableStyleInfo name="TableStyleMedium1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748D1D8-D8E6-41F9-A082-3773BEB42DB9}" name="Tableau32913" displayName="Tableau32913" ref="B52:G63" totalsRowCount="1" headerRowDxfId="48" dataDxfId="46" headerRowBorderDxfId="47" tableBorderDxfId="45">
  <tableColumns count="6">
    <tableColumn id="1" xr3:uid="{2B680BDC-66B6-4D28-872F-B05136F06527}" name="Heure" totalsRowLabel="Total" dataDxfId="44" totalsRowDxfId="43"/>
    <tableColumn id="2" xr3:uid="{FD2225D5-F025-4DEE-8BF0-3030F8274548}" name="Vitesse" dataDxfId="42" totalsRowDxfId="41"/>
    <tableColumn id="3" xr3:uid="{E5BD3D5B-8F72-4ED7-AAD7-F6A58C0A4CD0}" name="Débit (m3/h)" dataDxfId="40" totalsRowDxfId="39">
      <calculatedColumnFormula>VLOOKUP(Tableau32913[[#This Row],[Vitesse]],Données!$E$40:$F$49,2,0)</calculatedColumnFormula>
    </tableColumn>
    <tableColumn id="4" xr3:uid="{1AEBA6C0-1089-4ADD-B673-ED03E3A900B7}" name="Durée (h)" dataDxfId="38" totalsRowDxfId="37"/>
    <tableColumn id="5" xr3:uid="{7DA867D2-6D98-4BF7-A44D-5F8F050C8B8E}" name="Volume filtré (m³)" totalsRowFunction="custom" dataDxfId="36" totalsRowDxfId="35">
      <calculatedColumnFormula>Tableau32913[[#This Row],[Durée (h)]]*Tableau32913[[#This Row],[Débit (m3/h)]]</calculatedColumnFormula>
      <totalsRowFormula>F53+F54+F55+F56+F57+F58+F59+F60+F61+F62</totalsRowFormula>
    </tableColumn>
    <tableColumn id="6" xr3:uid="{EA6BD288-8F14-4A89-9A4B-417B0F769D34}" name="Consommation (W)" totalsRowFunction="custom" dataDxfId="34" totalsRowDxfId="33">
      <calculatedColumnFormula>Tableau32913[[#This Row],[Durée (h)]]*VLOOKUP(Tableau32913[[#This Row],[Vitesse]],Données!$E$26:$F$35,2,0)</calculatedColumnFormula>
      <totalsRowFormula>G53+G54+G55+G56+G57+G58+G59+G60+G61+G62</totalsRowFormula>
    </tableColumn>
  </tableColumns>
  <tableStyleInfo name="TableStyleMedium1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55D258F-37FA-403E-92C6-65BDAB4B4D53}" name="Tableau33014" displayName="Tableau33014" ref="I52:N63" totalsRowCount="1" headerRowDxfId="32" dataDxfId="30" headerRowBorderDxfId="31" tableBorderDxfId="29">
  <tableColumns count="6">
    <tableColumn id="1" xr3:uid="{B83E3DB9-10AF-4BA8-AB37-7CC805FE3118}" name="Heure" totalsRowLabel="Total" dataDxfId="28" totalsRowDxfId="27"/>
    <tableColumn id="2" xr3:uid="{B874DCA6-448B-4A55-808F-B74A155EDF03}" name="Vitesse" dataDxfId="26" totalsRowDxfId="25"/>
    <tableColumn id="3" xr3:uid="{A41EB787-AFD3-4217-8FD1-00661963ABC4}" name="Débit (m3/h)" dataDxfId="24" totalsRowDxfId="23">
      <calculatedColumnFormula>VLOOKUP(Tableau33014[[#This Row],[Vitesse]],Données!$E$40:$F$49,2,0)</calculatedColumnFormula>
    </tableColumn>
    <tableColumn id="4" xr3:uid="{ECFE9862-B47B-41EE-9052-766D5B6B0A35}" name="Durée (h)" dataDxfId="22" totalsRowDxfId="21"/>
    <tableColumn id="5" xr3:uid="{947652A2-432B-40F3-A68E-346132C9E0F1}" name="Volume filtré (m³)" totalsRowFunction="custom" dataDxfId="20" totalsRowDxfId="19">
      <calculatedColumnFormula>Tableau33014[[#This Row],[Durée (h)]]*Tableau33014[[#This Row],[Débit (m3/h)]]</calculatedColumnFormula>
      <totalsRowFormula>M53+M54+M55+M56+M57+M58+M59+M60+M61+M62</totalsRowFormula>
    </tableColumn>
    <tableColumn id="6" xr3:uid="{6F57BEE9-5D95-455D-B84D-E864A4B0E96F}" name="Consommation (W)" totalsRowFunction="custom" dataDxfId="18" totalsRowDxfId="17">
      <calculatedColumnFormula>Tableau33014[[#This Row],[Durée (h)]]*VLOOKUP(Tableau33014[[#This Row],[Vitesse]],Données!$E$26:$F$35,2,0)</calculatedColumnFormula>
      <totalsRowFormula>N53+N54+N55+N56+N57+N58+N59+N60+N61+N62</totalsRowFormula>
    </tableColumn>
  </tableColumns>
  <tableStyleInfo name="TableStyleMedium1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7D92EC-C10C-4937-92BA-23B72B6ABAAF}" name="Tableau1" displayName="Tableau1" ref="C4:G5" totalsRowShown="0" headerRowDxfId="9" dataDxfId="10" headerRowBorderDxfId="16" headerRowCellStyle="Accent6" dataCellStyle="Entrée">
  <tableColumns count="5">
    <tableColumn id="1" xr3:uid="{5D57EE12-C84C-4A2A-89D7-0B64140E0945}" name="Cout du kWh" dataDxfId="15" dataCellStyle="Entrée"/>
    <tableColumn id="2" xr3:uid="{662F8435-60E2-45E5-B980-16DAB7500CFB}" name="Volume de la piscine m3" dataDxfId="14" dataCellStyle="Entrée"/>
    <tableColumn id="3" xr3:uid="{D0EADAB7-343A-42C5-86BC-719DFC7D260E}" name="Puissance Pompe actuelle  (CV)" dataDxfId="13" dataCellStyle="Entrée"/>
    <tableColumn id="4" xr3:uid="{AAC942C7-9A9D-4773-BE20-3AEF0FD1D950}" name="Nombre d'heures de filtration" dataDxfId="12" dataCellStyle="Entrée"/>
    <tableColumn id="5" xr3:uid="{250AF523-A44F-4799-BA0A-41D8A466A7D7}" name="Durée de la saison en mois" dataDxfId="11" dataCellStyle="Entrée"/>
  </tableColumns>
  <tableStyleInfo name="TableStyleMedium1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425A1D1-1635-4912-ACB5-BB073C67DF10}" name="Tableau115" displayName="Tableau115" ref="C4:G5" totalsRowShown="0" headerRowDxfId="0" dataDxfId="1" headerRowBorderDxfId="7" tableBorderDxfId="8" headerRowCellStyle="Accent6" dataCellStyle="Entrée">
  <tableColumns count="5">
    <tableColumn id="1" xr3:uid="{CFCA5170-11A7-4E9B-80D2-5B8B983613B7}" name="Cout du kWh" dataDxfId="6" dataCellStyle="Entrée"/>
    <tableColumn id="2" xr3:uid="{D82B6F45-6E19-4759-A419-D239020B4E0D}" name="Volume de la piscine m3" dataDxfId="5" dataCellStyle="Entrée"/>
    <tableColumn id="3" xr3:uid="{ECBA1321-5A1B-4C4B-9821-0BE3D5AEDDD9}" name="Puissance Pompe actuelle  (CV)" dataDxfId="4" dataCellStyle="Entrée"/>
    <tableColumn id="4" xr3:uid="{91B95C75-ABEB-4208-A0F1-ECC24DEA35A2}" name="Nombre d'heures de filtration" dataDxfId="3" dataCellStyle="Entrée"/>
    <tableColumn id="5" xr3:uid="{9A568724-199E-4964-AC57-E98CBFD07C7E}" name="Durée de la saison en mois" dataDxfId="2" dataCellStyle="Entrée"/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9.xml"/><Relationship Id="rId3" Type="http://schemas.openxmlformats.org/officeDocument/2006/relationships/table" Target="../tables/table14.xml"/><Relationship Id="rId7" Type="http://schemas.openxmlformats.org/officeDocument/2006/relationships/table" Target="../tables/table18.xml"/><Relationship Id="rId2" Type="http://schemas.openxmlformats.org/officeDocument/2006/relationships/table" Target="../tables/table13.xml"/><Relationship Id="rId1" Type="http://schemas.openxmlformats.org/officeDocument/2006/relationships/table" Target="../tables/table12.xml"/><Relationship Id="rId6" Type="http://schemas.openxmlformats.org/officeDocument/2006/relationships/table" Target="../tables/table17.xml"/><Relationship Id="rId11" Type="http://schemas.openxmlformats.org/officeDocument/2006/relationships/table" Target="../tables/table22.xml"/><Relationship Id="rId5" Type="http://schemas.openxmlformats.org/officeDocument/2006/relationships/table" Target="../tables/table16.xml"/><Relationship Id="rId10" Type="http://schemas.openxmlformats.org/officeDocument/2006/relationships/table" Target="../tables/table21.xml"/><Relationship Id="rId4" Type="http://schemas.openxmlformats.org/officeDocument/2006/relationships/table" Target="../tables/table15.xml"/><Relationship Id="rId9" Type="http://schemas.openxmlformats.org/officeDocument/2006/relationships/table" Target="../tables/table20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DD3D8-742C-4A92-8A4F-9B4B00E7467F}">
  <dimension ref="B6:F29"/>
  <sheetViews>
    <sheetView workbookViewId="0">
      <selection activeCell="H28" sqref="H28"/>
    </sheetView>
  </sheetViews>
  <sheetFormatPr baseColWidth="10" defaultRowHeight="14.4" x14ac:dyDescent="0.3"/>
  <cols>
    <col min="3" max="3" width="21.6640625" customWidth="1"/>
  </cols>
  <sheetData>
    <row r="6" spans="2:6" ht="15.6" customHeight="1" x14ac:dyDescent="0.3">
      <c r="B6" s="12">
        <v>20</v>
      </c>
      <c r="C6" t="e" vm="1">
        <v>#VALUE!</v>
      </c>
      <c r="E6" s="12">
        <v>20</v>
      </c>
      <c r="F6" t="s">
        <v>22</v>
      </c>
    </row>
    <row r="7" spans="2:6" x14ac:dyDescent="0.3">
      <c r="B7" s="13">
        <v>30</v>
      </c>
      <c r="C7" t="e" vm="1">
        <v>#VALUE!</v>
      </c>
      <c r="E7" s="13">
        <v>30</v>
      </c>
      <c r="F7" t="s">
        <v>22</v>
      </c>
    </row>
    <row r="8" spans="2:6" x14ac:dyDescent="0.3">
      <c r="B8" s="13">
        <v>40</v>
      </c>
      <c r="C8" t="e" vm="1">
        <v>#VALUE!</v>
      </c>
      <c r="E8" s="13">
        <v>40</v>
      </c>
      <c r="F8" t="s">
        <v>22</v>
      </c>
    </row>
    <row r="9" spans="2:6" x14ac:dyDescent="0.3">
      <c r="B9" s="13">
        <v>50</v>
      </c>
      <c r="C9" t="e" vm="1">
        <v>#VALUE!</v>
      </c>
      <c r="E9" s="13">
        <v>50</v>
      </c>
      <c r="F9" t="s">
        <v>22</v>
      </c>
    </row>
    <row r="10" spans="2:6" x14ac:dyDescent="0.3">
      <c r="B10" s="13">
        <v>60</v>
      </c>
      <c r="C10" t="e" vm="1">
        <v>#VALUE!</v>
      </c>
      <c r="E10" s="13">
        <v>60</v>
      </c>
      <c r="F10" t="s">
        <v>22</v>
      </c>
    </row>
    <row r="11" spans="2:6" x14ac:dyDescent="0.3">
      <c r="B11" s="13">
        <v>70</v>
      </c>
      <c r="C11" t="e" vm="1">
        <v>#VALUE!</v>
      </c>
      <c r="E11" s="13">
        <v>70</v>
      </c>
      <c r="F11" t="s">
        <v>22</v>
      </c>
    </row>
    <row r="12" spans="2:6" x14ac:dyDescent="0.3">
      <c r="B12" s="13">
        <v>80</v>
      </c>
      <c r="C12" t="e" vm="2">
        <v>#VALUE!</v>
      </c>
      <c r="E12" s="13">
        <v>80</v>
      </c>
      <c r="F12" t="s">
        <v>23</v>
      </c>
    </row>
    <row r="13" spans="2:6" x14ac:dyDescent="0.3">
      <c r="B13" s="13">
        <v>90</v>
      </c>
      <c r="C13" t="e" vm="2">
        <v>#VALUE!</v>
      </c>
      <c r="E13" s="13">
        <v>90</v>
      </c>
      <c r="F13" t="s">
        <v>23</v>
      </c>
    </row>
    <row r="14" spans="2:6" x14ac:dyDescent="0.3">
      <c r="B14" s="13">
        <v>100</v>
      </c>
      <c r="C14" t="e" vm="2">
        <v>#VALUE!</v>
      </c>
      <c r="E14" s="13">
        <v>100</v>
      </c>
      <c r="F14" t="s">
        <v>23</v>
      </c>
    </row>
    <row r="15" spans="2:6" x14ac:dyDescent="0.3">
      <c r="B15" s="13">
        <v>110</v>
      </c>
      <c r="C15" t="e" vm="2">
        <v>#VALUE!</v>
      </c>
      <c r="E15" s="13">
        <v>110</v>
      </c>
      <c r="F15" t="s">
        <v>23</v>
      </c>
    </row>
    <row r="16" spans="2:6" x14ac:dyDescent="0.3">
      <c r="B16" s="13">
        <v>120</v>
      </c>
      <c r="C16" t="e" vm="2">
        <v>#VALUE!</v>
      </c>
      <c r="E16" s="13">
        <v>120</v>
      </c>
      <c r="F16" t="s">
        <v>23</v>
      </c>
    </row>
    <row r="19" spans="2:6" x14ac:dyDescent="0.3">
      <c r="B19" s="12">
        <v>20</v>
      </c>
      <c r="C19" t="e" vm="3">
        <v>#VALUE!</v>
      </c>
      <c r="E19" s="12">
        <v>20</v>
      </c>
      <c r="F19" t="s">
        <v>97</v>
      </c>
    </row>
    <row r="20" spans="2:6" x14ac:dyDescent="0.3">
      <c r="B20" s="13">
        <v>30</v>
      </c>
      <c r="C20" t="e" vm="3">
        <v>#VALUE!</v>
      </c>
      <c r="E20" s="13">
        <v>30</v>
      </c>
      <c r="F20" t="s">
        <v>97</v>
      </c>
    </row>
    <row r="21" spans="2:6" x14ac:dyDescent="0.3">
      <c r="B21" s="13">
        <v>40</v>
      </c>
      <c r="C21" t="e" vm="3">
        <v>#VALUE!</v>
      </c>
      <c r="E21" s="13">
        <v>40</v>
      </c>
      <c r="F21" t="s">
        <v>97</v>
      </c>
    </row>
    <row r="22" spans="2:6" x14ac:dyDescent="0.3">
      <c r="B22" s="13">
        <v>50</v>
      </c>
      <c r="C22" t="e" vm="3">
        <v>#VALUE!</v>
      </c>
      <c r="E22" s="13">
        <v>50</v>
      </c>
      <c r="F22" t="s">
        <v>97</v>
      </c>
    </row>
    <row r="23" spans="2:6" x14ac:dyDescent="0.3">
      <c r="B23" s="13">
        <v>60</v>
      </c>
      <c r="C23" t="e" vm="3">
        <v>#VALUE!</v>
      </c>
      <c r="E23" s="13">
        <v>60</v>
      </c>
      <c r="F23" t="s">
        <v>98</v>
      </c>
    </row>
    <row r="24" spans="2:6" x14ac:dyDescent="0.3">
      <c r="B24" s="13">
        <v>70</v>
      </c>
      <c r="C24" t="e" vm="3">
        <v>#VALUE!</v>
      </c>
      <c r="E24" s="13">
        <v>70</v>
      </c>
      <c r="F24" t="s">
        <v>98</v>
      </c>
    </row>
    <row r="25" spans="2:6" x14ac:dyDescent="0.3">
      <c r="B25" s="13">
        <v>80</v>
      </c>
      <c r="C25" t="e" vm="3">
        <v>#VALUE!</v>
      </c>
      <c r="E25" s="13">
        <v>80</v>
      </c>
      <c r="F25" t="s">
        <v>98</v>
      </c>
    </row>
    <row r="26" spans="2:6" x14ac:dyDescent="0.3">
      <c r="B26" s="13">
        <v>90</v>
      </c>
      <c r="C26" t="e" vm="3">
        <v>#VALUE!</v>
      </c>
      <c r="E26" s="13">
        <v>90</v>
      </c>
      <c r="F26" t="s">
        <v>98</v>
      </c>
    </row>
    <row r="27" spans="2:6" x14ac:dyDescent="0.3">
      <c r="B27" s="13">
        <v>100</v>
      </c>
      <c r="C27" t="e" vm="3">
        <v>#VALUE!</v>
      </c>
      <c r="E27" s="13">
        <v>100</v>
      </c>
      <c r="F27" t="s">
        <v>98</v>
      </c>
    </row>
    <row r="28" spans="2:6" x14ac:dyDescent="0.3">
      <c r="B28" s="13">
        <v>110</v>
      </c>
      <c r="C28" t="e" vm="3">
        <v>#VALUE!</v>
      </c>
      <c r="E28" s="13">
        <v>110</v>
      </c>
      <c r="F28" t="s">
        <v>98</v>
      </c>
    </row>
    <row r="29" spans="2:6" x14ac:dyDescent="0.3">
      <c r="B29" s="13">
        <v>120</v>
      </c>
      <c r="C29" t="e" vm="3">
        <v>#VALUE!</v>
      </c>
      <c r="E29" s="13">
        <v>120</v>
      </c>
      <c r="F29" t="s">
        <v>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6"/>
  <sheetViews>
    <sheetView workbookViewId="0">
      <selection activeCell="D19" sqref="D19"/>
    </sheetView>
  </sheetViews>
  <sheetFormatPr baseColWidth="10" defaultColWidth="8.88671875" defaultRowHeight="14.4" x14ac:dyDescent="0.3"/>
  <cols>
    <col min="1" max="1" width="8.88671875" customWidth="1"/>
    <col min="2" max="2" width="11.77734375" bestFit="1" customWidth="1"/>
    <col min="3" max="4" width="15.77734375" bestFit="1" customWidth="1"/>
    <col min="5" max="5" width="12.109375" bestFit="1" customWidth="1"/>
    <col min="6" max="6" width="15.77734375" bestFit="1" customWidth="1"/>
    <col min="8" max="8" width="27.109375" bestFit="1" customWidth="1"/>
    <col min="10" max="10" width="22.88671875" bestFit="1" customWidth="1"/>
    <col min="12" max="12" width="22.21875" bestFit="1" customWidth="1"/>
    <col min="13" max="13" width="20.6640625" bestFit="1" customWidth="1"/>
    <col min="14" max="14" width="19.33203125" bestFit="1" customWidth="1"/>
    <col min="15" max="15" width="26.88671875" bestFit="1" customWidth="1"/>
  </cols>
  <sheetData>
    <row r="1" spans="1:15" x14ac:dyDescent="0.3">
      <c r="A1" s="1"/>
      <c r="B1" s="1"/>
    </row>
    <row r="2" spans="1:15" x14ac:dyDescent="0.3">
      <c r="A2" s="2"/>
      <c r="B2" s="2"/>
    </row>
    <row r="3" spans="1:15" x14ac:dyDescent="0.3">
      <c r="A3" s="2"/>
      <c r="B3" s="38" t="s">
        <v>86</v>
      </c>
      <c r="C3" s="38"/>
      <c r="D3" s="38"/>
      <c r="E3" s="38"/>
      <c r="H3" s="19" t="s">
        <v>10</v>
      </c>
      <c r="J3" s="19" t="s">
        <v>0</v>
      </c>
      <c r="L3" s="19" t="s">
        <v>19</v>
      </c>
      <c r="N3" s="39" t="s">
        <v>80</v>
      </c>
      <c r="O3" s="40"/>
    </row>
    <row r="4" spans="1:15" x14ac:dyDescent="0.3">
      <c r="A4" s="2"/>
      <c r="B4" s="3" t="s">
        <v>12</v>
      </c>
      <c r="C4" s="4" t="s">
        <v>20</v>
      </c>
      <c r="D4" s="4" t="s">
        <v>13</v>
      </c>
      <c r="E4" s="5" t="s">
        <v>14</v>
      </c>
      <c r="H4" s="12">
        <v>8</v>
      </c>
      <c r="J4" s="12">
        <v>1</v>
      </c>
      <c r="L4" s="12">
        <v>20</v>
      </c>
      <c r="N4" s="29" t="s">
        <v>85</v>
      </c>
      <c r="O4" s="30" t="s">
        <v>93</v>
      </c>
    </row>
    <row r="5" spans="1:15" x14ac:dyDescent="0.3">
      <c r="A5" s="2"/>
      <c r="B5" s="6" t="s">
        <v>15</v>
      </c>
      <c r="C5" s="9">
        <v>0.75</v>
      </c>
      <c r="D5" s="10">
        <v>860</v>
      </c>
      <c r="E5" s="7">
        <v>12</v>
      </c>
      <c r="H5" s="13">
        <v>9</v>
      </c>
      <c r="J5" s="13">
        <v>2</v>
      </c>
      <c r="L5" s="13">
        <v>30</v>
      </c>
      <c r="N5" s="12">
        <v>20</v>
      </c>
      <c r="O5" s="12">
        <f>Tableau3[[#Totals],[Consommation (W)]]</f>
        <v>3072</v>
      </c>
    </row>
    <row r="6" spans="1:15" x14ac:dyDescent="0.3">
      <c r="B6" s="6" t="s">
        <v>16</v>
      </c>
      <c r="C6" s="10">
        <v>1</v>
      </c>
      <c r="D6" s="10">
        <v>1130</v>
      </c>
      <c r="E6" s="7">
        <v>16</v>
      </c>
      <c r="H6" s="13">
        <v>10</v>
      </c>
      <c r="J6" s="13">
        <v>3</v>
      </c>
      <c r="L6" s="13">
        <v>40</v>
      </c>
      <c r="N6" s="13">
        <v>30</v>
      </c>
      <c r="O6" s="13">
        <f>Tableau321[[#Totals],[Consommation (W)]]</f>
        <v>3072</v>
      </c>
    </row>
    <row r="7" spans="1:15" x14ac:dyDescent="0.3">
      <c r="B7" s="6" t="s">
        <v>17</v>
      </c>
      <c r="C7" s="10">
        <v>1.5</v>
      </c>
      <c r="D7" s="10">
        <v>1400</v>
      </c>
      <c r="E7" s="7">
        <v>20</v>
      </c>
      <c r="H7" s="13">
        <v>11</v>
      </c>
      <c r="J7" s="13">
        <v>4</v>
      </c>
      <c r="L7" s="13">
        <v>50</v>
      </c>
      <c r="N7" s="13">
        <v>40</v>
      </c>
      <c r="O7" s="13">
        <f>Tableau322[[#Totals],[Consommation (W)]]</f>
        <v>3862</v>
      </c>
    </row>
    <row r="8" spans="1:15" x14ac:dyDescent="0.3">
      <c r="B8" s="6" t="s">
        <v>18</v>
      </c>
      <c r="C8" s="10">
        <v>2</v>
      </c>
      <c r="D8" s="10">
        <v>1760</v>
      </c>
      <c r="E8" s="7">
        <v>24</v>
      </c>
      <c r="H8" s="13">
        <v>12</v>
      </c>
      <c r="J8" s="13">
        <v>5</v>
      </c>
      <c r="L8" s="13">
        <v>60</v>
      </c>
      <c r="N8" s="13">
        <v>50</v>
      </c>
      <c r="O8" s="13">
        <f>Tableau323[[#Totals],[Consommation (W)]]</f>
        <v>3783</v>
      </c>
    </row>
    <row r="9" spans="1:15" x14ac:dyDescent="0.3">
      <c r="H9" s="13">
        <v>13</v>
      </c>
      <c r="J9" s="13">
        <v>6</v>
      </c>
      <c r="L9" s="13">
        <v>70</v>
      </c>
      <c r="N9" s="13">
        <v>60</v>
      </c>
      <c r="O9" s="13">
        <f>Tableau324[[#Totals],[Consommation (W)]]</f>
        <v>4213</v>
      </c>
    </row>
    <row r="10" spans="1:15" x14ac:dyDescent="0.3">
      <c r="B10" s="38" t="s">
        <v>87</v>
      </c>
      <c r="C10" s="38"/>
      <c r="D10" s="38"/>
      <c r="E10" s="38"/>
      <c r="H10" s="13">
        <v>14</v>
      </c>
      <c r="J10" s="13">
        <v>7</v>
      </c>
      <c r="L10" s="13">
        <v>80</v>
      </c>
      <c r="N10" s="13">
        <v>70</v>
      </c>
      <c r="O10" s="13">
        <f>Tableau325[[#Totals],[Consommation (W)]]</f>
        <v>4528</v>
      </c>
    </row>
    <row r="11" spans="1:15" x14ac:dyDescent="0.3">
      <c r="B11" s="3" t="s">
        <v>12</v>
      </c>
      <c r="C11" s="4" t="s">
        <v>20</v>
      </c>
      <c r="D11" s="4" t="s">
        <v>13</v>
      </c>
      <c r="E11" s="5" t="s">
        <v>14</v>
      </c>
      <c r="H11" s="13">
        <v>15</v>
      </c>
      <c r="J11" s="13">
        <v>8</v>
      </c>
      <c r="L11" s="13">
        <v>90</v>
      </c>
      <c r="N11" s="13">
        <v>80</v>
      </c>
      <c r="O11" s="13">
        <f>Tableau326[[#Totals],[Consommation (W)]]</f>
        <v>4465</v>
      </c>
    </row>
    <row r="12" spans="1:15" x14ac:dyDescent="0.3">
      <c r="B12" s="6" t="s">
        <v>88</v>
      </c>
      <c r="C12" s="37">
        <v>0.5</v>
      </c>
      <c r="D12" s="10">
        <v>550</v>
      </c>
      <c r="E12" s="7">
        <v>8</v>
      </c>
      <c r="H12" s="13">
        <v>16</v>
      </c>
      <c r="J12" s="13">
        <v>9</v>
      </c>
      <c r="L12" s="13">
        <v>100</v>
      </c>
      <c r="N12" s="13">
        <v>90</v>
      </c>
      <c r="O12" s="13">
        <f>Tableau327[[#Totals],[Consommation (W)]]</f>
        <v>4990</v>
      </c>
    </row>
    <row r="13" spans="1:15" x14ac:dyDescent="0.3">
      <c r="B13" s="6" t="s">
        <v>89</v>
      </c>
      <c r="C13" s="37">
        <v>0.75</v>
      </c>
      <c r="D13" s="10">
        <v>750</v>
      </c>
      <c r="E13" s="7">
        <v>12</v>
      </c>
      <c r="H13" s="13">
        <v>17</v>
      </c>
      <c r="J13" s="13">
        <v>10</v>
      </c>
      <c r="L13" s="13">
        <v>110</v>
      </c>
      <c r="N13" s="13">
        <v>100</v>
      </c>
      <c r="O13" s="13">
        <f>Tableau328[[#Totals],[Consommation (W)]]</f>
        <v>5950</v>
      </c>
    </row>
    <row r="14" spans="1:15" x14ac:dyDescent="0.3">
      <c r="B14" s="6" t="s">
        <v>90</v>
      </c>
      <c r="C14" s="10">
        <v>1</v>
      </c>
      <c r="D14" s="10">
        <v>870</v>
      </c>
      <c r="E14" s="7">
        <v>16</v>
      </c>
      <c r="H14" s="13">
        <v>18</v>
      </c>
      <c r="J14" s="13">
        <v>11</v>
      </c>
      <c r="L14" s="13">
        <v>120</v>
      </c>
      <c r="N14" s="13">
        <v>110</v>
      </c>
      <c r="O14" s="13">
        <f>Tableau329[[#Totals],[Consommation (W)]]</f>
        <v>6224</v>
      </c>
    </row>
    <row r="15" spans="1:15" x14ac:dyDescent="0.3">
      <c r="B15" s="6" t="s">
        <v>91</v>
      </c>
      <c r="C15" s="10">
        <v>1.2</v>
      </c>
      <c r="D15" s="10">
        <v>1100</v>
      </c>
      <c r="E15" s="7">
        <v>20</v>
      </c>
      <c r="H15" s="13">
        <v>19</v>
      </c>
      <c r="J15" s="13">
        <v>12</v>
      </c>
      <c r="N15" s="13">
        <v>120</v>
      </c>
      <c r="O15" s="13">
        <f>Tableau330[[#Totals],[Consommation (W)]]</f>
        <v>7192</v>
      </c>
    </row>
    <row r="16" spans="1:15" x14ac:dyDescent="0.3">
      <c r="B16" s="6" t="s">
        <v>92</v>
      </c>
      <c r="C16" s="10">
        <v>2</v>
      </c>
      <c r="D16" s="10">
        <v>1650</v>
      </c>
      <c r="E16" s="7">
        <v>26</v>
      </c>
      <c r="H16" s="13">
        <v>20</v>
      </c>
    </row>
    <row r="17" spans="2:15" x14ac:dyDescent="0.3">
      <c r="H17" s="13">
        <v>21</v>
      </c>
    </row>
    <row r="18" spans="2:15" x14ac:dyDescent="0.3">
      <c r="H18" s="13">
        <v>22</v>
      </c>
    </row>
    <row r="19" spans="2:15" x14ac:dyDescent="0.3">
      <c r="H19" s="13">
        <v>23</v>
      </c>
    </row>
    <row r="20" spans="2:15" x14ac:dyDescent="0.3">
      <c r="H20" s="13">
        <v>24</v>
      </c>
    </row>
    <row r="21" spans="2:15" x14ac:dyDescent="0.3">
      <c r="N21" s="39" t="s">
        <v>80</v>
      </c>
      <c r="O21" s="40"/>
    </row>
    <row r="22" spans="2:15" x14ac:dyDescent="0.3">
      <c r="N22" s="29" t="s">
        <v>85</v>
      </c>
      <c r="O22" s="30" t="s">
        <v>107</v>
      </c>
    </row>
    <row r="23" spans="2:15" x14ac:dyDescent="0.3">
      <c r="B23" s="11" t="s">
        <v>22</v>
      </c>
      <c r="E23" s="11" t="s">
        <v>23</v>
      </c>
      <c r="N23" s="12">
        <v>20</v>
      </c>
      <c r="O23" s="12">
        <f>Tableau33[[#Totals],[Consommation (W)]]</f>
        <v>2700</v>
      </c>
    </row>
    <row r="24" spans="2:15" x14ac:dyDescent="0.3">
      <c r="B24" s="42" t="s">
        <v>21</v>
      </c>
      <c r="C24" s="41" t="s">
        <v>13</v>
      </c>
      <c r="D24" s="25"/>
      <c r="E24" s="42" t="s">
        <v>21</v>
      </c>
      <c r="F24" s="41" t="s">
        <v>13</v>
      </c>
      <c r="N24" s="13">
        <v>30</v>
      </c>
      <c r="O24" s="13">
        <f>Tableau3215[[#Totals],[Consommation (W)]]</f>
        <v>3000</v>
      </c>
    </row>
    <row r="25" spans="2:15" x14ac:dyDescent="0.3">
      <c r="B25" s="42"/>
      <c r="C25" s="41"/>
      <c r="E25" s="42"/>
      <c r="F25" s="41"/>
      <c r="N25" s="13">
        <v>40</v>
      </c>
      <c r="O25" s="13">
        <f>Tableau3226[[#Totals],[Consommation (W)]]</f>
        <v>3000</v>
      </c>
    </row>
    <row r="26" spans="2:15" x14ac:dyDescent="0.3">
      <c r="B26" s="6" t="s">
        <v>32</v>
      </c>
      <c r="C26" s="16">
        <v>128</v>
      </c>
      <c r="E26" s="6" t="s">
        <v>32</v>
      </c>
      <c r="F26" s="17">
        <v>126</v>
      </c>
      <c r="N26" s="13">
        <v>50</v>
      </c>
      <c r="O26" s="13">
        <f>Tableau3237[[#Totals],[Consommation (W)]]</f>
        <v>3320</v>
      </c>
    </row>
    <row r="27" spans="2:15" x14ac:dyDescent="0.3">
      <c r="B27" s="6" t="s">
        <v>34</v>
      </c>
      <c r="C27" s="16">
        <v>207</v>
      </c>
      <c r="E27" s="6" t="s">
        <v>34</v>
      </c>
      <c r="F27" s="18">
        <v>210</v>
      </c>
      <c r="N27" s="13">
        <v>60</v>
      </c>
      <c r="O27" s="13">
        <f>Tableau3248[[#Totals],[Consommation (W)]]</f>
        <v>4600</v>
      </c>
    </row>
    <row r="28" spans="2:15" x14ac:dyDescent="0.3">
      <c r="B28" s="6" t="s">
        <v>36</v>
      </c>
      <c r="C28" s="16">
        <v>293</v>
      </c>
      <c r="E28" s="6" t="s">
        <v>36</v>
      </c>
      <c r="F28" s="17">
        <v>347</v>
      </c>
      <c r="N28" s="13">
        <v>70</v>
      </c>
      <c r="O28" s="13">
        <f>Tableau3259[[#Totals],[Consommation (W)]]</f>
        <v>5160</v>
      </c>
    </row>
    <row r="29" spans="2:15" x14ac:dyDescent="0.3">
      <c r="B29" s="6" t="s">
        <v>38</v>
      </c>
      <c r="C29" s="16">
        <v>398</v>
      </c>
      <c r="E29" s="6" t="s">
        <v>38</v>
      </c>
      <c r="F29" s="16">
        <v>522</v>
      </c>
      <c r="N29" s="13">
        <v>80</v>
      </c>
      <c r="O29" s="13">
        <f>Tableau32610[[#Totals],[Consommation (W)]]</f>
        <v>5160</v>
      </c>
    </row>
    <row r="30" spans="2:15" x14ac:dyDescent="0.3">
      <c r="B30" s="6" t="s">
        <v>40</v>
      </c>
      <c r="C30" s="16">
        <v>524</v>
      </c>
      <c r="E30" s="6" t="s">
        <v>40</v>
      </c>
      <c r="F30" s="16">
        <v>728</v>
      </c>
      <c r="N30" s="13">
        <v>90</v>
      </c>
      <c r="O30" s="13">
        <f>Tableau32711[[#Totals],[Consommation (W)]]</f>
        <v>5160</v>
      </c>
    </row>
    <row r="31" spans="2:15" x14ac:dyDescent="0.3">
      <c r="B31" s="6" t="s">
        <v>60</v>
      </c>
      <c r="C31" s="16">
        <v>655</v>
      </c>
      <c r="E31" s="6" t="s">
        <v>60</v>
      </c>
      <c r="F31" s="16">
        <v>912</v>
      </c>
      <c r="N31" s="13">
        <v>100</v>
      </c>
      <c r="O31" s="13">
        <f>Tableau32812[[#Totals],[Consommation (W)]]</f>
        <v>7260</v>
      </c>
    </row>
    <row r="32" spans="2:15" x14ac:dyDescent="0.3">
      <c r="B32" s="6" t="s">
        <v>61</v>
      </c>
      <c r="C32" s="16">
        <v>807</v>
      </c>
      <c r="E32" s="6" t="s">
        <v>61</v>
      </c>
      <c r="F32" s="16">
        <v>1211</v>
      </c>
      <c r="N32" s="13">
        <v>110</v>
      </c>
      <c r="O32" s="13">
        <f>Tableau32913[[#Totals],[Consommation (W)]]</f>
        <v>7680</v>
      </c>
    </row>
    <row r="33" spans="2:15" x14ac:dyDescent="0.3">
      <c r="B33" s="6" t="s">
        <v>62</v>
      </c>
      <c r="C33" s="16">
        <v>936</v>
      </c>
      <c r="E33" s="6" t="s">
        <v>62</v>
      </c>
      <c r="F33" s="16">
        <v>1478</v>
      </c>
      <c r="N33" s="13">
        <v>120</v>
      </c>
      <c r="O33" s="13">
        <f>Tableau33014[[#Totals],[Consommation (W)]]</f>
        <v>8420</v>
      </c>
    </row>
    <row r="34" spans="2:15" x14ac:dyDescent="0.3">
      <c r="B34" s="6" t="s">
        <v>63</v>
      </c>
      <c r="C34" s="16">
        <v>1078</v>
      </c>
      <c r="E34" s="6" t="s">
        <v>63</v>
      </c>
      <c r="F34" s="16">
        <v>1636</v>
      </c>
    </row>
    <row r="35" spans="2:15" x14ac:dyDescent="0.3">
      <c r="B35" s="6" t="s">
        <v>64</v>
      </c>
      <c r="C35" s="16">
        <v>1111</v>
      </c>
      <c r="E35" s="6" t="s">
        <v>64</v>
      </c>
      <c r="F35" s="16">
        <v>1639</v>
      </c>
    </row>
    <row r="38" spans="2:15" x14ac:dyDescent="0.3">
      <c r="B38" s="11" t="s">
        <v>22</v>
      </c>
      <c r="E38" s="11" t="s">
        <v>23</v>
      </c>
    </row>
    <row r="39" spans="2:15" ht="28.8" x14ac:dyDescent="0.3">
      <c r="B39" s="31" t="s">
        <v>21</v>
      </c>
      <c r="C39" s="32" t="s">
        <v>65</v>
      </c>
      <c r="E39" s="31" t="s">
        <v>21</v>
      </c>
      <c r="F39" s="32" t="s">
        <v>65</v>
      </c>
    </row>
    <row r="40" spans="2:15" x14ac:dyDescent="0.3">
      <c r="B40" s="6" t="s">
        <v>32</v>
      </c>
      <c r="C40" s="20">
        <v>9.3000000000000007</v>
      </c>
      <c r="E40" s="6" t="s">
        <v>32</v>
      </c>
      <c r="F40" s="20">
        <v>9.6</v>
      </c>
    </row>
    <row r="41" spans="2:15" x14ac:dyDescent="0.3">
      <c r="B41" s="6" t="s">
        <v>34</v>
      </c>
      <c r="C41" s="20">
        <v>11.2</v>
      </c>
      <c r="E41" s="6" t="s">
        <v>34</v>
      </c>
      <c r="F41" s="20">
        <v>11.8</v>
      </c>
    </row>
    <row r="42" spans="2:15" x14ac:dyDescent="0.3">
      <c r="B42" s="6" t="s">
        <v>36</v>
      </c>
      <c r="C42" s="20">
        <v>13</v>
      </c>
      <c r="E42" s="6" t="s">
        <v>36</v>
      </c>
      <c r="F42" s="20">
        <v>14.4</v>
      </c>
    </row>
    <row r="43" spans="2:15" x14ac:dyDescent="0.3">
      <c r="B43" s="6" t="s">
        <v>38</v>
      </c>
      <c r="C43" s="20">
        <v>14.8</v>
      </c>
      <c r="E43" s="6" t="s">
        <v>38</v>
      </c>
      <c r="F43" s="20">
        <v>16.899999999999999</v>
      </c>
    </row>
    <row r="44" spans="2:15" x14ac:dyDescent="0.3">
      <c r="B44" s="6" t="s">
        <v>40</v>
      </c>
      <c r="C44" s="20">
        <v>16.3</v>
      </c>
      <c r="E44" s="6" t="s">
        <v>40</v>
      </c>
      <c r="F44" s="20">
        <v>19.3</v>
      </c>
    </row>
    <row r="45" spans="2:15" x14ac:dyDescent="0.3">
      <c r="B45" s="6" t="s">
        <v>60</v>
      </c>
      <c r="C45" s="20">
        <v>17.8</v>
      </c>
      <c r="E45" s="6" t="s">
        <v>60</v>
      </c>
      <c r="F45" s="20">
        <v>21</v>
      </c>
    </row>
    <row r="46" spans="2:15" x14ac:dyDescent="0.3">
      <c r="B46" s="6" t="s">
        <v>61</v>
      </c>
      <c r="C46" s="20">
        <v>19.3</v>
      </c>
      <c r="E46" s="6" t="s">
        <v>61</v>
      </c>
      <c r="F46" s="20">
        <v>23.3</v>
      </c>
    </row>
    <row r="47" spans="2:15" x14ac:dyDescent="0.3">
      <c r="B47" s="6" t="s">
        <v>62</v>
      </c>
      <c r="C47" s="20">
        <v>20.3</v>
      </c>
      <c r="E47" s="6" t="s">
        <v>62</v>
      </c>
      <c r="F47" s="20">
        <v>24.9</v>
      </c>
    </row>
    <row r="48" spans="2:15" x14ac:dyDescent="0.3">
      <c r="B48" s="6" t="s">
        <v>63</v>
      </c>
      <c r="C48" s="20">
        <v>21.5</v>
      </c>
      <c r="E48" s="6" t="s">
        <v>63</v>
      </c>
      <c r="F48" s="20">
        <v>25.2</v>
      </c>
    </row>
    <row r="49" spans="2:6" x14ac:dyDescent="0.3">
      <c r="B49" s="6" t="s">
        <v>64</v>
      </c>
      <c r="C49" s="20">
        <v>21.8</v>
      </c>
      <c r="E49" s="6" t="s">
        <v>64</v>
      </c>
      <c r="F49" s="20">
        <v>25.2</v>
      </c>
    </row>
    <row r="52" spans="2:6" x14ac:dyDescent="0.3">
      <c r="B52" s="11" t="s">
        <v>94</v>
      </c>
      <c r="E52" s="11" t="s">
        <v>95</v>
      </c>
    </row>
    <row r="53" spans="2:6" x14ac:dyDescent="0.3">
      <c r="B53" s="42" t="s">
        <v>96</v>
      </c>
      <c r="C53" s="41" t="s">
        <v>13</v>
      </c>
      <c r="D53" s="25"/>
      <c r="E53" s="42" t="s">
        <v>96</v>
      </c>
      <c r="F53" s="41" t="s">
        <v>13</v>
      </c>
    </row>
    <row r="54" spans="2:6" x14ac:dyDescent="0.3">
      <c r="B54" s="42"/>
      <c r="C54" s="41"/>
      <c r="E54" s="42"/>
      <c r="F54" s="41"/>
    </row>
    <row r="55" spans="2:6" x14ac:dyDescent="0.3">
      <c r="B55" s="6" t="s">
        <v>32</v>
      </c>
      <c r="C55" s="16">
        <v>150</v>
      </c>
      <c r="E55" s="6" t="s">
        <v>32</v>
      </c>
      <c r="F55" s="17">
        <v>230</v>
      </c>
    </row>
    <row r="56" spans="2:6" x14ac:dyDescent="0.3">
      <c r="B56" s="6" t="s">
        <v>34</v>
      </c>
      <c r="C56" s="16">
        <v>230</v>
      </c>
      <c r="E56" s="6" t="s">
        <v>34</v>
      </c>
      <c r="F56" s="18">
        <v>370</v>
      </c>
    </row>
    <row r="57" spans="2:6" x14ac:dyDescent="0.3">
      <c r="B57" s="6" t="s">
        <v>36</v>
      </c>
      <c r="C57" s="16">
        <v>310</v>
      </c>
      <c r="E57" s="6" t="s">
        <v>36</v>
      </c>
      <c r="F57" s="17">
        <v>530</v>
      </c>
    </row>
    <row r="58" spans="2:6" x14ac:dyDescent="0.3">
      <c r="B58" s="6" t="s">
        <v>38</v>
      </c>
      <c r="C58" s="16">
        <v>900</v>
      </c>
      <c r="E58" s="6" t="s">
        <v>38</v>
      </c>
      <c r="F58" s="16">
        <v>1650</v>
      </c>
    </row>
    <row r="61" spans="2:6" x14ac:dyDescent="0.3">
      <c r="B61" s="11" t="s">
        <v>94</v>
      </c>
      <c r="E61" s="11" t="s">
        <v>95</v>
      </c>
    </row>
    <row r="62" spans="2:6" ht="28.8" x14ac:dyDescent="0.3">
      <c r="B62" s="31" t="s">
        <v>96</v>
      </c>
      <c r="C62" s="32" t="s">
        <v>65</v>
      </c>
      <c r="E62" s="31" t="s">
        <v>96</v>
      </c>
      <c r="F62" s="32" t="s">
        <v>65</v>
      </c>
    </row>
    <row r="63" spans="2:6" x14ac:dyDescent="0.3">
      <c r="B63" s="6" t="s">
        <v>32</v>
      </c>
      <c r="C63" s="20">
        <v>9.6999999999999993</v>
      </c>
      <c r="E63" s="6" t="s">
        <v>32</v>
      </c>
      <c r="F63" s="20">
        <v>12.5</v>
      </c>
    </row>
    <row r="64" spans="2:6" x14ac:dyDescent="0.3">
      <c r="B64" s="6" t="s">
        <v>34</v>
      </c>
      <c r="C64" s="20">
        <v>13</v>
      </c>
      <c r="E64" s="6" t="s">
        <v>34</v>
      </c>
      <c r="F64" s="20">
        <v>16.7</v>
      </c>
    </row>
    <row r="65" spans="2:6" x14ac:dyDescent="0.3">
      <c r="B65" s="6" t="s">
        <v>36</v>
      </c>
      <c r="C65" s="20">
        <v>15.4</v>
      </c>
      <c r="E65" s="6" t="s">
        <v>36</v>
      </c>
      <c r="F65" s="20">
        <v>19.8</v>
      </c>
    </row>
    <row r="66" spans="2:6" x14ac:dyDescent="0.3">
      <c r="B66" s="6" t="s">
        <v>38</v>
      </c>
      <c r="C66" s="20">
        <v>23.6</v>
      </c>
      <c r="E66" s="6" t="s">
        <v>38</v>
      </c>
      <c r="F66" s="20">
        <v>30</v>
      </c>
    </row>
  </sheetData>
  <mergeCells count="12">
    <mergeCell ref="B53:B54"/>
    <mergeCell ref="C53:C54"/>
    <mergeCell ref="E53:E54"/>
    <mergeCell ref="F53:F54"/>
    <mergeCell ref="N21:O21"/>
    <mergeCell ref="B3:E3"/>
    <mergeCell ref="N3:O3"/>
    <mergeCell ref="F24:F25"/>
    <mergeCell ref="B24:B25"/>
    <mergeCell ref="C24:C25"/>
    <mergeCell ref="E24:E25"/>
    <mergeCell ref="B10:E10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68205-698B-4DDB-859E-CEF679F3C9D1}">
  <dimension ref="B2:U63"/>
  <sheetViews>
    <sheetView topLeftCell="A33" workbookViewId="0">
      <selection activeCell="G31" sqref="G31"/>
    </sheetView>
  </sheetViews>
  <sheetFormatPr baseColWidth="10" defaultRowHeight="14.4" x14ac:dyDescent="0.3"/>
  <cols>
    <col min="2" max="2" width="6.6640625" bestFit="1" customWidth="1"/>
    <col min="3" max="3" width="7.33203125" bestFit="1" customWidth="1"/>
    <col min="4" max="4" width="12.109375" bestFit="1" customWidth="1"/>
    <col min="5" max="5" width="9.109375" bestFit="1" customWidth="1"/>
    <col min="6" max="6" width="16.77734375" bestFit="1" customWidth="1"/>
    <col min="7" max="7" width="17.88671875" bestFit="1" customWidth="1"/>
    <col min="8" max="9" width="6.6640625" bestFit="1" customWidth="1"/>
    <col min="10" max="10" width="7.33203125" bestFit="1" customWidth="1"/>
    <col min="11" max="11" width="12.109375" bestFit="1" customWidth="1"/>
    <col min="12" max="12" width="9.109375" bestFit="1" customWidth="1"/>
    <col min="13" max="13" width="16.77734375" bestFit="1" customWidth="1"/>
    <col min="14" max="14" width="17.88671875" bestFit="1" customWidth="1"/>
    <col min="15" max="15" width="7.33203125" bestFit="1" customWidth="1"/>
    <col min="16" max="16" width="6.6640625" bestFit="1" customWidth="1"/>
    <col min="17" max="17" width="7.33203125" bestFit="1" customWidth="1"/>
    <col min="18" max="18" width="12.109375" bestFit="1" customWidth="1"/>
    <col min="19" max="19" width="9.109375" bestFit="1" customWidth="1"/>
    <col min="20" max="20" width="16.77734375" bestFit="1" customWidth="1"/>
    <col min="21" max="21" width="17.88671875" bestFit="1" customWidth="1"/>
    <col min="23" max="23" width="11.77734375" bestFit="1" customWidth="1"/>
    <col min="24" max="24" width="15.77734375" bestFit="1" customWidth="1"/>
    <col min="26" max="26" width="11.77734375" bestFit="1" customWidth="1"/>
    <col min="27" max="27" width="15.77734375" bestFit="1" customWidth="1"/>
  </cols>
  <sheetData>
    <row r="2" spans="2:21" ht="21" x14ac:dyDescent="0.4">
      <c r="D2" s="26" t="s">
        <v>22</v>
      </c>
      <c r="E2" s="22" t="s">
        <v>44</v>
      </c>
      <c r="K2" s="26" t="s">
        <v>22</v>
      </c>
      <c r="L2" s="22" t="s">
        <v>45</v>
      </c>
      <c r="R2" s="26" t="s">
        <v>22</v>
      </c>
      <c r="S2" s="22" t="s">
        <v>46</v>
      </c>
    </row>
    <row r="3" spans="2:21" x14ac:dyDescent="0.3">
      <c r="B3" s="21" t="s">
        <v>28</v>
      </c>
      <c r="C3" s="21" t="s">
        <v>29</v>
      </c>
      <c r="D3" s="21" t="s">
        <v>14</v>
      </c>
      <c r="E3" s="21" t="s">
        <v>30</v>
      </c>
      <c r="F3" s="21" t="s">
        <v>31</v>
      </c>
      <c r="G3" s="21" t="s">
        <v>56</v>
      </c>
      <c r="I3" s="21" t="s">
        <v>28</v>
      </c>
      <c r="J3" s="21" t="s">
        <v>29</v>
      </c>
      <c r="K3" s="21" t="s">
        <v>14</v>
      </c>
      <c r="L3" s="21" t="s">
        <v>30</v>
      </c>
      <c r="M3" s="21" t="s">
        <v>31</v>
      </c>
      <c r="N3" s="21" t="s">
        <v>56</v>
      </c>
      <c r="P3" s="21" t="s">
        <v>28</v>
      </c>
      <c r="Q3" s="21" t="s">
        <v>29</v>
      </c>
      <c r="R3" s="21" t="s">
        <v>14</v>
      </c>
      <c r="S3" s="21" t="s">
        <v>30</v>
      </c>
      <c r="T3" s="21" t="s">
        <v>31</v>
      </c>
      <c r="U3" s="21" t="s">
        <v>56</v>
      </c>
    </row>
    <row r="4" spans="2:21" x14ac:dyDescent="0.3">
      <c r="B4" s="8" t="s">
        <v>59</v>
      </c>
      <c r="C4" s="8" t="s">
        <v>32</v>
      </c>
      <c r="D4" s="8">
        <f>VLOOKUP(Tableau3[[#This Row],[Vitesse]],Données!$B$40:$C$49,2,0)</f>
        <v>9.3000000000000007</v>
      </c>
      <c r="E4" s="8">
        <v>24</v>
      </c>
      <c r="F4" s="8">
        <f>Tableau3[[#This Row],[Durée (h)]]*Tableau3[[#This Row],[Débit (m3/h)]]</f>
        <v>223.20000000000002</v>
      </c>
      <c r="G4" s="8">
        <f>Tableau3[[#This Row],[Durée (h)]]*VLOOKUP(Tableau3[[#This Row],[Vitesse]],Données!$B$26:$C$35,2,0)</f>
        <v>3072</v>
      </c>
      <c r="I4" s="8" t="s">
        <v>55</v>
      </c>
      <c r="J4" s="8" t="s">
        <v>32</v>
      </c>
      <c r="K4" s="8">
        <f>VLOOKUP(Tableau321[[#This Row],[Vitesse]],Données!$B$40:$C$49,2,0)</f>
        <v>9.3000000000000007</v>
      </c>
      <c r="L4" s="8">
        <v>10</v>
      </c>
      <c r="M4" s="8">
        <f>Tableau321[[#This Row],[Durée (h)]]*Tableau321[[#This Row],[Débit (m3/h)]]</f>
        <v>93</v>
      </c>
      <c r="N4" s="8">
        <f>Tableau321[[#This Row],[Durée (h)]]*VLOOKUP(Tableau321[[#This Row],[Vitesse]],Données!$B$26:$C$35,2,0)</f>
        <v>1280</v>
      </c>
      <c r="P4" s="8" t="s">
        <v>55</v>
      </c>
      <c r="Q4" s="8" t="s">
        <v>32</v>
      </c>
      <c r="R4" s="8">
        <f>VLOOKUP(Tableau322[[#This Row],[Vitesse]],Données!$B$40:$C$49,2,0)</f>
        <v>9.3000000000000007</v>
      </c>
      <c r="S4" s="8">
        <v>10</v>
      </c>
      <c r="T4" s="8">
        <f>Tableau322[[#This Row],[Durée (h)]]*Tableau322[[#This Row],[Débit (m3/h)]]</f>
        <v>93</v>
      </c>
      <c r="U4" s="8">
        <f>Tableau322[[#This Row],[Durée (h)]]*VLOOKUP(Tableau322[[#This Row],[Vitesse]],Données!$B$26:$C$35,2,0)</f>
        <v>1280</v>
      </c>
    </row>
    <row r="5" spans="2:21" x14ac:dyDescent="0.3">
      <c r="B5" s="8"/>
      <c r="C5" s="8"/>
      <c r="D5" s="8"/>
      <c r="E5" s="8"/>
      <c r="F5" s="8"/>
      <c r="G5" s="8"/>
      <c r="I5" s="8" t="s">
        <v>57</v>
      </c>
      <c r="J5" s="8" t="s">
        <v>32</v>
      </c>
      <c r="K5" s="8">
        <f>VLOOKUP(Tableau321[[#This Row],[Vitesse]],Données!$B$40:$C$49,2,0)</f>
        <v>9.3000000000000007</v>
      </c>
      <c r="L5" s="8">
        <v>8</v>
      </c>
      <c r="M5" s="8">
        <f>Tableau321[[#This Row],[Durée (h)]]*Tableau321[[#This Row],[Débit (m3/h)]]</f>
        <v>74.400000000000006</v>
      </c>
      <c r="N5" s="8">
        <f>Tableau321[[#This Row],[Durée (h)]]*VLOOKUP(Tableau321[[#This Row],[Vitesse]],Données!$B$26:$C$35,2,0)</f>
        <v>1024</v>
      </c>
      <c r="P5" s="8" t="s">
        <v>37</v>
      </c>
      <c r="Q5" s="8" t="s">
        <v>34</v>
      </c>
      <c r="R5" s="8">
        <f>VLOOKUP(Tableau322[[#This Row],[Vitesse]],Données!$B$40:$C$49,2,0)</f>
        <v>11.2</v>
      </c>
      <c r="S5" s="8">
        <v>2</v>
      </c>
      <c r="T5" s="8">
        <f>Tableau322[[#This Row],[Durée (h)]]*Tableau322[[#This Row],[Débit (m3/h)]]</f>
        <v>22.4</v>
      </c>
      <c r="U5" s="8">
        <f>Tableau322[[#This Row],[Durée (h)]]*VLOOKUP(Tableau322[[#This Row],[Vitesse]],Données!$B$26:$C$35,2,0)</f>
        <v>414</v>
      </c>
    </row>
    <row r="6" spans="2:21" x14ac:dyDescent="0.3">
      <c r="B6" s="8"/>
      <c r="C6" s="8"/>
      <c r="D6" s="8"/>
      <c r="E6" s="8"/>
      <c r="F6" s="8"/>
      <c r="G6" s="8"/>
      <c r="I6" s="8" t="s">
        <v>58</v>
      </c>
      <c r="J6" s="8" t="s">
        <v>32</v>
      </c>
      <c r="K6" s="8">
        <f>VLOOKUP(Tableau321[[#This Row],[Vitesse]],Données!$B$40:$C$49,2,0)</f>
        <v>9.3000000000000007</v>
      </c>
      <c r="L6" s="8">
        <v>6</v>
      </c>
      <c r="M6" s="8">
        <f>Tableau321[[#This Row],[Durée (h)]]*Tableau321[[#This Row],[Débit (m3/h)]]</f>
        <v>55.800000000000004</v>
      </c>
      <c r="N6" s="8">
        <f>Tableau321[[#This Row],[Durée (h)]]*VLOOKUP(Tableau321[[#This Row],[Vitesse]],Données!$B$26:$C$35,2,0)</f>
        <v>768</v>
      </c>
      <c r="P6" s="8" t="s">
        <v>39</v>
      </c>
      <c r="Q6" s="8" t="s">
        <v>34</v>
      </c>
      <c r="R6" s="8">
        <f>VLOOKUP(Tableau322[[#This Row],[Vitesse]],Données!$B$40:$C$49,2,0)</f>
        <v>11.2</v>
      </c>
      <c r="S6" s="8">
        <v>3</v>
      </c>
      <c r="T6" s="8">
        <f>Tableau322[[#This Row],[Durée (h)]]*Tableau322[[#This Row],[Débit (m3/h)]]</f>
        <v>33.599999999999994</v>
      </c>
      <c r="U6" s="8">
        <f>Tableau322[[#This Row],[Durée (h)]]*VLOOKUP(Tableau322[[#This Row],[Vitesse]],Données!$B$26:$C$35,2,0)</f>
        <v>621</v>
      </c>
    </row>
    <row r="7" spans="2:21" x14ac:dyDescent="0.3">
      <c r="B7" s="8"/>
      <c r="C7" s="8"/>
      <c r="D7" s="8"/>
      <c r="E7" s="8"/>
      <c r="F7" s="8"/>
      <c r="G7" s="8"/>
      <c r="I7" s="8"/>
      <c r="J7" s="8"/>
      <c r="K7" s="8"/>
      <c r="L7" s="8"/>
      <c r="M7" s="8"/>
      <c r="N7" s="8"/>
      <c r="P7" s="8" t="s">
        <v>41</v>
      </c>
      <c r="Q7" s="8" t="s">
        <v>34</v>
      </c>
      <c r="R7" s="8">
        <f>VLOOKUP(Tableau322[[#This Row],[Vitesse]],Données!$B$40:$C$49,2,0)</f>
        <v>11.2</v>
      </c>
      <c r="S7" s="8">
        <v>3</v>
      </c>
      <c r="T7" s="8">
        <f>Tableau322[[#This Row],[Durée (h)]]*Tableau322[[#This Row],[Débit (m3/h)]]</f>
        <v>33.599999999999994</v>
      </c>
      <c r="U7" s="8">
        <f>Tableau322[[#This Row],[Durée (h)]]*VLOOKUP(Tableau322[[#This Row],[Vitesse]],Données!$B$26:$C$35,2,0)</f>
        <v>621</v>
      </c>
    </row>
    <row r="8" spans="2:21" x14ac:dyDescent="0.3">
      <c r="B8" s="8"/>
      <c r="C8" s="8"/>
      <c r="D8" s="8"/>
      <c r="E8" s="8"/>
      <c r="F8" s="8"/>
      <c r="G8" s="8"/>
      <c r="I8" s="8"/>
      <c r="J8" s="8"/>
      <c r="K8" s="8"/>
      <c r="L8" s="8"/>
      <c r="M8" s="8"/>
      <c r="N8" s="8"/>
      <c r="P8" s="8" t="s">
        <v>42</v>
      </c>
      <c r="Q8" s="8" t="s">
        <v>34</v>
      </c>
      <c r="R8" s="8">
        <f>VLOOKUP(Tableau322[[#This Row],[Vitesse]],Données!$B$40:$C$49,2,0)</f>
        <v>11.2</v>
      </c>
      <c r="S8" s="8">
        <v>2</v>
      </c>
      <c r="T8" s="8">
        <f>Tableau322[[#This Row],[Durée (h)]]*Tableau322[[#This Row],[Débit (m3/h)]]</f>
        <v>22.4</v>
      </c>
      <c r="U8" s="8">
        <f>Tableau322[[#This Row],[Durée (h)]]*VLOOKUP(Tableau322[[#This Row],[Vitesse]],Données!$B$26:$C$35,2,0)</f>
        <v>414</v>
      </c>
    </row>
    <row r="9" spans="2:21" x14ac:dyDescent="0.3">
      <c r="B9" s="8"/>
      <c r="C9" s="8"/>
      <c r="D9" s="8"/>
      <c r="E9" s="8"/>
      <c r="F9" s="8"/>
      <c r="G9" s="8"/>
      <c r="I9" s="8"/>
      <c r="J9" s="8"/>
      <c r="K9" s="8"/>
      <c r="L9" s="8"/>
      <c r="M9" s="8"/>
      <c r="N9" s="8"/>
      <c r="P9" s="8" t="s">
        <v>43</v>
      </c>
      <c r="Q9" s="8" t="s">
        <v>32</v>
      </c>
      <c r="R9" s="8">
        <f>VLOOKUP(Tableau322[[#This Row],[Vitesse]],Données!$B$40:$C$49,2,0)</f>
        <v>9.3000000000000007</v>
      </c>
      <c r="S9" s="8">
        <v>4</v>
      </c>
      <c r="T9" s="8">
        <f>Tableau322[[#This Row],[Durée (h)]]*Tableau322[[#This Row],[Débit (m3/h)]]</f>
        <v>37.200000000000003</v>
      </c>
      <c r="U9" s="8">
        <f>Tableau322[[#This Row],[Durée (h)]]*VLOOKUP(Tableau322[[#This Row],[Vitesse]],Données!$B$26:$C$35,2,0)</f>
        <v>512</v>
      </c>
    </row>
    <row r="10" spans="2:21" x14ac:dyDescent="0.3">
      <c r="B10" s="8"/>
      <c r="C10" s="8"/>
      <c r="D10" s="8"/>
      <c r="E10" s="8"/>
      <c r="F10" s="8"/>
      <c r="G10" s="8"/>
      <c r="I10" s="8"/>
      <c r="J10" s="8"/>
      <c r="K10" s="8"/>
      <c r="L10" s="8"/>
      <c r="M10" s="8"/>
      <c r="N10" s="8"/>
      <c r="P10" s="8"/>
      <c r="Q10" s="8"/>
      <c r="R10" s="8"/>
      <c r="S10" s="8"/>
      <c r="T10" s="8"/>
      <c r="U10" s="8"/>
    </row>
    <row r="11" spans="2:21" x14ac:dyDescent="0.3">
      <c r="B11" s="8"/>
      <c r="C11" s="8"/>
      <c r="D11" s="8"/>
      <c r="E11" s="8"/>
      <c r="F11" s="8"/>
      <c r="G11" s="8"/>
      <c r="I11" s="8"/>
      <c r="J11" s="8"/>
      <c r="K11" s="8"/>
      <c r="L11" s="8"/>
      <c r="M11" s="8"/>
      <c r="N11" s="8"/>
      <c r="P11" s="8"/>
      <c r="Q11" s="8"/>
      <c r="R11" s="8"/>
      <c r="S11" s="8"/>
      <c r="T11" s="8"/>
      <c r="U11" s="8"/>
    </row>
    <row r="12" spans="2:21" x14ac:dyDescent="0.3">
      <c r="B12" s="8" t="s">
        <v>11</v>
      </c>
      <c r="C12" s="8"/>
      <c r="D12" s="8"/>
      <c r="E12" s="8"/>
      <c r="F12" s="8">
        <f>F4+F5+F6+F7+F8+F9+F10+F11</f>
        <v>223.20000000000002</v>
      </c>
      <c r="G12" s="8">
        <f>G4+G5+G6+G7+G8+G9+G10+G11</f>
        <v>3072</v>
      </c>
      <c r="I12" s="8" t="s">
        <v>11</v>
      </c>
      <c r="J12" s="8"/>
      <c r="K12" s="8"/>
      <c r="L12" s="8"/>
      <c r="M12" s="8">
        <f>M4+M5+M6+M7+M8+M9+M10+M11</f>
        <v>223.20000000000002</v>
      </c>
      <c r="N12" s="8">
        <f>N4+N5+N6+N7+N8+N9+N10+N11</f>
        <v>3072</v>
      </c>
      <c r="P12" s="8" t="s">
        <v>11</v>
      </c>
      <c r="Q12" s="8"/>
      <c r="R12" s="8"/>
      <c r="S12" s="8"/>
      <c r="T12" s="8">
        <f>T4+T5+T6+T7+T8+T9+T10+T11</f>
        <v>242.2</v>
      </c>
      <c r="U12" s="8">
        <f>U4+U5+U6+U7+U8+U9+U10+U11</f>
        <v>3862</v>
      </c>
    </row>
    <row r="17" spans="2:21" ht="21" x14ac:dyDescent="0.4">
      <c r="D17" s="26" t="s">
        <v>22</v>
      </c>
      <c r="E17" s="22" t="s">
        <v>47</v>
      </c>
      <c r="K17" s="26" t="s">
        <v>22</v>
      </c>
      <c r="L17" s="22" t="s">
        <v>48</v>
      </c>
      <c r="R17" s="26" t="s">
        <v>22</v>
      </c>
      <c r="S17" s="22" t="s">
        <v>49</v>
      </c>
    </row>
    <row r="18" spans="2:21" x14ac:dyDescent="0.3">
      <c r="B18" s="21" t="s">
        <v>28</v>
      </c>
      <c r="C18" s="21" t="s">
        <v>29</v>
      </c>
      <c r="D18" s="21" t="s">
        <v>14</v>
      </c>
      <c r="E18" s="21" t="s">
        <v>30</v>
      </c>
      <c r="F18" s="21" t="s">
        <v>31</v>
      </c>
      <c r="G18" s="21" t="s">
        <v>56</v>
      </c>
      <c r="I18" s="21" t="s">
        <v>28</v>
      </c>
      <c r="J18" s="21" t="s">
        <v>29</v>
      </c>
      <c r="K18" s="21" t="s">
        <v>14</v>
      </c>
      <c r="L18" s="21" t="s">
        <v>30</v>
      </c>
      <c r="M18" s="21" t="s">
        <v>31</v>
      </c>
      <c r="N18" s="21" t="s">
        <v>56</v>
      </c>
      <c r="O18" s="24"/>
      <c r="P18" s="21" t="s">
        <v>28</v>
      </c>
      <c r="Q18" s="21" t="s">
        <v>29</v>
      </c>
      <c r="R18" s="21" t="s">
        <v>14</v>
      </c>
      <c r="S18" s="21" t="s">
        <v>30</v>
      </c>
      <c r="T18" s="21" t="s">
        <v>31</v>
      </c>
      <c r="U18" s="21" t="s">
        <v>56</v>
      </c>
    </row>
    <row r="19" spans="2:21" x14ac:dyDescent="0.3">
      <c r="B19" s="8" t="s">
        <v>66</v>
      </c>
      <c r="C19" s="8" t="s">
        <v>32</v>
      </c>
      <c r="D19" s="8">
        <f>VLOOKUP(Tableau323[[#This Row],[Vitesse]],Données!$B$40:$C$49,2,0)</f>
        <v>9.3000000000000007</v>
      </c>
      <c r="E19" s="8">
        <v>4</v>
      </c>
      <c r="F19" s="8">
        <f>Tableau323[[#This Row],[Durée (h)]]*Tableau323[[#This Row],[Débit (m3/h)]]</f>
        <v>37.200000000000003</v>
      </c>
      <c r="G19" s="8">
        <f>Tableau323[[#This Row],[Durée (h)]]*VLOOKUP(Tableau323[[#This Row],[Vitesse]],Données!$B$26:$C$35,2,0)</f>
        <v>512</v>
      </c>
      <c r="I19" s="8" t="s">
        <v>66</v>
      </c>
      <c r="J19" s="8" t="s">
        <v>32</v>
      </c>
      <c r="K19" s="8">
        <f>VLOOKUP(Tableau324[[#This Row],[Vitesse]],Données!$B$40:$C$49,2,0)</f>
        <v>9.3000000000000007</v>
      </c>
      <c r="L19" s="8">
        <v>4</v>
      </c>
      <c r="M19" s="8">
        <f>Tableau324[[#This Row],[Durée (h)]]*Tableau324[[#This Row],[Débit (m3/h)]]</f>
        <v>37.200000000000003</v>
      </c>
      <c r="N19" s="8">
        <f>Tableau324[[#This Row],[Durée (h)]]*VLOOKUP(Tableau324[[#This Row],[Vitesse]],Données!$B$26:$C$35,2,0)</f>
        <v>512</v>
      </c>
      <c r="O19" s="8"/>
      <c r="P19" s="8" t="s">
        <v>66</v>
      </c>
      <c r="Q19" s="8" t="s">
        <v>32</v>
      </c>
      <c r="R19" s="8">
        <f>VLOOKUP(Tableau325[[#This Row],[Vitesse]],Données!$B$40:$C$49,2,0)</f>
        <v>9.3000000000000007</v>
      </c>
      <c r="S19" s="8">
        <v>4</v>
      </c>
      <c r="T19" s="8">
        <f>Tableau325[[#This Row],[Durée (h)]]*Tableau325[[#This Row],[Débit (m3/h)]]</f>
        <v>37.200000000000003</v>
      </c>
      <c r="U19" s="8">
        <f>Tableau325[[#This Row],[Durée (h)]]*VLOOKUP(Tableau325[[#This Row],[Vitesse]],Données!$B$26:$C$35,2,0)</f>
        <v>512</v>
      </c>
    </row>
    <row r="20" spans="2:21" x14ac:dyDescent="0.3">
      <c r="B20" s="8" t="s">
        <v>67</v>
      </c>
      <c r="C20" s="8" t="s">
        <v>32</v>
      </c>
      <c r="D20" s="8">
        <f>VLOOKUP(Tableau323[[#This Row],[Vitesse]],Données!$B$40:$C$49,2,0)</f>
        <v>9.3000000000000007</v>
      </c>
      <c r="E20" s="8">
        <v>2</v>
      </c>
      <c r="F20" s="8">
        <f>Tableau323[[#This Row],[Durée (h)]]*Tableau323[[#This Row],[Débit (m3/h)]]</f>
        <v>18.600000000000001</v>
      </c>
      <c r="G20" s="8">
        <f>Tableau323[[#This Row],[Durée (h)]]*VLOOKUP(Tableau323[[#This Row],[Vitesse]],Données!$B$26:$C$35,2,0)</f>
        <v>256</v>
      </c>
      <c r="I20" s="8" t="s">
        <v>67</v>
      </c>
      <c r="J20" s="8" t="s">
        <v>32</v>
      </c>
      <c r="K20" s="8">
        <f>VLOOKUP(Tableau324[[#This Row],[Vitesse]],Données!$B$40:$C$49,2,0)</f>
        <v>9.3000000000000007</v>
      </c>
      <c r="L20" s="8">
        <v>2</v>
      </c>
      <c r="M20" s="8">
        <f>Tableau324[[#This Row],[Durée (h)]]*Tableau324[[#This Row],[Débit (m3/h)]]</f>
        <v>18.600000000000001</v>
      </c>
      <c r="N20" s="8">
        <f>Tableau324[[#This Row],[Durée (h)]]*VLOOKUP(Tableau324[[#This Row],[Vitesse]],Données!$B$26:$C$35,2,0)</f>
        <v>256</v>
      </c>
      <c r="O20" s="8"/>
      <c r="P20" s="8" t="s">
        <v>67</v>
      </c>
      <c r="Q20" s="8" t="s">
        <v>32</v>
      </c>
      <c r="R20" s="8">
        <f>VLOOKUP(Tableau325[[#This Row],[Vitesse]],Données!$B$40:$C$49,2,0)</f>
        <v>9.3000000000000007</v>
      </c>
      <c r="S20" s="8">
        <v>2</v>
      </c>
      <c r="T20" s="8">
        <f>Tableau325[[#This Row],[Durée (h)]]*Tableau325[[#This Row],[Débit (m3/h)]]</f>
        <v>18.600000000000001</v>
      </c>
      <c r="U20" s="8">
        <f>Tableau325[[#This Row],[Durée (h)]]*VLOOKUP(Tableau325[[#This Row],[Vitesse]],Données!$B$26:$C$35,2,0)</f>
        <v>256</v>
      </c>
    </row>
    <row r="21" spans="2:21" x14ac:dyDescent="0.3">
      <c r="B21" s="8" t="s">
        <v>33</v>
      </c>
      <c r="C21" s="8" t="s">
        <v>32</v>
      </c>
      <c r="D21" s="8">
        <f>VLOOKUP(Tableau323[[#This Row],[Vitesse]],Données!$B$40:$C$49,2,0)</f>
        <v>9.3000000000000007</v>
      </c>
      <c r="E21" s="8">
        <v>2</v>
      </c>
      <c r="F21" s="8">
        <f>Tableau323[[#This Row],[Durée (h)]]*Tableau323[[#This Row],[Débit (m3/h)]]</f>
        <v>18.600000000000001</v>
      </c>
      <c r="G21" s="8">
        <f>Tableau323[[#This Row],[Durée (h)]]*VLOOKUP(Tableau323[[#This Row],[Vitesse]],Données!$B$26:$C$35,2,0)</f>
        <v>256</v>
      </c>
      <c r="I21" s="8" t="s">
        <v>33</v>
      </c>
      <c r="J21" s="8" t="s">
        <v>32</v>
      </c>
      <c r="K21" s="8">
        <f>VLOOKUP(Tableau324[[#This Row],[Vitesse]],Données!$B$40:$C$49,2,0)</f>
        <v>9.3000000000000007</v>
      </c>
      <c r="L21" s="8">
        <v>2</v>
      </c>
      <c r="M21" s="8">
        <f>Tableau324[[#This Row],[Durée (h)]]*Tableau324[[#This Row],[Débit (m3/h)]]</f>
        <v>18.600000000000001</v>
      </c>
      <c r="N21" s="8">
        <f>Tableau324[[#This Row],[Durée (h)]]*VLOOKUP(Tableau324[[#This Row],[Vitesse]],Données!$B$26:$C$35,2,0)</f>
        <v>256</v>
      </c>
      <c r="O21" s="8"/>
      <c r="P21" s="8" t="s">
        <v>33</v>
      </c>
      <c r="Q21" s="8" t="s">
        <v>32</v>
      </c>
      <c r="R21" s="8">
        <f>VLOOKUP(Tableau325[[#This Row],[Vitesse]],Données!$B$40:$C$49,2,0)</f>
        <v>9.3000000000000007</v>
      </c>
      <c r="S21" s="8">
        <v>2</v>
      </c>
      <c r="T21" s="8">
        <f>Tableau325[[#This Row],[Durée (h)]]*Tableau325[[#This Row],[Débit (m3/h)]]</f>
        <v>18.600000000000001</v>
      </c>
      <c r="U21" s="8">
        <f>Tableau325[[#This Row],[Durée (h)]]*VLOOKUP(Tableau325[[#This Row],[Vitesse]],Données!$B$26:$C$35,2,0)</f>
        <v>256</v>
      </c>
    </row>
    <row r="22" spans="2:21" x14ac:dyDescent="0.3">
      <c r="B22" s="8" t="s">
        <v>35</v>
      </c>
      <c r="C22" s="8" t="s">
        <v>34</v>
      </c>
      <c r="D22" s="8">
        <f>VLOOKUP(Tableau323[[#This Row],[Vitesse]],Données!$B$40:$C$49,2,0)</f>
        <v>11.2</v>
      </c>
      <c r="E22" s="8">
        <v>2</v>
      </c>
      <c r="F22" s="8">
        <f>Tableau323[[#This Row],[Durée (h)]]*Tableau323[[#This Row],[Débit (m3/h)]]</f>
        <v>22.4</v>
      </c>
      <c r="G22" s="8">
        <f>Tableau323[[#This Row],[Durée (h)]]*VLOOKUP(Tableau323[[#This Row],[Vitesse]],Données!$B$26:$C$35,2,0)</f>
        <v>414</v>
      </c>
      <c r="I22" s="8" t="s">
        <v>35</v>
      </c>
      <c r="J22" s="8" t="s">
        <v>34</v>
      </c>
      <c r="K22" s="8">
        <f>VLOOKUP(Tableau324[[#This Row],[Vitesse]],Données!$B$40:$C$49,2,0)</f>
        <v>11.2</v>
      </c>
      <c r="L22" s="8">
        <v>2</v>
      </c>
      <c r="M22" s="8">
        <f>Tableau324[[#This Row],[Durée (h)]]*Tableau324[[#This Row],[Débit (m3/h)]]</f>
        <v>22.4</v>
      </c>
      <c r="N22" s="8">
        <f>Tableau324[[#This Row],[Durée (h)]]*VLOOKUP(Tableau324[[#This Row],[Vitesse]],Données!$B$26:$C$35,2,0)</f>
        <v>414</v>
      </c>
      <c r="O22" s="8"/>
      <c r="P22" s="8" t="s">
        <v>35</v>
      </c>
      <c r="Q22" s="8" t="s">
        <v>34</v>
      </c>
      <c r="R22" s="8">
        <f>VLOOKUP(Tableau325[[#This Row],[Vitesse]],Données!$B$40:$C$49,2,0)</f>
        <v>11.2</v>
      </c>
      <c r="S22" s="8">
        <v>2</v>
      </c>
      <c r="T22" s="8">
        <f>Tableau325[[#This Row],[Durée (h)]]*Tableau325[[#This Row],[Débit (m3/h)]]</f>
        <v>22.4</v>
      </c>
      <c r="U22" s="8">
        <f>Tableau325[[#This Row],[Durée (h)]]*VLOOKUP(Tableau325[[#This Row],[Vitesse]],Données!$B$26:$C$35,2,0)</f>
        <v>414</v>
      </c>
    </row>
    <row r="23" spans="2:21" x14ac:dyDescent="0.3">
      <c r="B23" s="8" t="s">
        <v>37</v>
      </c>
      <c r="C23" s="8" t="s">
        <v>34</v>
      </c>
      <c r="D23" s="8">
        <f>VLOOKUP(Tableau323[[#This Row],[Vitesse]],Données!$B$40:$C$49,2,0)</f>
        <v>11.2</v>
      </c>
      <c r="E23" s="8">
        <v>2</v>
      </c>
      <c r="F23" s="8">
        <f>Tableau323[[#This Row],[Durée (h)]]*Tableau323[[#This Row],[Débit (m3/h)]]</f>
        <v>22.4</v>
      </c>
      <c r="G23" s="8">
        <f>Tableau323[[#This Row],[Durée (h)]]*VLOOKUP(Tableau323[[#This Row],[Vitesse]],Données!$B$26:$C$35,2,0)</f>
        <v>414</v>
      </c>
      <c r="H23" s="24"/>
      <c r="I23" s="8" t="s">
        <v>37</v>
      </c>
      <c r="J23" s="8" t="s">
        <v>34</v>
      </c>
      <c r="K23" s="8">
        <f>VLOOKUP(Tableau324[[#This Row],[Vitesse]],Données!$B$40:$C$49,2,0)</f>
        <v>11.2</v>
      </c>
      <c r="L23" s="8">
        <v>2</v>
      </c>
      <c r="M23" s="8">
        <f>Tableau324[[#This Row],[Durée (h)]]*Tableau324[[#This Row],[Débit (m3/h)]]</f>
        <v>22.4</v>
      </c>
      <c r="N23" s="8">
        <f>Tableau324[[#This Row],[Durée (h)]]*VLOOKUP(Tableau324[[#This Row],[Vitesse]],Données!$B$26:$C$35,2,0)</f>
        <v>414</v>
      </c>
      <c r="O23" s="8"/>
      <c r="P23" s="8" t="s">
        <v>37</v>
      </c>
      <c r="Q23" s="8" t="s">
        <v>34</v>
      </c>
      <c r="R23" s="8">
        <f>VLOOKUP(Tableau325[[#This Row],[Vitesse]],Données!$B$40:$C$49,2,0)</f>
        <v>11.2</v>
      </c>
      <c r="S23" s="8">
        <v>2</v>
      </c>
      <c r="T23" s="8">
        <f>Tableau325[[#This Row],[Durée (h)]]*Tableau325[[#This Row],[Débit (m3/h)]]</f>
        <v>22.4</v>
      </c>
      <c r="U23" s="8">
        <f>Tableau325[[#This Row],[Durée (h)]]*VLOOKUP(Tableau325[[#This Row],[Vitesse]],Données!$B$26:$C$35,2,0)</f>
        <v>414</v>
      </c>
    </row>
    <row r="24" spans="2:21" x14ac:dyDescent="0.3">
      <c r="B24" s="8" t="s">
        <v>39</v>
      </c>
      <c r="C24" s="8" t="s">
        <v>34</v>
      </c>
      <c r="D24" s="8">
        <f>VLOOKUP(Tableau323[[#This Row],[Vitesse]],Données!$B$40:$C$49,2,0)</f>
        <v>11.2</v>
      </c>
      <c r="E24" s="8">
        <v>3</v>
      </c>
      <c r="F24" s="8">
        <f>Tableau323[[#This Row],[Durée (h)]]*Tableau323[[#This Row],[Débit (m3/h)]]</f>
        <v>33.599999999999994</v>
      </c>
      <c r="G24" s="8">
        <f>Tableau323[[#This Row],[Durée (h)]]*VLOOKUP(Tableau323[[#This Row],[Vitesse]],Données!$B$26:$C$35,2,0)</f>
        <v>621</v>
      </c>
      <c r="H24" s="8"/>
      <c r="I24" s="8" t="s">
        <v>39</v>
      </c>
      <c r="J24" s="8" t="s">
        <v>36</v>
      </c>
      <c r="K24" s="8">
        <f>VLOOKUP(Tableau324[[#This Row],[Vitesse]],Données!$B$40:$C$49,2,0)</f>
        <v>13</v>
      </c>
      <c r="L24" s="8">
        <v>3</v>
      </c>
      <c r="M24" s="8">
        <f>Tableau324[[#This Row],[Durée (h)]]*Tableau324[[#This Row],[Débit (m3/h)]]</f>
        <v>39</v>
      </c>
      <c r="N24" s="8">
        <f>Tableau324[[#This Row],[Durée (h)]]*VLOOKUP(Tableau324[[#This Row],[Vitesse]],Données!$B$26:$C$35,2,0)</f>
        <v>879</v>
      </c>
      <c r="O24" s="8"/>
      <c r="P24" s="8" t="s">
        <v>39</v>
      </c>
      <c r="Q24" s="8" t="s">
        <v>38</v>
      </c>
      <c r="R24" s="8">
        <f>VLOOKUP(Tableau325[[#This Row],[Vitesse]],Données!$B$40:$C$49,2,0)</f>
        <v>14.8</v>
      </c>
      <c r="S24" s="8">
        <v>3</v>
      </c>
      <c r="T24" s="8">
        <f>Tableau325[[#This Row],[Durée (h)]]*Tableau325[[#This Row],[Débit (m3/h)]]</f>
        <v>44.400000000000006</v>
      </c>
      <c r="U24" s="8">
        <f>Tableau325[[#This Row],[Durée (h)]]*VLOOKUP(Tableau325[[#This Row],[Vitesse]],Données!$B$26:$C$35,2,0)</f>
        <v>1194</v>
      </c>
    </row>
    <row r="25" spans="2:21" x14ac:dyDescent="0.3">
      <c r="B25" s="8" t="s">
        <v>68</v>
      </c>
      <c r="C25" s="8" t="s">
        <v>34</v>
      </c>
      <c r="D25" s="8">
        <f>VLOOKUP(Tableau323[[#This Row],[Vitesse]],Données!$B$40:$C$49,2,0)</f>
        <v>11.2</v>
      </c>
      <c r="E25" s="8">
        <v>2</v>
      </c>
      <c r="F25" s="8">
        <f>Tableau323[[#This Row],[Durée (h)]]*Tableau323[[#This Row],[Débit (m3/h)]]</f>
        <v>22.4</v>
      </c>
      <c r="G25" s="8">
        <f>Tableau323[[#This Row],[Durée (h)]]*VLOOKUP(Tableau323[[#This Row],[Vitesse]],Données!$B$26:$C$35,2,0)</f>
        <v>414</v>
      </c>
      <c r="H25" s="8"/>
      <c r="I25" s="8" t="s">
        <v>68</v>
      </c>
      <c r="J25" s="8" t="s">
        <v>36</v>
      </c>
      <c r="K25" s="8">
        <f>VLOOKUP(Tableau324[[#This Row],[Vitesse]],Données!$B$40:$C$49,2,0)</f>
        <v>13</v>
      </c>
      <c r="L25" s="8">
        <v>2</v>
      </c>
      <c r="M25" s="8">
        <f>Tableau324[[#This Row],[Durée (h)]]*Tableau324[[#This Row],[Débit (m3/h)]]</f>
        <v>26</v>
      </c>
      <c r="N25" s="8">
        <f>Tableau324[[#This Row],[Durée (h)]]*VLOOKUP(Tableau324[[#This Row],[Vitesse]],Données!$B$26:$C$35,2,0)</f>
        <v>586</v>
      </c>
      <c r="O25" s="8"/>
      <c r="P25" s="8" t="s">
        <v>68</v>
      </c>
      <c r="Q25" s="8" t="s">
        <v>36</v>
      </c>
      <c r="R25" s="8">
        <f>VLOOKUP(Tableau325[[#This Row],[Vitesse]],Données!$B$40:$C$49,2,0)</f>
        <v>13</v>
      </c>
      <c r="S25" s="8">
        <v>2</v>
      </c>
      <c r="T25" s="8">
        <f>Tableau325[[#This Row],[Durée (h)]]*Tableau325[[#This Row],[Débit (m3/h)]]</f>
        <v>26</v>
      </c>
      <c r="U25" s="8">
        <f>Tableau325[[#This Row],[Durée (h)]]*VLOOKUP(Tableau325[[#This Row],[Vitesse]],Données!$B$26:$C$35,2,0)</f>
        <v>586</v>
      </c>
    </row>
    <row r="26" spans="2:21" x14ac:dyDescent="0.3">
      <c r="B26" s="8" t="s">
        <v>69</v>
      </c>
      <c r="C26" s="8" t="s">
        <v>32</v>
      </c>
      <c r="D26" s="8">
        <f>VLOOKUP(Tableau323[[#This Row],[Vitesse]],Données!$B$40:$C$49,2,0)</f>
        <v>9.3000000000000007</v>
      </c>
      <c r="E26" s="8">
        <v>2</v>
      </c>
      <c r="F26" s="8">
        <f>Tableau323[[#This Row],[Durée (h)]]*Tableau323[[#This Row],[Débit (m3/h)]]</f>
        <v>18.600000000000001</v>
      </c>
      <c r="G26" s="8">
        <f>Tableau323[[#This Row],[Durée (h)]]*VLOOKUP(Tableau323[[#This Row],[Vitesse]],Données!$B$26:$C$35,2,0)</f>
        <v>256</v>
      </c>
      <c r="H26" s="8"/>
      <c r="I26" s="8" t="s">
        <v>69</v>
      </c>
      <c r="J26" s="8" t="s">
        <v>32</v>
      </c>
      <c r="K26" s="8">
        <f>VLOOKUP(Tableau324[[#This Row],[Vitesse]],Données!$B$40:$C$49,2,0)</f>
        <v>9.3000000000000007</v>
      </c>
      <c r="L26" s="8">
        <v>2</v>
      </c>
      <c r="M26" s="8">
        <f>Tableau324[[#This Row],[Durée (h)]]*Tableau324[[#This Row],[Débit (m3/h)]]</f>
        <v>18.600000000000001</v>
      </c>
      <c r="N26" s="8">
        <f>Tableau324[[#This Row],[Durée (h)]]*VLOOKUP(Tableau324[[#This Row],[Vitesse]],Données!$B$26:$C$35,2,0)</f>
        <v>256</v>
      </c>
      <c r="O26" s="8"/>
      <c r="P26" s="8" t="s">
        <v>72</v>
      </c>
      <c r="Q26" s="8" t="s">
        <v>32</v>
      </c>
      <c r="R26" s="8">
        <f>VLOOKUP(Tableau325[[#This Row],[Vitesse]],Données!$B$40:$C$49,2,0)</f>
        <v>9.3000000000000007</v>
      </c>
      <c r="S26" s="8">
        <v>3</v>
      </c>
      <c r="T26" s="8">
        <f>Tableau325[[#This Row],[Durée (h)]]*Tableau325[[#This Row],[Débit (m3/h)]]</f>
        <v>27.900000000000002</v>
      </c>
      <c r="U26" s="8">
        <f>Tableau325[[#This Row],[Durée (h)]]*VLOOKUP(Tableau325[[#This Row],[Vitesse]],Données!$B$26:$C$35,2,0)</f>
        <v>384</v>
      </c>
    </row>
    <row r="27" spans="2:21" x14ac:dyDescent="0.3">
      <c r="B27" s="8" t="s">
        <v>70</v>
      </c>
      <c r="C27" s="8" t="s">
        <v>32</v>
      </c>
      <c r="D27" s="8">
        <f>VLOOKUP(Tableau323[[#This Row],[Vitesse]],Données!$B$40:$C$49,2,0)</f>
        <v>9.3000000000000007</v>
      </c>
      <c r="E27" s="8">
        <v>2</v>
      </c>
      <c r="F27" s="8">
        <f>Tableau323[[#This Row],[Durée (h)]]*Tableau323[[#This Row],[Débit (m3/h)]]</f>
        <v>18.600000000000001</v>
      </c>
      <c r="G27" s="8">
        <f>Tableau323[[#This Row],[Durée (h)]]*VLOOKUP(Tableau323[[#This Row],[Vitesse]],Données!$B$26:$C$35,2,0)</f>
        <v>256</v>
      </c>
      <c r="H27" s="8"/>
      <c r="I27" s="8" t="s">
        <v>70</v>
      </c>
      <c r="J27" s="8" t="s">
        <v>32</v>
      </c>
      <c r="K27" s="8">
        <f>VLOOKUP(Tableau324[[#This Row],[Vitesse]],Données!$B$40:$C$49,2,0)</f>
        <v>9.3000000000000007</v>
      </c>
      <c r="L27" s="8">
        <v>2</v>
      </c>
      <c r="M27" s="8">
        <f>Tableau324[[#This Row],[Durée (h)]]*Tableau324[[#This Row],[Débit (m3/h)]]</f>
        <v>18.600000000000001</v>
      </c>
      <c r="N27" s="8">
        <f>Tableau324[[#This Row],[Durée (h)]]*VLOOKUP(Tableau324[[#This Row],[Vitesse]],Données!$B$26:$C$35,2,0)</f>
        <v>256</v>
      </c>
      <c r="P27" s="8" t="s">
        <v>73</v>
      </c>
      <c r="Q27" s="8" t="s">
        <v>32</v>
      </c>
      <c r="R27" s="8">
        <f>VLOOKUP(Tableau325[[#This Row],[Vitesse]],Données!$B$40:$C$49,2,0)</f>
        <v>9.3000000000000007</v>
      </c>
      <c r="S27" s="8">
        <v>2</v>
      </c>
      <c r="T27" s="8">
        <f>Tableau325[[#This Row],[Durée (h)]]*Tableau325[[#This Row],[Débit (m3/h)]]</f>
        <v>18.600000000000001</v>
      </c>
      <c r="U27" s="8">
        <f>Tableau325[[#This Row],[Durée (h)]]*VLOOKUP(Tableau325[[#This Row],[Vitesse]],Données!$B$26:$C$35,2,0)</f>
        <v>256</v>
      </c>
    </row>
    <row r="28" spans="2:21" x14ac:dyDescent="0.3">
      <c r="B28" s="8" t="s">
        <v>71</v>
      </c>
      <c r="C28" s="8" t="s">
        <v>32</v>
      </c>
      <c r="D28" s="8">
        <f>VLOOKUP(Tableau323[[#This Row],[Vitesse]],Données!$B$40:$C$49,2,0)</f>
        <v>9.3000000000000007</v>
      </c>
      <c r="E28" s="8">
        <v>3</v>
      </c>
      <c r="F28" s="8">
        <f>Tableau323[[#This Row],[Durée (h)]]*Tableau323[[#This Row],[Débit (m3/h)]]</f>
        <v>27.900000000000002</v>
      </c>
      <c r="G28" s="8">
        <f>Tableau323[[#This Row],[Durée (h)]]*VLOOKUP(Tableau323[[#This Row],[Vitesse]],Données!$B$26:$C$35,2,0)</f>
        <v>384</v>
      </c>
      <c r="H28" s="8"/>
      <c r="I28" s="8" t="s">
        <v>71</v>
      </c>
      <c r="J28" s="8" t="s">
        <v>32</v>
      </c>
      <c r="K28" s="8">
        <f>VLOOKUP(Tableau324[[#This Row],[Vitesse]],Données!$B$40:$C$49,2,0)</f>
        <v>9.3000000000000007</v>
      </c>
      <c r="L28" s="8">
        <v>3</v>
      </c>
      <c r="M28" s="8">
        <f>Tableau324[[#This Row],[Durée (h)]]*Tableau324[[#This Row],[Débit (m3/h)]]</f>
        <v>27.900000000000002</v>
      </c>
      <c r="N28" s="8">
        <f>Tableau324[[#This Row],[Durée (h)]]*VLOOKUP(Tableau324[[#This Row],[Vitesse]],Données!$B$26:$C$35,2,0)</f>
        <v>384</v>
      </c>
      <c r="P28" s="8" t="s">
        <v>74</v>
      </c>
      <c r="Q28" s="8" t="s">
        <v>32</v>
      </c>
      <c r="R28" s="8">
        <f>VLOOKUP(Tableau325[[#This Row],[Vitesse]],Données!$B$40:$C$49,2,0)</f>
        <v>9.3000000000000007</v>
      </c>
      <c r="S28" s="8">
        <v>2</v>
      </c>
      <c r="T28" s="8">
        <f>Tableau325[[#This Row],[Durée (h)]]*Tableau325[[#This Row],[Débit (m3/h)]]</f>
        <v>18.600000000000001</v>
      </c>
      <c r="U28" s="8">
        <f>Tableau325[[#This Row],[Durée (h)]]*VLOOKUP(Tableau325[[#This Row],[Vitesse]],Données!$B$26:$C$35,2,0)</f>
        <v>256</v>
      </c>
    </row>
    <row r="29" spans="2:21" x14ac:dyDescent="0.3">
      <c r="B29" s="8" t="s">
        <v>11</v>
      </c>
      <c r="C29" s="8"/>
      <c r="D29" s="8"/>
      <c r="E29" s="8"/>
      <c r="F29" s="8">
        <f>F19+F20+F21+F22+F23+F24+F25+F26+F27+F28</f>
        <v>240.3</v>
      </c>
      <c r="G29" s="8">
        <f>G19+G20+G21+G22+G23+G24+G25+G26+G27+G28</f>
        <v>3783</v>
      </c>
      <c r="H29" s="8"/>
      <c r="I29" s="8" t="s">
        <v>11</v>
      </c>
      <c r="J29" s="8"/>
      <c r="K29" s="8"/>
      <c r="L29" s="8"/>
      <c r="M29" s="8">
        <f>M19+M20+M21+M22+M23+M24+M25+M26+M27+M28</f>
        <v>249.3</v>
      </c>
      <c r="N29" s="8">
        <f>N19+N20+N21+N22+N23+N24+N25+N26+N27+N28</f>
        <v>4213</v>
      </c>
      <c r="P29" s="8" t="s">
        <v>11</v>
      </c>
      <c r="Q29" s="8"/>
      <c r="R29" s="8"/>
      <c r="S29" s="8"/>
      <c r="T29" s="8">
        <f>T19+T20+T21+T22+T23+T24+T25+T26+T27+T28</f>
        <v>254.70000000000002</v>
      </c>
      <c r="U29" s="8">
        <f>U19+U20+U21+U22+U23+U24+U25+U26+U27+U28</f>
        <v>4528</v>
      </c>
    </row>
    <row r="30" spans="2:21" x14ac:dyDescent="0.3">
      <c r="H30" s="8"/>
      <c r="I30" s="8"/>
      <c r="J30" s="8"/>
      <c r="K30" s="8"/>
      <c r="L30" s="8"/>
    </row>
    <row r="31" spans="2:21" x14ac:dyDescent="0.3">
      <c r="H31" s="8"/>
      <c r="I31" s="8"/>
      <c r="J31" s="8"/>
      <c r="K31" s="8"/>
      <c r="L31" s="8"/>
    </row>
    <row r="32" spans="2:21" x14ac:dyDescent="0.3">
      <c r="I32" s="8"/>
      <c r="J32" s="8"/>
      <c r="K32" s="8"/>
      <c r="L32" s="8"/>
      <c r="O32" s="24"/>
    </row>
    <row r="33" spans="2:21" ht="21" x14ac:dyDescent="0.3">
      <c r="I33" s="8"/>
      <c r="J33" s="8"/>
      <c r="K33" s="8"/>
      <c r="L33" s="8"/>
      <c r="O33" s="8"/>
      <c r="P33" s="23"/>
    </row>
    <row r="34" spans="2:21" ht="21" x14ac:dyDescent="0.4">
      <c r="D34" s="27" t="s">
        <v>23</v>
      </c>
      <c r="E34" s="22" t="s">
        <v>50</v>
      </c>
      <c r="K34" s="27" t="s">
        <v>23</v>
      </c>
      <c r="L34" s="22" t="s">
        <v>51</v>
      </c>
      <c r="O34" s="8"/>
      <c r="R34" s="27" t="s">
        <v>23</v>
      </c>
      <c r="S34" s="22" t="s">
        <v>52</v>
      </c>
    </row>
    <row r="35" spans="2:21" x14ac:dyDescent="0.3">
      <c r="B35" s="21" t="s">
        <v>28</v>
      </c>
      <c r="C35" s="21" t="s">
        <v>29</v>
      </c>
      <c r="D35" s="21" t="s">
        <v>14</v>
      </c>
      <c r="E35" s="21" t="s">
        <v>30</v>
      </c>
      <c r="F35" s="21" t="s">
        <v>31</v>
      </c>
      <c r="G35" s="21" t="s">
        <v>56</v>
      </c>
      <c r="I35" s="21" t="s">
        <v>28</v>
      </c>
      <c r="J35" s="21" t="s">
        <v>29</v>
      </c>
      <c r="K35" s="21" t="s">
        <v>14</v>
      </c>
      <c r="L35" s="21" t="s">
        <v>30</v>
      </c>
      <c r="M35" s="21" t="s">
        <v>31</v>
      </c>
      <c r="N35" s="21" t="s">
        <v>56</v>
      </c>
      <c r="O35" s="8"/>
      <c r="P35" s="21" t="s">
        <v>28</v>
      </c>
      <c r="Q35" s="21" t="s">
        <v>29</v>
      </c>
      <c r="R35" s="21" t="s">
        <v>14</v>
      </c>
      <c r="S35" s="21" t="s">
        <v>30</v>
      </c>
      <c r="T35" s="21" t="s">
        <v>31</v>
      </c>
      <c r="U35" s="21" t="s">
        <v>56</v>
      </c>
    </row>
    <row r="36" spans="2:21" x14ac:dyDescent="0.3">
      <c r="B36" s="8" t="s">
        <v>66</v>
      </c>
      <c r="C36" s="8" t="s">
        <v>32</v>
      </c>
      <c r="D36" s="8">
        <f>VLOOKUP(Tableau326[[#This Row],[Vitesse]],Données!$E$40:$F$49,2,0)</f>
        <v>9.6</v>
      </c>
      <c r="E36" s="8">
        <v>4</v>
      </c>
      <c r="F36" s="8">
        <f>Tableau326[[#This Row],[Durée (h)]]*Tableau326[[#This Row],[Débit (m3/h)]]</f>
        <v>38.4</v>
      </c>
      <c r="G36" s="8">
        <f>Tableau326[[#This Row],[Durée (h)]]*VLOOKUP(Tableau326[[#This Row],[Vitesse]],Données!$E$26:$F$35,2,0)</f>
        <v>504</v>
      </c>
      <c r="I36" s="8" t="s">
        <v>66</v>
      </c>
      <c r="J36" s="8" t="s">
        <v>32</v>
      </c>
      <c r="K36" s="8">
        <f>VLOOKUP(Tableau327[[#This Row],[Vitesse]],Données!$E$40:$F$49,2,0)</f>
        <v>9.6</v>
      </c>
      <c r="L36" s="8">
        <v>4</v>
      </c>
      <c r="M36" s="8">
        <f>Tableau327[[#This Row],[Durée (h)]]*Tableau327[[#This Row],[Débit (m3/h)]]</f>
        <v>38.4</v>
      </c>
      <c r="N36" s="8">
        <f>Tableau327[[#This Row],[Durée (h)]]*VLOOKUP(Tableau327[[#This Row],[Vitesse]],Données!$E$26:$F$35,2,0)</f>
        <v>504</v>
      </c>
      <c r="O36" s="8"/>
      <c r="P36" s="8" t="s">
        <v>66</v>
      </c>
      <c r="Q36" s="8" t="s">
        <v>32</v>
      </c>
      <c r="R36" s="8">
        <f>VLOOKUP(Tableau328[[#This Row],[Vitesse]],Données!$E$40:$F$49,2,0)</f>
        <v>9.6</v>
      </c>
      <c r="S36" s="8">
        <v>4</v>
      </c>
      <c r="T36" s="8">
        <f>Tableau328[[#This Row],[Durée (h)]]*Tableau328[[#This Row],[Débit (m3/h)]]</f>
        <v>38.4</v>
      </c>
      <c r="U36" s="8">
        <f>Tableau328[[#This Row],[Durée (h)]]*VLOOKUP(Tableau328[[#This Row],[Vitesse]],Données!$E$26:$F$35,2,0)</f>
        <v>504</v>
      </c>
    </row>
    <row r="37" spans="2:21" x14ac:dyDescent="0.3">
      <c r="B37" s="8" t="s">
        <v>67</v>
      </c>
      <c r="C37" s="8" t="s">
        <v>32</v>
      </c>
      <c r="D37" s="8">
        <f>VLOOKUP(Tableau326[[#This Row],[Vitesse]],Données!$E$40:$F$49,2,0)</f>
        <v>9.6</v>
      </c>
      <c r="E37" s="8">
        <v>2</v>
      </c>
      <c r="F37" s="8">
        <f>Tableau326[[#This Row],[Durée (h)]]*Tableau326[[#This Row],[Débit (m3/h)]]</f>
        <v>19.2</v>
      </c>
      <c r="G37" s="8">
        <f>Tableau326[[#This Row],[Durée (h)]]*VLOOKUP(Tableau326[[#This Row],[Vitesse]],Données!$E$26:$F$35,2,0)</f>
        <v>252</v>
      </c>
      <c r="H37" s="24"/>
      <c r="I37" s="8" t="s">
        <v>67</v>
      </c>
      <c r="J37" s="8" t="s">
        <v>32</v>
      </c>
      <c r="K37" s="8">
        <f>VLOOKUP(Tableau327[[#This Row],[Vitesse]],Données!$E$40:$F$49,2,0)</f>
        <v>9.6</v>
      </c>
      <c r="L37" s="8">
        <v>2</v>
      </c>
      <c r="M37" s="8">
        <f>Tableau327[[#This Row],[Durée (h)]]*Tableau327[[#This Row],[Débit (m3/h)]]</f>
        <v>19.2</v>
      </c>
      <c r="N37" s="8">
        <f>Tableau327[[#This Row],[Durée (h)]]*VLOOKUP(Tableau327[[#This Row],[Vitesse]],Données!$E$26:$F$35,2,0)</f>
        <v>252</v>
      </c>
      <c r="O37" s="8"/>
      <c r="P37" s="8" t="s">
        <v>67</v>
      </c>
      <c r="Q37" s="8" t="s">
        <v>32</v>
      </c>
      <c r="R37" s="8">
        <f>VLOOKUP(Tableau328[[#This Row],[Vitesse]],Données!$E$40:$F$49,2,0)</f>
        <v>9.6</v>
      </c>
      <c r="S37" s="8">
        <v>2</v>
      </c>
      <c r="T37" s="8">
        <f>Tableau328[[#This Row],[Durée (h)]]*Tableau328[[#This Row],[Débit (m3/h)]]</f>
        <v>19.2</v>
      </c>
      <c r="U37" s="8">
        <f>Tableau328[[#This Row],[Durée (h)]]*VLOOKUP(Tableau328[[#This Row],[Vitesse]],Données!$E$26:$F$35,2,0)</f>
        <v>252</v>
      </c>
    </row>
    <row r="38" spans="2:21" x14ac:dyDescent="0.3">
      <c r="B38" s="8" t="s">
        <v>33</v>
      </c>
      <c r="C38" s="8" t="s">
        <v>32</v>
      </c>
      <c r="D38" s="8">
        <f>VLOOKUP(Tableau326[[#This Row],[Vitesse]],Données!$E$40:$F$49,2,0)</f>
        <v>9.6</v>
      </c>
      <c r="E38" s="8">
        <v>2</v>
      </c>
      <c r="F38" s="8">
        <f>Tableau326[[#This Row],[Durée (h)]]*Tableau326[[#This Row],[Débit (m3/h)]]</f>
        <v>19.2</v>
      </c>
      <c r="G38" s="8">
        <f>Tableau326[[#This Row],[Durée (h)]]*VLOOKUP(Tableau326[[#This Row],[Vitesse]],Données!$E$26:$F$35,2,0)</f>
        <v>252</v>
      </c>
      <c r="H38" s="8"/>
      <c r="I38" s="8" t="s">
        <v>33</v>
      </c>
      <c r="J38" s="8" t="s">
        <v>32</v>
      </c>
      <c r="K38" s="8">
        <f>VLOOKUP(Tableau327[[#This Row],[Vitesse]],Données!$E$40:$F$49,2,0)</f>
        <v>9.6</v>
      </c>
      <c r="L38" s="8">
        <v>2</v>
      </c>
      <c r="M38" s="8">
        <f>Tableau327[[#This Row],[Durée (h)]]*Tableau327[[#This Row],[Débit (m3/h)]]</f>
        <v>19.2</v>
      </c>
      <c r="N38" s="8">
        <f>Tableau327[[#This Row],[Durée (h)]]*VLOOKUP(Tableau327[[#This Row],[Vitesse]],Données!$E$26:$F$35,2,0)</f>
        <v>252</v>
      </c>
      <c r="O38" s="8"/>
      <c r="P38" s="8" t="s">
        <v>33</v>
      </c>
      <c r="Q38" s="8" t="s">
        <v>32</v>
      </c>
      <c r="R38" s="8">
        <f>VLOOKUP(Tableau328[[#This Row],[Vitesse]],Données!$E$40:$F$49,2,0)</f>
        <v>9.6</v>
      </c>
      <c r="S38" s="8">
        <v>2</v>
      </c>
      <c r="T38" s="8">
        <f>Tableau328[[#This Row],[Durée (h)]]*Tableau328[[#This Row],[Débit (m3/h)]]</f>
        <v>19.2</v>
      </c>
      <c r="U38" s="8">
        <f>Tableau328[[#This Row],[Durée (h)]]*VLOOKUP(Tableau328[[#This Row],[Vitesse]],Données!$E$26:$F$35,2,0)</f>
        <v>252</v>
      </c>
    </row>
    <row r="39" spans="2:21" x14ac:dyDescent="0.3">
      <c r="B39" s="8" t="s">
        <v>35</v>
      </c>
      <c r="C39" s="8" t="s">
        <v>34</v>
      </c>
      <c r="D39" s="8">
        <f>VLOOKUP(Tableau326[[#This Row],[Vitesse]],Données!$E$40:$F$49,2,0)</f>
        <v>11.8</v>
      </c>
      <c r="E39" s="8">
        <v>2</v>
      </c>
      <c r="F39" s="8">
        <f>Tableau326[[#This Row],[Durée (h)]]*Tableau326[[#This Row],[Débit (m3/h)]]</f>
        <v>23.6</v>
      </c>
      <c r="G39" s="8">
        <f>Tableau326[[#This Row],[Durée (h)]]*VLOOKUP(Tableau326[[#This Row],[Vitesse]],Données!$E$26:$F$35,2,0)</f>
        <v>420</v>
      </c>
      <c r="H39" s="8"/>
      <c r="I39" s="8" t="s">
        <v>35</v>
      </c>
      <c r="J39" s="8" t="s">
        <v>34</v>
      </c>
      <c r="K39" s="8">
        <f>VLOOKUP(Tableau327[[#This Row],[Vitesse]],Données!$E$40:$F$49,2,0)</f>
        <v>11.8</v>
      </c>
      <c r="L39" s="8">
        <v>2</v>
      </c>
      <c r="M39" s="8">
        <f>Tableau327[[#This Row],[Durée (h)]]*Tableau327[[#This Row],[Débit (m3/h)]]</f>
        <v>23.6</v>
      </c>
      <c r="N39" s="8">
        <f>Tableau327[[#This Row],[Durée (h)]]*VLOOKUP(Tableau327[[#This Row],[Vitesse]],Données!$E$26:$F$35,2,0)</f>
        <v>420</v>
      </c>
      <c r="O39" s="8"/>
      <c r="P39" s="8" t="s">
        <v>35</v>
      </c>
      <c r="Q39" s="8" t="s">
        <v>34</v>
      </c>
      <c r="R39" s="8">
        <f>VLOOKUP(Tableau328[[#This Row],[Vitesse]],Données!$E$40:$F$49,2,0)</f>
        <v>11.8</v>
      </c>
      <c r="S39" s="8">
        <v>2</v>
      </c>
      <c r="T39" s="8">
        <f>Tableau328[[#This Row],[Durée (h)]]*Tableau328[[#This Row],[Débit (m3/h)]]</f>
        <v>23.6</v>
      </c>
      <c r="U39" s="8">
        <f>Tableau328[[#This Row],[Durée (h)]]*VLOOKUP(Tableau328[[#This Row],[Vitesse]],Données!$E$26:$F$35,2,0)</f>
        <v>420</v>
      </c>
    </row>
    <row r="40" spans="2:21" x14ac:dyDescent="0.3">
      <c r="B40" s="8" t="s">
        <v>37</v>
      </c>
      <c r="C40" s="8" t="s">
        <v>34</v>
      </c>
      <c r="D40" s="8">
        <f>VLOOKUP(Tableau326[[#This Row],[Vitesse]],Données!$E$40:$F$49,2,0)</f>
        <v>11.8</v>
      </c>
      <c r="E40" s="8">
        <v>2</v>
      </c>
      <c r="F40" s="8">
        <f>Tableau326[[#This Row],[Durée (h)]]*Tableau326[[#This Row],[Débit (m3/h)]]</f>
        <v>23.6</v>
      </c>
      <c r="G40" s="8">
        <f>Tableau326[[#This Row],[Durée (h)]]*VLOOKUP(Tableau326[[#This Row],[Vitesse]],Données!$E$26:$F$35,2,0)</f>
        <v>420</v>
      </c>
      <c r="H40" s="8"/>
      <c r="I40" s="8" t="s">
        <v>37</v>
      </c>
      <c r="J40" s="8" t="s">
        <v>34</v>
      </c>
      <c r="K40" s="8">
        <f>VLOOKUP(Tableau327[[#This Row],[Vitesse]],Données!$E$40:$F$49,2,0)</f>
        <v>11.8</v>
      </c>
      <c r="L40" s="8">
        <v>2</v>
      </c>
      <c r="M40" s="8">
        <f>Tableau327[[#This Row],[Durée (h)]]*Tableau327[[#This Row],[Débit (m3/h)]]</f>
        <v>23.6</v>
      </c>
      <c r="N40" s="8">
        <f>Tableau327[[#This Row],[Durée (h)]]*VLOOKUP(Tableau327[[#This Row],[Vitesse]],Données!$E$26:$F$35,2,0)</f>
        <v>420</v>
      </c>
      <c r="O40" s="8"/>
      <c r="P40" s="8" t="s">
        <v>37</v>
      </c>
      <c r="Q40" s="8" t="s">
        <v>34</v>
      </c>
      <c r="R40" s="8">
        <f>VLOOKUP(Tableau328[[#This Row],[Vitesse]],Données!$E$40:$F$49,2,0)</f>
        <v>11.8</v>
      </c>
      <c r="S40" s="8">
        <v>2</v>
      </c>
      <c r="T40" s="8">
        <f>Tableau328[[#This Row],[Durée (h)]]*Tableau328[[#This Row],[Débit (m3/h)]]</f>
        <v>23.6</v>
      </c>
      <c r="U40" s="8">
        <f>Tableau328[[#This Row],[Durée (h)]]*VLOOKUP(Tableau328[[#This Row],[Vitesse]],Données!$E$26:$F$35,2,0)</f>
        <v>420</v>
      </c>
    </row>
    <row r="41" spans="2:21" x14ac:dyDescent="0.3">
      <c r="B41" s="8" t="s">
        <v>39</v>
      </c>
      <c r="C41" s="8" t="s">
        <v>36</v>
      </c>
      <c r="D41" s="8">
        <f>VLOOKUP(Tableau326[[#This Row],[Vitesse]],Données!$E$40:$F$49,2,0)</f>
        <v>14.4</v>
      </c>
      <c r="E41" s="8">
        <v>3</v>
      </c>
      <c r="F41" s="8">
        <f>Tableau326[[#This Row],[Durée (h)]]*Tableau326[[#This Row],[Débit (m3/h)]]</f>
        <v>43.2</v>
      </c>
      <c r="G41" s="8">
        <f>Tableau326[[#This Row],[Durée (h)]]*VLOOKUP(Tableau326[[#This Row],[Vitesse]],Données!$E$26:$F$35,2,0)</f>
        <v>1041</v>
      </c>
      <c r="H41" s="8"/>
      <c r="I41" s="8" t="s">
        <v>39</v>
      </c>
      <c r="J41" s="8" t="s">
        <v>38</v>
      </c>
      <c r="K41" s="8">
        <f>VLOOKUP(Tableau327[[#This Row],[Vitesse]],Données!$E$40:$F$49,2,0)</f>
        <v>16.899999999999999</v>
      </c>
      <c r="L41" s="8">
        <v>3</v>
      </c>
      <c r="M41" s="8">
        <f>Tableau327[[#This Row],[Durée (h)]]*Tableau327[[#This Row],[Débit (m3/h)]]</f>
        <v>50.699999999999996</v>
      </c>
      <c r="N41" s="8">
        <f>Tableau327[[#This Row],[Durée (h)]]*VLOOKUP(Tableau327[[#This Row],[Vitesse]],Données!$E$26:$F$35,2,0)</f>
        <v>1566</v>
      </c>
      <c r="P41" s="8" t="s">
        <v>39</v>
      </c>
      <c r="Q41" s="8" t="s">
        <v>38</v>
      </c>
      <c r="R41" s="8">
        <f>VLOOKUP(Tableau328[[#This Row],[Vitesse]],Données!$E$40:$F$49,2,0)</f>
        <v>16.899999999999999</v>
      </c>
      <c r="S41" s="8">
        <v>3</v>
      </c>
      <c r="T41" s="8">
        <f>Tableau328[[#This Row],[Durée (h)]]*Tableau328[[#This Row],[Débit (m3/h)]]</f>
        <v>50.699999999999996</v>
      </c>
      <c r="U41" s="8">
        <f>Tableau328[[#This Row],[Durée (h)]]*VLOOKUP(Tableau328[[#This Row],[Vitesse]],Données!$E$26:$F$35,2,0)</f>
        <v>1566</v>
      </c>
    </row>
    <row r="42" spans="2:21" x14ac:dyDescent="0.3">
      <c r="B42" s="8" t="s">
        <v>68</v>
      </c>
      <c r="C42" s="8" t="s">
        <v>36</v>
      </c>
      <c r="D42" s="8">
        <f>VLOOKUP(Tableau326[[#This Row],[Vitesse]],Données!$E$40:$F$49,2,0)</f>
        <v>14.4</v>
      </c>
      <c r="E42" s="8">
        <v>2</v>
      </c>
      <c r="F42" s="8">
        <f>Tableau326[[#This Row],[Durée (h)]]*Tableau326[[#This Row],[Débit (m3/h)]]</f>
        <v>28.8</v>
      </c>
      <c r="G42" s="8">
        <f>Tableau326[[#This Row],[Durée (h)]]*VLOOKUP(Tableau326[[#This Row],[Vitesse]],Données!$E$26:$F$35,2,0)</f>
        <v>694</v>
      </c>
      <c r="H42" s="8"/>
      <c r="I42" s="8" t="s">
        <v>68</v>
      </c>
      <c r="J42" s="8" t="s">
        <v>36</v>
      </c>
      <c r="K42" s="8">
        <f>VLOOKUP(Tableau327[[#This Row],[Vitesse]],Données!$E$40:$F$49,2,0)</f>
        <v>14.4</v>
      </c>
      <c r="L42" s="8">
        <v>2</v>
      </c>
      <c r="M42" s="8">
        <f>Tableau327[[#This Row],[Durée (h)]]*Tableau327[[#This Row],[Débit (m3/h)]]</f>
        <v>28.8</v>
      </c>
      <c r="N42" s="8">
        <f>Tableau327[[#This Row],[Durée (h)]]*VLOOKUP(Tableau327[[#This Row],[Vitesse]],Données!$E$26:$F$35,2,0)</f>
        <v>694</v>
      </c>
      <c r="P42" s="8" t="s">
        <v>68</v>
      </c>
      <c r="Q42" s="8" t="s">
        <v>38</v>
      </c>
      <c r="R42" s="8">
        <f>VLOOKUP(Tableau328[[#This Row],[Vitesse]],Données!$E$40:$F$49,2,0)</f>
        <v>16.899999999999999</v>
      </c>
      <c r="S42" s="8">
        <v>2</v>
      </c>
      <c r="T42" s="8">
        <f>Tableau328[[#This Row],[Durée (h)]]*Tableau328[[#This Row],[Débit (m3/h)]]</f>
        <v>33.799999999999997</v>
      </c>
      <c r="U42" s="8">
        <f>Tableau328[[#This Row],[Durée (h)]]*VLOOKUP(Tableau328[[#This Row],[Vitesse]],Données!$E$26:$F$35,2,0)</f>
        <v>1044</v>
      </c>
    </row>
    <row r="43" spans="2:21" x14ac:dyDescent="0.3">
      <c r="B43" s="8" t="s">
        <v>69</v>
      </c>
      <c r="C43" s="8" t="s">
        <v>32</v>
      </c>
      <c r="D43" s="8">
        <f>VLOOKUP(Tableau326[[#This Row],[Vitesse]],Données!$E$40:$F$49,2,0)</f>
        <v>9.6</v>
      </c>
      <c r="E43" s="8">
        <v>2</v>
      </c>
      <c r="F43" s="8">
        <f>Tableau326[[#This Row],[Durée (h)]]*Tableau326[[#This Row],[Débit (m3/h)]]</f>
        <v>19.2</v>
      </c>
      <c r="G43" s="8">
        <f>Tableau326[[#This Row],[Durée (h)]]*VLOOKUP(Tableau326[[#This Row],[Vitesse]],Données!$E$26:$F$35,2,0)</f>
        <v>252</v>
      </c>
      <c r="H43" s="8"/>
      <c r="I43" s="8" t="s">
        <v>69</v>
      </c>
      <c r="J43" s="8" t="s">
        <v>32</v>
      </c>
      <c r="K43" s="8">
        <f>VLOOKUP(Tableau327[[#This Row],[Vitesse]],Données!$E$40:$F$49,2,0)</f>
        <v>9.6</v>
      </c>
      <c r="L43" s="8">
        <v>2</v>
      </c>
      <c r="M43" s="8">
        <f>Tableau327[[#This Row],[Durée (h)]]*Tableau327[[#This Row],[Débit (m3/h)]]</f>
        <v>19.2</v>
      </c>
      <c r="N43" s="8">
        <f>Tableau327[[#This Row],[Durée (h)]]*VLOOKUP(Tableau327[[#This Row],[Vitesse]],Données!$E$26:$F$35,2,0)</f>
        <v>252</v>
      </c>
      <c r="P43" s="8" t="s">
        <v>69</v>
      </c>
      <c r="Q43" s="8" t="s">
        <v>36</v>
      </c>
      <c r="R43" s="8">
        <f>VLOOKUP(Tableau328[[#This Row],[Vitesse]],Données!$E$40:$F$49,2,0)</f>
        <v>14.4</v>
      </c>
      <c r="S43" s="8">
        <v>2</v>
      </c>
      <c r="T43" s="8">
        <f>Tableau328[[#This Row],[Durée (h)]]*Tableau328[[#This Row],[Débit (m3/h)]]</f>
        <v>28.8</v>
      </c>
      <c r="U43" s="8">
        <f>Tableau328[[#This Row],[Durée (h)]]*VLOOKUP(Tableau328[[#This Row],[Vitesse]],Données!$E$26:$F$35,2,0)</f>
        <v>694</v>
      </c>
    </row>
    <row r="44" spans="2:21" x14ac:dyDescent="0.3">
      <c r="B44" s="8" t="s">
        <v>70</v>
      </c>
      <c r="C44" s="8" t="s">
        <v>32</v>
      </c>
      <c r="D44" s="8">
        <f>VLOOKUP(Tableau326[[#This Row],[Vitesse]],Données!$E$40:$F$49,2,0)</f>
        <v>9.6</v>
      </c>
      <c r="E44" s="8">
        <v>2</v>
      </c>
      <c r="F44" s="8">
        <f>Tableau326[[#This Row],[Durée (h)]]*Tableau326[[#This Row],[Débit (m3/h)]]</f>
        <v>19.2</v>
      </c>
      <c r="G44" s="8">
        <f>Tableau326[[#This Row],[Durée (h)]]*VLOOKUP(Tableau326[[#This Row],[Vitesse]],Données!$E$26:$F$35,2,0)</f>
        <v>252</v>
      </c>
      <c r="H44" s="8"/>
      <c r="I44" s="8" t="s">
        <v>70</v>
      </c>
      <c r="J44" s="8" t="s">
        <v>32</v>
      </c>
      <c r="K44" s="8">
        <f>VLOOKUP(Tableau327[[#This Row],[Vitesse]],Données!$E$40:$F$49,2,0)</f>
        <v>9.6</v>
      </c>
      <c r="L44" s="8">
        <v>2</v>
      </c>
      <c r="M44" s="8">
        <f>Tableau327[[#This Row],[Durée (h)]]*Tableau327[[#This Row],[Débit (m3/h)]]</f>
        <v>19.2</v>
      </c>
      <c r="N44" s="8">
        <f>Tableau327[[#This Row],[Durée (h)]]*VLOOKUP(Tableau327[[#This Row],[Vitesse]],Données!$E$26:$F$35,2,0)</f>
        <v>252</v>
      </c>
      <c r="P44" s="8" t="s">
        <v>70</v>
      </c>
      <c r="Q44" s="8" t="s">
        <v>34</v>
      </c>
      <c r="R44" s="8">
        <f>VLOOKUP(Tableau328[[#This Row],[Vitesse]],Données!$E$40:$F$49,2,0)</f>
        <v>11.8</v>
      </c>
      <c r="S44" s="8">
        <v>2</v>
      </c>
      <c r="T44" s="8">
        <f>Tableau328[[#This Row],[Durée (h)]]*Tableau328[[#This Row],[Débit (m3/h)]]</f>
        <v>23.6</v>
      </c>
      <c r="U44" s="8">
        <f>Tableau328[[#This Row],[Durée (h)]]*VLOOKUP(Tableau328[[#This Row],[Vitesse]],Données!$E$26:$F$35,2,0)</f>
        <v>420</v>
      </c>
    </row>
    <row r="45" spans="2:21" x14ac:dyDescent="0.3">
      <c r="B45" s="8" t="s">
        <v>71</v>
      </c>
      <c r="C45" s="8" t="s">
        <v>32</v>
      </c>
      <c r="D45" s="8">
        <f>VLOOKUP(Tableau326[[#This Row],[Vitesse]],Données!$E$40:$F$49,2,0)</f>
        <v>9.6</v>
      </c>
      <c r="E45" s="8">
        <v>3</v>
      </c>
      <c r="F45" s="8">
        <f>Tableau326[[#This Row],[Durée (h)]]*Tableau326[[#This Row],[Débit (m3/h)]]</f>
        <v>28.799999999999997</v>
      </c>
      <c r="G45" s="8">
        <f>Tableau326[[#This Row],[Durée (h)]]*VLOOKUP(Tableau326[[#This Row],[Vitesse]],Données!$E$26:$F$35,2,0)</f>
        <v>378</v>
      </c>
      <c r="H45" s="8"/>
      <c r="I45" s="8" t="s">
        <v>71</v>
      </c>
      <c r="J45" s="8" t="s">
        <v>32</v>
      </c>
      <c r="K45" s="8">
        <f>VLOOKUP(Tableau327[[#This Row],[Vitesse]],Données!$E$40:$F$49,2,0)</f>
        <v>9.6</v>
      </c>
      <c r="L45" s="8">
        <v>3</v>
      </c>
      <c r="M45" s="8">
        <f>Tableau327[[#This Row],[Durée (h)]]*Tableau327[[#This Row],[Débit (m3/h)]]</f>
        <v>28.799999999999997</v>
      </c>
      <c r="N45" s="8">
        <f>Tableau327[[#This Row],[Durée (h)]]*VLOOKUP(Tableau327[[#This Row],[Vitesse]],Données!$E$26:$F$35,2,0)</f>
        <v>378</v>
      </c>
      <c r="P45" s="8" t="s">
        <v>71</v>
      </c>
      <c r="Q45" s="8" t="s">
        <v>32</v>
      </c>
      <c r="R45" s="8">
        <f>VLOOKUP(Tableau328[[#This Row],[Vitesse]],Données!$E$40:$F$49,2,0)</f>
        <v>9.6</v>
      </c>
      <c r="S45" s="8">
        <v>3</v>
      </c>
      <c r="T45" s="8">
        <f>Tableau328[[#This Row],[Durée (h)]]*Tableau328[[#This Row],[Débit (m3/h)]]</f>
        <v>28.799999999999997</v>
      </c>
      <c r="U45" s="8">
        <f>Tableau328[[#This Row],[Durée (h)]]*VLOOKUP(Tableau328[[#This Row],[Vitesse]],Données!$E$26:$F$35,2,0)</f>
        <v>378</v>
      </c>
    </row>
    <row r="46" spans="2:21" x14ac:dyDescent="0.3">
      <c r="B46" s="8" t="s">
        <v>11</v>
      </c>
      <c r="C46" s="8"/>
      <c r="D46" s="8"/>
      <c r="E46" s="8"/>
      <c r="F46" s="8">
        <f>F36+F37+F38+F39+F40+F41+F42+F43+F44+F45</f>
        <v>263.2</v>
      </c>
      <c r="G46" s="8">
        <f>G36+G37+G38+G39+G40+G41+G42+G43+G44+G45</f>
        <v>4465</v>
      </c>
      <c r="I46" s="8" t="s">
        <v>11</v>
      </c>
      <c r="J46" s="8"/>
      <c r="K46" s="8"/>
      <c r="L46" s="8"/>
      <c r="M46" s="8">
        <f>M36+M37+M38+M39+M40+M41+M42+M43+M44+M45</f>
        <v>270.7</v>
      </c>
      <c r="N46" s="8">
        <f>N36+N37+N38+N39+N40+N41+N42+N43+N44+N45</f>
        <v>4990</v>
      </c>
      <c r="P46" s="8" t="s">
        <v>11</v>
      </c>
      <c r="Q46" s="8"/>
      <c r="R46" s="8"/>
      <c r="S46" s="8"/>
      <c r="T46" s="8">
        <f>T36+T37+T38+T39+T40+T41+T42+T43+T44+T45</f>
        <v>289.70000000000005</v>
      </c>
      <c r="U46" s="8">
        <f>U36+U37+U38+U39+U40+U41+U42+U43+U44+U45</f>
        <v>5950</v>
      </c>
    </row>
    <row r="47" spans="2:21" x14ac:dyDescent="0.3">
      <c r="I47" s="8"/>
      <c r="J47" s="8"/>
      <c r="K47" s="8"/>
      <c r="L47" s="8"/>
    </row>
    <row r="48" spans="2:21" x14ac:dyDescent="0.3">
      <c r="I48" s="8"/>
      <c r="J48" s="8"/>
      <c r="K48" s="8"/>
      <c r="L48" s="8"/>
    </row>
    <row r="49" spans="2:14" x14ac:dyDescent="0.3">
      <c r="I49" s="8"/>
      <c r="J49" s="8"/>
      <c r="K49" s="8"/>
      <c r="L49" s="8"/>
    </row>
    <row r="50" spans="2:14" ht="21" x14ac:dyDescent="0.3">
      <c r="D50" s="23"/>
    </row>
    <row r="51" spans="2:14" ht="21" x14ac:dyDescent="0.4">
      <c r="D51" s="27" t="s">
        <v>23</v>
      </c>
      <c r="E51" s="22" t="s">
        <v>53</v>
      </c>
      <c r="K51" s="27" t="s">
        <v>23</v>
      </c>
      <c r="L51" s="22" t="s">
        <v>54</v>
      </c>
    </row>
    <row r="52" spans="2:14" x14ac:dyDescent="0.3">
      <c r="B52" s="21" t="s">
        <v>28</v>
      </c>
      <c r="C52" s="21" t="s">
        <v>29</v>
      </c>
      <c r="D52" s="21" t="s">
        <v>14</v>
      </c>
      <c r="E52" s="21" t="s">
        <v>30</v>
      </c>
      <c r="F52" s="21" t="s">
        <v>31</v>
      </c>
      <c r="G52" s="21" t="s">
        <v>56</v>
      </c>
      <c r="I52" s="21" t="s">
        <v>28</v>
      </c>
      <c r="J52" s="21" t="s">
        <v>29</v>
      </c>
      <c r="K52" s="21" t="s">
        <v>14</v>
      </c>
      <c r="L52" s="21" t="s">
        <v>30</v>
      </c>
      <c r="M52" s="21" t="s">
        <v>31</v>
      </c>
      <c r="N52" s="21" t="s">
        <v>56</v>
      </c>
    </row>
    <row r="53" spans="2:14" x14ac:dyDescent="0.3">
      <c r="B53" s="8" t="s">
        <v>66</v>
      </c>
      <c r="C53" s="8" t="s">
        <v>32</v>
      </c>
      <c r="D53" s="8">
        <f>VLOOKUP(Tableau329[[#This Row],[Vitesse]],Données!$E$40:$F$49,2,0)</f>
        <v>9.6</v>
      </c>
      <c r="E53" s="8">
        <v>4</v>
      </c>
      <c r="F53" s="8">
        <f>Tableau329[[#This Row],[Durée (h)]]*Tableau329[[#This Row],[Débit (m3/h)]]</f>
        <v>38.4</v>
      </c>
      <c r="G53" s="8">
        <f>Tableau329[[#This Row],[Durée (h)]]*VLOOKUP(Tableau329[[#This Row],[Vitesse]],Données!$E$26:$F$35,2,0)</f>
        <v>504</v>
      </c>
      <c r="I53" s="8" t="s">
        <v>66</v>
      </c>
      <c r="J53" s="8" t="s">
        <v>32</v>
      </c>
      <c r="K53" s="8">
        <f>VLOOKUP(Tableau330[[#This Row],[Vitesse]],Données!$E$40:$F$49,2,0)</f>
        <v>9.6</v>
      </c>
      <c r="L53" s="8">
        <v>4</v>
      </c>
      <c r="M53" s="8">
        <f>Tableau330[[#This Row],[Durée (h)]]*Tableau330[[#This Row],[Débit (m3/h)]]</f>
        <v>38.4</v>
      </c>
      <c r="N53" s="8">
        <f>Tableau330[[#This Row],[Durée (h)]]*VLOOKUP(Tableau330[[#This Row],[Vitesse]],Données!$E$26:$F$35,2,0)</f>
        <v>504</v>
      </c>
    </row>
    <row r="54" spans="2:14" x14ac:dyDescent="0.3">
      <c r="B54" s="8" t="s">
        <v>67</v>
      </c>
      <c r="C54" s="8" t="s">
        <v>32</v>
      </c>
      <c r="D54" s="8">
        <f>VLOOKUP(Tableau329[[#This Row],[Vitesse]],Données!$E$40:$F$49,2,0)</f>
        <v>9.6</v>
      </c>
      <c r="E54" s="8">
        <v>2</v>
      </c>
      <c r="F54" s="8">
        <f>Tableau329[[#This Row],[Durée (h)]]*Tableau329[[#This Row],[Débit (m3/h)]]</f>
        <v>19.2</v>
      </c>
      <c r="G54" s="8">
        <f>Tableau329[[#This Row],[Durée (h)]]*VLOOKUP(Tableau329[[#This Row],[Vitesse]],Données!$E$26:$F$35,2,0)</f>
        <v>252</v>
      </c>
      <c r="I54" s="8" t="s">
        <v>67</v>
      </c>
      <c r="J54" s="8" t="s">
        <v>32</v>
      </c>
      <c r="K54" s="8">
        <f>VLOOKUP(Tableau330[[#This Row],[Vitesse]],Données!$E$40:$F$49,2,0)</f>
        <v>9.6</v>
      </c>
      <c r="L54" s="8">
        <v>2</v>
      </c>
      <c r="M54" s="8">
        <f>Tableau330[[#This Row],[Durée (h)]]*Tableau330[[#This Row],[Débit (m3/h)]]</f>
        <v>19.2</v>
      </c>
      <c r="N54" s="8">
        <f>Tableau330[[#This Row],[Durée (h)]]*VLOOKUP(Tableau330[[#This Row],[Vitesse]],Données!$E$26:$F$35,2,0)</f>
        <v>252</v>
      </c>
    </row>
    <row r="55" spans="2:14" x14ac:dyDescent="0.3">
      <c r="B55" s="8" t="s">
        <v>33</v>
      </c>
      <c r="C55" s="8" t="s">
        <v>32</v>
      </c>
      <c r="D55" s="8">
        <f>VLOOKUP(Tableau329[[#This Row],[Vitesse]],Données!$E$40:$F$49,2,0)</f>
        <v>9.6</v>
      </c>
      <c r="E55" s="8">
        <v>2</v>
      </c>
      <c r="F55" s="8">
        <f>Tableau329[[#This Row],[Durée (h)]]*Tableau329[[#This Row],[Débit (m3/h)]]</f>
        <v>19.2</v>
      </c>
      <c r="G55" s="8">
        <f>Tableau329[[#This Row],[Durée (h)]]*VLOOKUP(Tableau329[[#This Row],[Vitesse]],Données!$E$26:$F$35,2,0)</f>
        <v>252</v>
      </c>
      <c r="I55" s="8" t="s">
        <v>33</v>
      </c>
      <c r="J55" s="8" t="s">
        <v>32</v>
      </c>
      <c r="K55" s="8">
        <f>VLOOKUP(Tableau330[[#This Row],[Vitesse]],Données!$E$40:$F$49,2,0)</f>
        <v>9.6</v>
      </c>
      <c r="L55" s="8">
        <v>2</v>
      </c>
      <c r="M55" s="8">
        <f>Tableau330[[#This Row],[Durée (h)]]*Tableau330[[#This Row],[Débit (m3/h)]]</f>
        <v>19.2</v>
      </c>
      <c r="N55" s="8">
        <f>Tableau330[[#This Row],[Durée (h)]]*VLOOKUP(Tableau330[[#This Row],[Vitesse]],Données!$E$26:$F$35,2,0)</f>
        <v>252</v>
      </c>
    </row>
    <row r="56" spans="2:14" x14ac:dyDescent="0.3">
      <c r="B56" s="8" t="s">
        <v>35</v>
      </c>
      <c r="C56" s="8" t="s">
        <v>34</v>
      </c>
      <c r="D56" s="8">
        <f>VLOOKUP(Tableau329[[#This Row],[Vitesse]],Données!$E$40:$F$49,2,0)</f>
        <v>11.8</v>
      </c>
      <c r="E56" s="8">
        <v>2</v>
      </c>
      <c r="F56" s="8">
        <f>Tableau329[[#This Row],[Durée (h)]]*Tableau329[[#This Row],[Débit (m3/h)]]</f>
        <v>23.6</v>
      </c>
      <c r="G56" s="8">
        <f>Tableau329[[#This Row],[Durée (h)]]*VLOOKUP(Tableau329[[#This Row],[Vitesse]],Données!$E$26:$F$35,2,0)</f>
        <v>420</v>
      </c>
      <c r="I56" s="8" t="s">
        <v>35</v>
      </c>
      <c r="J56" s="8" t="s">
        <v>34</v>
      </c>
      <c r="K56" s="8">
        <f>VLOOKUP(Tableau330[[#This Row],[Vitesse]],Données!$E$40:$F$49,2,0)</f>
        <v>11.8</v>
      </c>
      <c r="L56" s="8">
        <v>2</v>
      </c>
      <c r="M56" s="8">
        <f>Tableau330[[#This Row],[Durée (h)]]*Tableau330[[#This Row],[Débit (m3/h)]]</f>
        <v>23.6</v>
      </c>
      <c r="N56" s="8">
        <f>Tableau330[[#This Row],[Durée (h)]]*VLOOKUP(Tableau330[[#This Row],[Vitesse]],Données!$E$26:$F$35,2,0)</f>
        <v>420</v>
      </c>
    </row>
    <row r="57" spans="2:14" x14ac:dyDescent="0.3">
      <c r="B57" s="8" t="s">
        <v>37</v>
      </c>
      <c r="C57" s="8" t="s">
        <v>36</v>
      </c>
      <c r="D57" s="8">
        <f>VLOOKUP(Tableau329[[#This Row],[Vitesse]],Données!$E$40:$F$49,2,0)</f>
        <v>14.4</v>
      </c>
      <c r="E57" s="8">
        <v>2</v>
      </c>
      <c r="F57" s="8">
        <f>Tableau329[[#This Row],[Durée (h)]]*Tableau329[[#This Row],[Débit (m3/h)]]</f>
        <v>28.8</v>
      </c>
      <c r="G57" s="8">
        <f>Tableau329[[#This Row],[Durée (h)]]*VLOOKUP(Tableau329[[#This Row],[Vitesse]],Données!$E$26:$F$35,2,0)</f>
        <v>694</v>
      </c>
      <c r="I57" s="8" t="s">
        <v>37</v>
      </c>
      <c r="J57" s="8" t="s">
        <v>38</v>
      </c>
      <c r="K57" s="8">
        <f>VLOOKUP(Tableau330[[#This Row],[Vitesse]],Données!$E$40:$F$49,2,0)</f>
        <v>16.899999999999999</v>
      </c>
      <c r="L57" s="8">
        <v>2</v>
      </c>
      <c r="M57" s="8">
        <f>Tableau330[[#This Row],[Durée (h)]]*Tableau330[[#This Row],[Débit (m3/h)]]</f>
        <v>33.799999999999997</v>
      </c>
      <c r="N57" s="8">
        <f>Tableau330[[#This Row],[Durée (h)]]*VLOOKUP(Tableau330[[#This Row],[Vitesse]],Données!$E$26:$F$35,2,0)</f>
        <v>1044</v>
      </c>
    </row>
    <row r="58" spans="2:14" x14ac:dyDescent="0.3">
      <c r="B58" s="8" t="s">
        <v>39</v>
      </c>
      <c r="C58" s="8" t="s">
        <v>38</v>
      </c>
      <c r="D58" s="8">
        <f>VLOOKUP(Tableau329[[#This Row],[Vitesse]],Données!$E$40:$F$49,2,0)</f>
        <v>16.899999999999999</v>
      </c>
      <c r="E58" s="8">
        <v>3</v>
      </c>
      <c r="F58" s="8">
        <f>Tableau329[[#This Row],[Durée (h)]]*Tableau329[[#This Row],[Débit (m3/h)]]</f>
        <v>50.699999999999996</v>
      </c>
      <c r="G58" s="8">
        <f>Tableau329[[#This Row],[Durée (h)]]*VLOOKUP(Tableau329[[#This Row],[Vitesse]],Données!$E$26:$F$35,2,0)</f>
        <v>1566</v>
      </c>
      <c r="I58" s="8" t="s">
        <v>39</v>
      </c>
      <c r="J58" s="8" t="s">
        <v>40</v>
      </c>
      <c r="K58" s="8">
        <f>VLOOKUP(Tableau330[[#This Row],[Vitesse]],Données!$E$40:$F$49,2,0)</f>
        <v>19.3</v>
      </c>
      <c r="L58" s="8">
        <v>3</v>
      </c>
      <c r="M58" s="8">
        <f>Tableau330[[#This Row],[Durée (h)]]*Tableau330[[#This Row],[Débit (m3/h)]]</f>
        <v>57.900000000000006</v>
      </c>
      <c r="N58" s="8">
        <f>Tableau330[[#This Row],[Durée (h)]]*VLOOKUP(Tableau330[[#This Row],[Vitesse]],Données!$E$26:$F$35,2,0)</f>
        <v>2184</v>
      </c>
    </row>
    <row r="59" spans="2:14" x14ac:dyDescent="0.3">
      <c r="B59" s="8" t="s">
        <v>68</v>
      </c>
      <c r="C59" s="8" t="s">
        <v>38</v>
      </c>
      <c r="D59" s="8">
        <f>VLOOKUP(Tableau329[[#This Row],[Vitesse]],Données!$E$40:$F$49,2,0)</f>
        <v>16.899999999999999</v>
      </c>
      <c r="E59" s="8">
        <v>2</v>
      </c>
      <c r="F59" s="8">
        <f>Tableau329[[#This Row],[Durée (h)]]*Tableau329[[#This Row],[Débit (m3/h)]]</f>
        <v>33.799999999999997</v>
      </c>
      <c r="G59" s="8">
        <f>Tableau329[[#This Row],[Durée (h)]]*VLOOKUP(Tableau329[[#This Row],[Vitesse]],Données!$E$26:$F$35,2,0)</f>
        <v>1044</v>
      </c>
      <c r="I59" s="8" t="s">
        <v>68</v>
      </c>
      <c r="J59" s="8" t="s">
        <v>38</v>
      </c>
      <c r="K59" s="8">
        <f>VLOOKUP(Tableau330[[#This Row],[Vitesse]],Données!$E$40:$F$49,2,0)</f>
        <v>16.899999999999999</v>
      </c>
      <c r="L59" s="8">
        <v>2</v>
      </c>
      <c r="M59" s="8">
        <f>Tableau330[[#This Row],[Durée (h)]]*Tableau330[[#This Row],[Débit (m3/h)]]</f>
        <v>33.799999999999997</v>
      </c>
      <c r="N59" s="8">
        <f>Tableau330[[#This Row],[Durée (h)]]*VLOOKUP(Tableau330[[#This Row],[Vitesse]],Données!$E$26:$F$35,2,0)</f>
        <v>1044</v>
      </c>
    </row>
    <row r="60" spans="2:14" x14ac:dyDescent="0.3">
      <c r="B60" s="8" t="s">
        <v>69</v>
      </c>
      <c r="C60" s="8" t="s">
        <v>36</v>
      </c>
      <c r="D60" s="8">
        <f>VLOOKUP(Tableau329[[#This Row],[Vitesse]],Données!$E$40:$F$49,2,0)</f>
        <v>14.4</v>
      </c>
      <c r="E60" s="8">
        <v>2</v>
      </c>
      <c r="F60" s="8">
        <f>Tableau329[[#This Row],[Durée (h)]]*Tableau329[[#This Row],[Débit (m3/h)]]</f>
        <v>28.8</v>
      </c>
      <c r="G60" s="8">
        <f>Tableau329[[#This Row],[Durée (h)]]*VLOOKUP(Tableau329[[#This Row],[Vitesse]],Données!$E$26:$F$35,2,0)</f>
        <v>694</v>
      </c>
      <c r="I60" s="8" t="s">
        <v>69</v>
      </c>
      <c r="J60" s="8" t="s">
        <v>36</v>
      </c>
      <c r="K60" s="8">
        <f>VLOOKUP(Tableau330[[#This Row],[Vitesse]],Données!$E$40:$F$49,2,0)</f>
        <v>14.4</v>
      </c>
      <c r="L60" s="8">
        <v>2</v>
      </c>
      <c r="M60" s="8">
        <f>Tableau330[[#This Row],[Durée (h)]]*Tableau330[[#This Row],[Débit (m3/h)]]</f>
        <v>28.8</v>
      </c>
      <c r="N60" s="8">
        <f>Tableau330[[#This Row],[Durée (h)]]*VLOOKUP(Tableau330[[#This Row],[Vitesse]],Données!$E$26:$F$35,2,0)</f>
        <v>694</v>
      </c>
    </row>
    <row r="61" spans="2:14" x14ac:dyDescent="0.3">
      <c r="B61" s="8" t="s">
        <v>70</v>
      </c>
      <c r="C61" s="8" t="s">
        <v>34</v>
      </c>
      <c r="D61" s="8">
        <f>VLOOKUP(Tableau329[[#This Row],[Vitesse]],Données!$E$40:$F$49,2,0)</f>
        <v>11.8</v>
      </c>
      <c r="E61" s="8">
        <v>2</v>
      </c>
      <c r="F61" s="8">
        <f>Tableau329[[#This Row],[Durée (h)]]*Tableau329[[#This Row],[Débit (m3/h)]]</f>
        <v>23.6</v>
      </c>
      <c r="G61" s="8">
        <f>Tableau329[[#This Row],[Durée (h)]]*VLOOKUP(Tableau329[[#This Row],[Vitesse]],Données!$E$26:$F$35,2,0)</f>
        <v>420</v>
      </c>
      <c r="I61" s="8" t="s">
        <v>70</v>
      </c>
      <c r="J61" s="8" t="s">
        <v>34</v>
      </c>
      <c r="K61" s="8">
        <f>VLOOKUP(Tableau330[[#This Row],[Vitesse]],Données!$E$40:$F$49,2,0)</f>
        <v>11.8</v>
      </c>
      <c r="L61" s="8">
        <v>2</v>
      </c>
      <c r="M61" s="8">
        <f>Tableau330[[#This Row],[Durée (h)]]*Tableau330[[#This Row],[Débit (m3/h)]]</f>
        <v>23.6</v>
      </c>
      <c r="N61" s="8">
        <f>Tableau330[[#This Row],[Durée (h)]]*VLOOKUP(Tableau330[[#This Row],[Vitesse]],Données!$E$26:$F$35,2,0)</f>
        <v>420</v>
      </c>
    </row>
    <row r="62" spans="2:14" x14ac:dyDescent="0.3">
      <c r="B62" s="8" t="s">
        <v>71</v>
      </c>
      <c r="C62" s="8" t="s">
        <v>32</v>
      </c>
      <c r="D62" s="8">
        <f>VLOOKUP(Tableau329[[#This Row],[Vitesse]],Données!$E$40:$F$49,2,0)</f>
        <v>9.6</v>
      </c>
      <c r="E62" s="8">
        <v>3</v>
      </c>
      <c r="F62" s="8">
        <f>Tableau329[[#This Row],[Durée (h)]]*Tableau329[[#This Row],[Débit (m3/h)]]</f>
        <v>28.799999999999997</v>
      </c>
      <c r="G62" s="8">
        <f>Tableau329[[#This Row],[Durée (h)]]*VLOOKUP(Tableau329[[#This Row],[Vitesse]],Données!$E$26:$F$35,2,0)</f>
        <v>378</v>
      </c>
      <c r="I62" s="8" t="s">
        <v>71</v>
      </c>
      <c r="J62" s="8" t="s">
        <v>32</v>
      </c>
      <c r="K62" s="8">
        <f>VLOOKUP(Tableau330[[#This Row],[Vitesse]],Données!$E$40:$F$49,2,0)</f>
        <v>9.6</v>
      </c>
      <c r="L62" s="8">
        <v>3</v>
      </c>
      <c r="M62" s="8">
        <f>Tableau330[[#This Row],[Durée (h)]]*Tableau330[[#This Row],[Débit (m3/h)]]</f>
        <v>28.799999999999997</v>
      </c>
      <c r="N62" s="8">
        <f>Tableau330[[#This Row],[Durée (h)]]*VLOOKUP(Tableau330[[#This Row],[Vitesse]],Données!$E$26:$F$35,2,0)</f>
        <v>378</v>
      </c>
    </row>
    <row r="63" spans="2:14" x14ac:dyDescent="0.3">
      <c r="B63" s="8" t="s">
        <v>11</v>
      </c>
      <c r="C63" s="8"/>
      <c r="D63" s="8"/>
      <c r="E63" s="8"/>
      <c r="F63" s="8">
        <f>F53+F54+F55+F56+F57+F58+F59+F60+F61+F62</f>
        <v>294.90000000000003</v>
      </c>
      <c r="G63" s="8">
        <f>G53+G54+G55+G56+G57+G58+G59+G60+G61+G62</f>
        <v>6224</v>
      </c>
      <c r="I63" s="8" t="s">
        <v>11</v>
      </c>
      <c r="J63" s="8"/>
      <c r="K63" s="8"/>
      <c r="L63" s="8"/>
      <c r="M63" s="8">
        <f>M53+M54+M55+M56+M57+M58+M59+M60+M61+M62</f>
        <v>307.10000000000002</v>
      </c>
      <c r="N63" s="8">
        <f>N53+N54+N55+N56+N57+N58+N59+N60+N61+N62</f>
        <v>7192</v>
      </c>
    </row>
  </sheetData>
  <phoneticPr fontId="5" type="noConversion"/>
  <pageMargins left="0.7" right="0.7" top="0.75" bottom="0.75" header="0.3" footer="0.3"/>
  <ignoredErrors>
    <ignoredError sqref="N4:N6" calculatedColumn="1"/>
  </ignoredErrors>
  <tableParts count="11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0C775-BA46-489E-9D31-1DF0B9B5BC73}">
  <dimension ref="B2:U63"/>
  <sheetViews>
    <sheetView workbookViewId="0">
      <selection activeCell="H16" sqref="H16"/>
    </sheetView>
  </sheetViews>
  <sheetFormatPr baseColWidth="10" defaultRowHeight="14.4" x14ac:dyDescent="0.3"/>
  <cols>
    <col min="2" max="2" width="6.6640625" bestFit="1" customWidth="1"/>
    <col min="3" max="3" width="7.33203125" customWidth="1"/>
    <col min="4" max="4" width="12.109375" customWidth="1"/>
    <col min="5" max="5" width="9.109375" bestFit="1" customWidth="1"/>
    <col min="6" max="6" width="16.77734375" bestFit="1" customWidth="1"/>
    <col min="7" max="7" width="17.88671875" bestFit="1" customWidth="1"/>
    <col min="8" max="9" width="6.6640625" bestFit="1" customWidth="1"/>
    <col min="10" max="10" width="7.33203125" bestFit="1" customWidth="1"/>
    <col min="11" max="11" width="12.109375" bestFit="1" customWidth="1"/>
    <col min="12" max="12" width="9.109375" bestFit="1" customWidth="1"/>
    <col min="13" max="13" width="16.77734375" bestFit="1" customWidth="1"/>
    <col min="14" max="14" width="17.88671875" bestFit="1" customWidth="1"/>
    <col min="15" max="15" width="7.33203125" bestFit="1" customWidth="1"/>
    <col min="16" max="16" width="6.6640625" bestFit="1" customWidth="1"/>
    <col min="17" max="17" width="7.33203125" bestFit="1" customWidth="1"/>
    <col min="18" max="18" width="12.109375" bestFit="1" customWidth="1"/>
    <col min="19" max="19" width="9.109375" bestFit="1" customWidth="1"/>
    <col min="20" max="20" width="16.77734375" bestFit="1" customWidth="1"/>
    <col min="21" max="21" width="17.88671875" bestFit="1" customWidth="1"/>
    <col min="23" max="23" width="11.77734375" bestFit="1" customWidth="1"/>
    <col min="24" max="24" width="15.77734375" bestFit="1" customWidth="1"/>
    <col min="26" max="26" width="11.77734375" bestFit="1" customWidth="1"/>
    <col min="27" max="27" width="15.77734375" bestFit="1" customWidth="1"/>
  </cols>
  <sheetData>
    <row r="2" spans="2:21" ht="21" x14ac:dyDescent="0.35">
      <c r="D2" s="33" t="s">
        <v>97</v>
      </c>
      <c r="E2" s="22" t="s">
        <v>44</v>
      </c>
      <c r="K2" s="33" t="s">
        <v>97</v>
      </c>
      <c r="L2" s="22" t="s">
        <v>45</v>
      </c>
      <c r="R2" s="33" t="s">
        <v>97</v>
      </c>
      <c r="S2" s="22" t="s">
        <v>46</v>
      </c>
    </row>
    <row r="3" spans="2:21" x14ac:dyDescent="0.3">
      <c r="B3" s="21" t="s">
        <v>28</v>
      </c>
      <c r="C3" s="21" t="s">
        <v>29</v>
      </c>
      <c r="D3" s="21" t="s">
        <v>14</v>
      </c>
      <c r="E3" s="21" t="s">
        <v>30</v>
      </c>
      <c r="F3" s="21" t="s">
        <v>31</v>
      </c>
      <c r="G3" s="21" t="s">
        <v>56</v>
      </c>
      <c r="I3" s="21" t="s">
        <v>28</v>
      </c>
      <c r="J3" s="21" t="s">
        <v>29</v>
      </c>
      <c r="K3" s="21" t="s">
        <v>14</v>
      </c>
      <c r="L3" s="21" t="s">
        <v>30</v>
      </c>
      <c r="M3" s="21" t="s">
        <v>31</v>
      </c>
      <c r="N3" s="21" t="s">
        <v>56</v>
      </c>
      <c r="P3" s="21" t="s">
        <v>28</v>
      </c>
      <c r="Q3" s="21" t="s">
        <v>29</v>
      </c>
      <c r="R3" s="21" t="s">
        <v>14</v>
      </c>
      <c r="S3" s="21" t="s">
        <v>30</v>
      </c>
      <c r="T3" s="21" t="s">
        <v>31</v>
      </c>
      <c r="U3" s="21" t="s">
        <v>56</v>
      </c>
    </row>
    <row r="4" spans="2:21" x14ac:dyDescent="0.3">
      <c r="B4" s="8" t="s">
        <v>104</v>
      </c>
      <c r="C4" s="8" t="s">
        <v>32</v>
      </c>
      <c r="D4" s="8">
        <f>VLOOKUP(Tableau33[[#This Row],[Vitesse]],Données!$B$63:$C$66,2,0)</f>
        <v>9.6999999999999993</v>
      </c>
      <c r="E4" s="8">
        <v>18</v>
      </c>
      <c r="F4" s="8">
        <f>Tableau33[[#This Row],[Durée (h)]]*Tableau33[[#This Row],[Débit (m3/h)]]</f>
        <v>174.6</v>
      </c>
      <c r="G4" s="8">
        <f>Tableau33[[#This Row],[Durée (h)]]*VLOOKUP(Tableau33[[#This Row],[Vitesse]],Données!$B$55:$C$58,2,0)</f>
        <v>2700</v>
      </c>
      <c r="I4" s="8" t="s">
        <v>103</v>
      </c>
      <c r="J4" s="8" t="s">
        <v>32</v>
      </c>
      <c r="K4" s="8">
        <f>VLOOKUP(Tableau3215[[#This Row],[Vitesse]],Données!$B$63:$C$66,2,0)</f>
        <v>9.6999999999999993</v>
      </c>
      <c r="L4" s="8">
        <v>20</v>
      </c>
      <c r="M4" s="8">
        <f>Tableau3215[[#This Row],[Durée (h)]]*Tableau3215[[#This Row],[Débit (m3/h)]]</f>
        <v>194</v>
      </c>
      <c r="N4" s="8">
        <f>Tableau3215[[#This Row],[Durée (h)]]*VLOOKUP(Tableau3215[[#This Row],[Vitesse]],Données!$B$55:$C$58,2,0)</f>
        <v>3000</v>
      </c>
      <c r="P4" s="8" t="s">
        <v>99</v>
      </c>
      <c r="Q4" s="8" t="s">
        <v>32</v>
      </c>
      <c r="R4" s="8">
        <f>VLOOKUP(Tableau3226[[#This Row],[Vitesse]],Données!$B$63:$C$66,2,0)</f>
        <v>9.6999999999999993</v>
      </c>
      <c r="S4" s="8">
        <v>6</v>
      </c>
      <c r="T4" s="8">
        <f>Tableau3226[[#This Row],[Durée (h)]]*Tableau3226[[#This Row],[Débit (m3/h)]]</f>
        <v>58.199999999999996</v>
      </c>
      <c r="U4" s="8">
        <f>Tableau3226[[#This Row],[Durée (h)]]*VLOOKUP(Tableau3226[[#This Row],[Vitesse]],Données!$B$55:$C$58,2,0)</f>
        <v>900</v>
      </c>
    </row>
    <row r="5" spans="2:21" x14ac:dyDescent="0.3">
      <c r="B5" s="8"/>
      <c r="C5" s="8"/>
      <c r="D5" s="8"/>
      <c r="E5" s="8"/>
      <c r="F5" s="8"/>
      <c r="G5" s="8"/>
      <c r="I5" s="8"/>
      <c r="J5" s="8"/>
      <c r="K5" s="8"/>
      <c r="L5" s="8"/>
      <c r="M5" s="8"/>
      <c r="N5" s="8"/>
      <c r="P5" s="8" t="s">
        <v>100</v>
      </c>
      <c r="Q5" s="8" t="s">
        <v>32</v>
      </c>
      <c r="R5" s="8">
        <f>VLOOKUP(Tableau3226[[#This Row],[Vitesse]],Données!$B$63:$C$66,2,0)</f>
        <v>9.6999999999999993</v>
      </c>
      <c r="S5" s="8">
        <v>4</v>
      </c>
      <c r="T5" s="8">
        <f>Tableau3226[[#This Row],[Durée (h)]]*Tableau3226[[#This Row],[Débit (m3/h)]]</f>
        <v>38.799999999999997</v>
      </c>
      <c r="U5" s="8">
        <f>Tableau3226[[#This Row],[Durée (h)]]*VLOOKUP(Tableau3226[[#This Row],[Vitesse]],Données!$B$55:$C$58,2,0)</f>
        <v>600</v>
      </c>
    </row>
    <row r="6" spans="2:21" x14ac:dyDescent="0.3">
      <c r="B6" s="8"/>
      <c r="C6" s="8"/>
      <c r="D6" s="8"/>
      <c r="E6" s="8"/>
      <c r="F6" s="8"/>
      <c r="G6" s="8"/>
      <c r="I6" s="8"/>
      <c r="J6" s="8"/>
      <c r="K6" s="8"/>
      <c r="L6" s="8"/>
      <c r="M6" s="8"/>
      <c r="N6" s="8"/>
      <c r="P6" s="8" t="s">
        <v>101</v>
      </c>
      <c r="Q6" s="8" t="s">
        <v>32</v>
      </c>
      <c r="R6" s="8">
        <f>VLOOKUP(Tableau3226[[#This Row],[Vitesse]],Données!$B$63:$C$66,2,0)</f>
        <v>9.6999999999999993</v>
      </c>
      <c r="S6" s="8">
        <v>4</v>
      </c>
      <c r="T6" s="8">
        <f>Tableau3226[[#This Row],[Durée (h)]]*Tableau3226[[#This Row],[Débit (m3/h)]]</f>
        <v>38.799999999999997</v>
      </c>
      <c r="U6" s="8">
        <f>Tableau3226[[#This Row],[Durée (h)]]*VLOOKUP(Tableau3226[[#This Row],[Vitesse]],Données!$B$55:$C$58,2,0)</f>
        <v>600</v>
      </c>
    </row>
    <row r="7" spans="2:21" x14ac:dyDescent="0.3">
      <c r="B7" s="8"/>
      <c r="C7" s="8"/>
      <c r="D7" s="8"/>
      <c r="E7" s="8"/>
      <c r="F7" s="8"/>
      <c r="G7" s="8"/>
      <c r="I7" s="8"/>
      <c r="J7" s="8"/>
      <c r="K7" s="8"/>
      <c r="L7" s="8"/>
      <c r="M7" s="8"/>
      <c r="N7" s="8"/>
      <c r="P7" s="8" t="s">
        <v>102</v>
      </c>
      <c r="Q7" s="8" t="s">
        <v>32</v>
      </c>
      <c r="R7" s="8">
        <f>VLOOKUP(Tableau3226[[#This Row],[Vitesse]],Données!$B$63:$C$66,2,0)</f>
        <v>9.6999999999999993</v>
      </c>
      <c r="S7" s="8">
        <v>6</v>
      </c>
      <c r="T7" s="8">
        <f>Tableau3226[[#This Row],[Durée (h)]]*Tableau3226[[#This Row],[Débit (m3/h)]]</f>
        <v>58.199999999999996</v>
      </c>
      <c r="U7" s="8">
        <f>Tableau3226[[#This Row],[Durée (h)]]*VLOOKUP(Tableau3226[[#This Row],[Vitesse]],Données!$B$55:$C$58,2,0)</f>
        <v>900</v>
      </c>
    </row>
    <row r="8" spans="2:21" x14ac:dyDescent="0.3">
      <c r="B8" s="8"/>
      <c r="C8" s="8"/>
      <c r="D8" s="8"/>
      <c r="E8" s="8"/>
      <c r="F8" s="8"/>
      <c r="G8" s="8"/>
      <c r="I8" s="8"/>
      <c r="J8" s="8"/>
      <c r="K8" s="8"/>
      <c r="L8" s="8"/>
      <c r="M8" s="8"/>
      <c r="N8" s="8"/>
      <c r="P8" s="8"/>
      <c r="Q8" s="8"/>
      <c r="R8" s="8"/>
      <c r="S8" s="8"/>
      <c r="T8" s="8"/>
      <c r="U8" s="8"/>
    </row>
    <row r="9" spans="2:21" x14ac:dyDescent="0.3">
      <c r="B9" s="8"/>
      <c r="C9" s="8"/>
      <c r="D9" s="8"/>
      <c r="E9" s="8"/>
      <c r="F9" s="8"/>
      <c r="G9" s="8"/>
      <c r="I9" s="8"/>
      <c r="J9" s="8"/>
      <c r="K9" s="8"/>
      <c r="L9" s="8"/>
      <c r="M9" s="8"/>
      <c r="N9" s="8"/>
      <c r="P9" s="8"/>
      <c r="Q9" s="8"/>
      <c r="R9" s="8"/>
      <c r="S9" s="8"/>
      <c r="T9" s="8"/>
      <c r="U9" s="8"/>
    </row>
    <row r="10" spans="2:21" x14ac:dyDescent="0.3">
      <c r="B10" s="8"/>
      <c r="C10" s="8"/>
      <c r="D10" s="8"/>
      <c r="E10" s="8"/>
      <c r="F10" s="8"/>
      <c r="G10" s="8"/>
      <c r="I10" s="8"/>
      <c r="J10" s="8"/>
      <c r="K10" s="8"/>
      <c r="L10" s="8"/>
      <c r="M10" s="8"/>
      <c r="N10" s="8"/>
      <c r="P10" s="8"/>
      <c r="Q10" s="8"/>
      <c r="R10" s="8"/>
      <c r="S10" s="8"/>
      <c r="T10" s="8"/>
      <c r="U10" s="8"/>
    </row>
    <row r="11" spans="2:21" x14ac:dyDescent="0.3">
      <c r="B11" s="8"/>
      <c r="C11" s="8"/>
      <c r="D11" s="8"/>
      <c r="E11" s="8"/>
      <c r="F11" s="8"/>
      <c r="G11" s="8"/>
      <c r="I11" s="8"/>
      <c r="J11" s="8"/>
      <c r="K11" s="8"/>
      <c r="L11" s="8"/>
      <c r="M11" s="8"/>
      <c r="N11" s="8"/>
      <c r="P11" s="8"/>
      <c r="Q11" s="8"/>
      <c r="R11" s="8"/>
      <c r="S11" s="8"/>
      <c r="T11" s="8"/>
      <c r="U11" s="8"/>
    </row>
    <row r="12" spans="2:21" x14ac:dyDescent="0.3">
      <c r="B12" s="8" t="s">
        <v>11</v>
      </c>
      <c r="C12" s="8"/>
      <c r="D12" s="8"/>
      <c r="E12" s="8"/>
      <c r="F12" s="8">
        <f>F4+F5+F6+F7+F8+F9+F10+F11</f>
        <v>174.6</v>
      </c>
      <c r="G12" s="8">
        <f>G4+G5+G6+G7+G8+G9+G10+G11</f>
        <v>2700</v>
      </c>
      <c r="I12" s="8" t="s">
        <v>11</v>
      </c>
      <c r="J12" s="8"/>
      <c r="K12" s="8"/>
      <c r="L12" s="8"/>
      <c r="M12" s="8">
        <f>M4+M5+M6+M7+M8+M9+M10+M11</f>
        <v>194</v>
      </c>
      <c r="N12" s="8">
        <f>N4+N5+N6+N7+N8+N9+N10+N11</f>
        <v>3000</v>
      </c>
      <c r="P12" s="8" t="s">
        <v>11</v>
      </c>
      <c r="Q12" s="8"/>
      <c r="R12" s="8"/>
      <c r="S12" s="8"/>
      <c r="T12" s="8">
        <f>T4+T5+T6+T7+T8+T9+T10+T11</f>
        <v>194</v>
      </c>
      <c r="U12" s="8">
        <f>U4+U5+U6+U7+U8+U9+U10+U11</f>
        <v>3000</v>
      </c>
    </row>
    <row r="17" spans="2:21" ht="21" x14ac:dyDescent="0.35">
      <c r="D17" s="33" t="s">
        <v>97</v>
      </c>
      <c r="E17" s="22" t="s">
        <v>47</v>
      </c>
      <c r="K17" s="34" t="s">
        <v>98</v>
      </c>
      <c r="L17" s="22" t="s">
        <v>48</v>
      </c>
      <c r="R17" s="34" t="s">
        <v>98</v>
      </c>
      <c r="S17" s="22" t="s">
        <v>49</v>
      </c>
    </row>
    <row r="18" spans="2:21" x14ac:dyDescent="0.3">
      <c r="B18" s="21" t="s">
        <v>28</v>
      </c>
      <c r="C18" s="21" t="s">
        <v>29</v>
      </c>
      <c r="D18" s="21" t="s">
        <v>14</v>
      </c>
      <c r="E18" s="21" t="s">
        <v>30</v>
      </c>
      <c r="F18" s="21" t="s">
        <v>31</v>
      </c>
      <c r="G18" s="21" t="s">
        <v>56</v>
      </c>
      <c r="I18" s="21" t="s">
        <v>28</v>
      </c>
      <c r="J18" s="21" t="s">
        <v>29</v>
      </c>
      <c r="K18" s="21" t="s">
        <v>14</v>
      </c>
      <c r="L18" s="21" t="s">
        <v>30</v>
      </c>
      <c r="M18" s="21" t="s">
        <v>31</v>
      </c>
      <c r="N18" s="21" t="s">
        <v>56</v>
      </c>
      <c r="O18" s="24"/>
      <c r="P18" s="21" t="s">
        <v>28</v>
      </c>
      <c r="Q18" s="21" t="s">
        <v>29</v>
      </c>
      <c r="R18" s="21" t="s">
        <v>14</v>
      </c>
      <c r="S18" s="21" t="s">
        <v>30</v>
      </c>
      <c r="T18" s="21" t="s">
        <v>31</v>
      </c>
      <c r="U18" s="21" t="s">
        <v>56</v>
      </c>
    </row>
    <row r="19" spans="2:21" x14ac:dyDescent="0.3">
      <c r="B19" s="8" t="s">
        <v>99</v>
      </c>
      <c r="C19" s="8" t="s">
        <v>32</v>
      </c>
      <c r="D19" s="8">
        <f>VLOOKUP(Tableau3237[[#This Row],[Vitesse]],Données!$B$63:$C$66,2,0)</f>
        <v>9.6999999999999993</v>
      </c>
      <c r="E19" s="8">
        <v>6</v>
      </c>
      <c r="F19" s="8">
        <f>Tableau3237[[#This Row],[Durée (h)]]*Tableau3237[[#This Row],[Débit (m3/h)]]</f>
        <v>58.199999999999996</v>
      </c>
      <c r="G19" s="8">
        <f>Tableau3237[[#This Row],[Durée (h)]]*VLOOKUP(Tableau3237[[#This Row],[Vitesse]],Données!$B$55:$C$58,2,0)</f>
        <v>900</v>
      </c>
      <c r="I19" s="8" t="s">
        <v>99</v>
      </c>
      <c r="J19" s="8" t="s">
        <v>32</v>
      </c>
      <c r="K19" s="8">
        <f>VLOOKUP(Tableau3248[[#This Row],[Vitesse]],Données!$E$63:$F$66,2,0)</f>
        <v>12.5</v>
      </c>
      <c r="L19" s="8">
        <v>6</v>
      </c>
      <c r="M19" s="8">
        <f>Tableau3248[[#This Row],[Durée (h)]]*Tableau3248[[#This Row],[Débit (m3/h)]]</f>
        <v>75</v>
      </c>
      <c r="N19" s="8">
        <f>Tableau3248[[#This Row],[Durée (h)]]*VLOOKUP(Tableau3248[[#This Row],[Vitesse]],Données!$E$55:$F$58,2,0)</f>
        <v>1380</v>
      </c>
      <c r="O19" s="8"/>
      <c r="P19" s="8" t="s">
        <v>99</v>
      </c>
      <c r="Q19" s="8" t="s">
        <v>32</v>
      </c>
      <c r="R19" s="8">
        <f>VLOOKUP(Tableau3259[[#This Row],[Vitesse]],Données!$E$63:$F$66,2,0)</f>
        <v>12.5</v>
      </c>
      <c r="S19" s="8">
        <v>6</v>
      </c>
      <c r="T19" s="8">
        <f>Tableau3259[[#This Row],[Durée (h)]]*Tableau3259[[#This Row],[Débit (m3/h)]]</f>
        <v>75</v>
      </c>
      <c r="U19" s="8">
        <f>Tableau3259[[#This Row],[Durée (h)]]*VLOOKUP(Tableau3259[[#This Row],[Vitesse]],Données!$E$55:$F$58,2,0)</f>
        <v>1380</v>
      </c>
    </row>
    <row r="20" spans="2:21" x14ac:dyDescent="0.3">
      <c r="B20" s="8" t="s">
        <v>100</v>
      </c>
      <c r="C20" s="8" t="s">
        <v>32</v>
      </c>
      <c r="D20" s="8">
        <f>VLOOKUP(Tableau3237[[#This Row],[Vitesse]],Données!$B$63:$C$66,2,0)</f>
        <v>9.6999999999999993</v>
      </c>
      <c r="E20" s="8">
        <v>4</v>
      </c>
      <c r="F20" s="8">
        <f>Tableau3237[[#This Row],[Durée (h)]]*Tableau3237[[#This Row],[Débit (m3/h)]]</f>
        <v>38.799999999999997</v>
      </c>
      <c r="G20" s="8">
        <f>Tableau3237[[#This Row],[Durée (h)]]*VLOOKUP(Tableau3237[[#This Row],[Vitesse]],Données!$B$55:$C$58,2,0)</f>
        <v>600</v>
      </c>
      <c r="I20" s="8" t="s">
        <v>100</v>
      </c>
      <c r="J20" s="8" t="s">
        <v>32</v>
      </c>
      <c r="K20" s="8">
        <f>VLOOKUP(Tableau3248[[#This Row],[Vitesse]],Données!$E$63:$F$66,2,0)</f>
        <v>12.5</v>
      </c>
      <c r="L20" s="8">
        <v>4</v>
      </c>
      <c r="M20" s="8">
        <f>Tableau3248[[#This Row],[Durée (h)]]*Tableau3248[[#This Row],[Débit (m3/h)]]</f>
        <v>50</v>
      </c>
      <c r="N20" s="8">
        <f>Tableau3248[[#This Row],[Durée (h)]]*VLOOKUP(Tableau3248[[#This Row],[Vitesse]],Données!$E$55:$F$58,2,0)</f>
        <v>920</v>
      </c>
      <c r="O20" s="8"/>
      <c r="P20" s="8" t="s">
        <v>100</v>
      </c>
      <c r="Q20" s="8" t="s">
        <v>32</v>
      </c>
      <c r="R20" s="8">
        <f>VLOOKUP(Tableau3259[[#This Row],[Vitesse]],Données!$E$63:$F$66,2,0)</f>
        <v>12.5</v>
      </c>
      <c r="S20" s="8">
        <v>4</v>
      </c>
      <c r="T20" s="8">
        <f>Tableau3259[[#This Row],[Durée (h)]]*Tableau3259[[#This Row],[Débit (m3/h)]]</f>
        <v>50</v>
      </c>
      <c r="U20" s="8">
        <f>Tableau3259[[#This Row],[Durée (h)]]*VLOOKUP(Tableau3259[[#This Row],[Vitesse]],Données!$E$55:$F$58,2,0)</f>
        <v>920</v>
      </c>
    </row>
    <row r="21" spans="2:21" x14ac:dyDescent="0.3">
      <c r="B21" s="8" t="s">
        <v>101</v>
      </c>
      <c r="C21" s="8" t="s">
        <v>34</v>
      </c>
      <c r="D21" s="8">
        <f>VLOOKUP(Tableau3237[[#This Row],[Vitesse]],Données!$B$63:$C$66,2,0)</f>
        <v>13</v>
      </c>
      <c r="E21" s="8">
        <v>4</v>
      </c>
      <c r="F21" s="8">
        <f>Tableau3237[[#This Row],[Durée (h)]]*Tableau3237[[#This Row],[Débit (m3/h)]]</f>
        <v>52</v>
      </c>
      <c r="G21" s="8">
        <f>Tableau3237[[#This Row],[Durée (h)]]*VLOOKUP(Tableau3237[[#This Row],[Vitesse]],Données!$B$55:$C$58,2,0)</f>
        <v>920</v>
      </c>
      <c r="I21" s="8" t="s">
        <v>101</v>
      </c>
      <c r="J21" s="8" t="s">
        <v>32</v>
      </c>
      <c r="K21" s="8">
        <f>VLOOKUP(Tableau3248[[#This Row],[Vitesse]],Données!$E$63:$F$66,2,0)</f>
        <v>12.5</v>
      </c>
      <c r="L21" s="8">
        <v>4</v>
      </c>
      <c r="M21" s="8">
        <f>Tableau3248[[#This Row],[Durée (h)]]*Tableau3248[[#This Row],[Débit (m3/h)]]</f>
        <v>50</v>
      </c>
      <c r="N21" s="8">
        <f>Tableau3248[[#This Row],[Durée (h)]]*VLOOKUP(Tableau3248[[#This Row],[Vitesse]],Données!$E$55:$F$58,2,0)</f>
        <v>920</v>
      </c>
      <c r="O21" s="8"/>
      <c r="P21" s="8" t="s">
        <v>101</v>
      </c>
      <c r="Q21" s="8" t="s">
        <v>34</v>
      </c>
      <c r="R21" s="8">
        <f>VLOOKUP(Tableau3259[[#This Row],[Vitesse]],Données!$E$63:$F$66,2,0)</f>
        <v>16.7</v>
      </c>
      <c r="S21" s="8">
        <v>4</v>
      </c>
      <c r="T21" s="8">
        <f>Tableau3259[[#This Row],[Durée (h)]]*Tableau3259[[#This Row],[Débit (m3/h)]]</f>
        <v>66.8</v>
      </c>
      <c r="U21" s="8">
        <f>Tableau3259[[#This Row],[Durée (h)]]*VLOOKUP(Tableau3259[[#This Row],[Vitesse]],Données!$E$55:$F$58,2,0)</f>
        <v>1480</v>
      </c>
    </row>
    <row r="22" spans="2:21" x14ac:dyDescent="0.3">
      <c r="B22" s="8" t="s">
        <v>102</v>
      </c>
      <c r="C22" s="8" t="s">
        <v>32</v>
      </c>
      <c r="D22" s="8">
        <f>VLOOKUP(Tableau3237[[#This Row],[Vitesse]],Données!$B$63:$C$66,2,0)</f>
        <v>9.6999999999999993</v>
      </c>
      <c r="E22" s="8">
        <v>6</v>
      </c>
      <c r="F22" s="8">
        <f>Tableau3237[[#This Row],[Durée (h)]]*Tableau3237[[#This Row],[Débit (m3/h)]]</f>
        <v>58.199999999999996</v>
      </c>
      <c r="G22" s="8">
        <f>Tableau3237[[#This Row],[Durée (h)]]*VLOOKUP(Tableau3237[[#This Row],[Vitesse]],Données!$B$55:$C$58,2,0)</f>
        <v>900</v>
      </c>
      <c r="I22" s="8" t="s">
        <v>102</v>
      </c>
      <c r="J22" s="8" t="s">
        <v>32</v>
      </c>
      <c r="K22" s="8">
        <f>VLOOKUP(Tableau3248[[#This Row],[Vitesse]],Données!$E$63:$F$66,2,0)</f>
        <v>12.5</v>
      </c>
      <c r="L22" s="8">
        <v>6</v>
      </c>
      <c r="M22" s="8">
        <f>Tableau3248[[#This Row],[Durée (h)]]*Tableau3248[[#This Row],[Débit (m3/h)]]</f>
        <v>75</v>
      </c>
      <c r="N22" s="8">
        <f>Tableau3248[[#This Row],[Durée (h)]]*VLOOKUP(Tableau3248[[#This Row],[Vitesse]],Données!$E$55:$F$58,2,0)</f>
        <v>1380</v>
      </c>
      <c r="O22" s="8"/>
      <c r="P22" s="8" t="s">
        <v>102</v>
      </c>
      <c r="Q22" s="8" t="s">
        <v>32</v>
      </c>
      <c r="R22" s="8">
        <f>VLOOKUP(Tableau3259[[#This Row],[Vitesse]],Données!$E$63:$F$66,2,0)</f>
        <v>12.5</v>
      </c>
      <c r="S22" s="8">
        <v>6</v>
      </c>
      <c r="T22" s="8">
        <f>Tableau3259[[#This Row],[Durée (h)]]*Tableau3259[[#This Row],[Débit (m3/h)]]</f>
        <v>75</v>
      </c>
      <c r="U22" s="8">
        <f>Tableau3259[[#This Row],[Durée (h)]]*VLOOKUP(Tableau3259[[#This Row],[Vitesse]],Données!$E$55:$F$58,2,0)</f>
        <v>1380</v>
      </c>
    </row>
    <row r="23" spans="2:21" x14ac:dyDescent="0.3">
      <c r="B23" s="8"/>
      <c r="C23" s="8"/>
      <c r="D23" s="8"/>
      <c r="E23" s="8"/>
      <c r="F23" s="8"/>
      <c r="G23" s="8"/>
      <c r="H23" s="24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</row>
    <row r="24" spans="2:21" x14ac:dyDescent="0.3"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</row>
    <row r="25" spans="2:21" x14ac:dyDescent="0.3"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</row>
    <row r="26" spans="2:21" x14ac:dyDescent="0.3"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</row>
    <row r="27" spans="2:21" x14ac:dyDescent="0.3"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P27" s="8"/>
      <c r="Q27" s="8"/>
      <c r="R27" s="8"/>
      <c r="S27" s="8"/>
      <c r="T27" s="8"/>
      <c r="U27" s="8"/>
    </row>
    <row r="28" spans="2:21" x14ac:dyDescent="0.3"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P28" s="8"/>
      <c r="Q28" s="8"/>
      <c r="R28" s="8"/>
      <c r="S28" s="8"/>
      <c r="T28" s="8"/>
      <c r="U28" s="8"/>
    </row>
    <row r="29" spans="2:21" x14ac:dyDescent="0.3">
      <c r="B29" s="8" t="s">
        <v>11</v>
      </c>
      <c r="C29" s="8"/>
      <c r="D29" s="8"/>
      <c r="E29" s="8"/>
      <c r="F29" s="8">
        <f>F19+F20+F21+F22+F23+F24+F25+F26+F27+F28</f>
        <v>207.2</v>
      </c>
      <c r="G29" s="8">
        <f>G19+G20+G21+G22+G23+G24+G25+G26+G27+G28</f>
        <v>3320</v>
      </c>
      <c r="H29" s="8"/>
      <c r="I29" s="8" t="s">
        <v>11</v>
      </c>
      <c r="J29" s="8"/>
      <c r="K29" s="8"/>
      <c r="L29" s="8"/>
      <c r="M29" s="8">
        <f>M19+M20+M21+M22+M23+M24+M25+M26+M27+M28</f>
        <v>250</v>
      </c>
      <c r="N29" s="8">
        <f>N19+N20+N21+N22+N23+N24+N25+N26+N27+N28</f>
        <v>4600</v>
      </c>
      <c r="P29" s="8" t="s">
        <v>11</v>
      </c>
      <c r="Q29" s="8"/>
      <c r="R29" s="8"/>
      <c r="S29" s="8"/>
      <c r="T29" s="8">
        <f>T19+T20+T21+T22+T23+T24+T25+T26+T27+T28</f>
        <v>266.8</v>
      </c>
      <c r="U29" s="8">
        <f>U19+U20+U21+U22+U23+U24+U25+U26+U27+U28</f>
        <v>5160</v>
      </c>
    </row>
    <row r="30" spans="2:21" x14ac:dyDescent="0.3">
      <c r="H30" s="8"/>
      <c r="I30" s="8"/>
      <c r="J30" s="8"/>
      <c r="K30" s="8"/>
      <c r="L30" s="8"/>
    </row>
    <row r="31" spans="2:21" x14ac:dyDescent="0.3">
      <c r="H31" s="8"/>
      <c r="I31" s="8"/>
      <c r="J31" s="8"/>
      <c r="K31" s="8"/>
      <c r="L31" s="8"/>
    </row>
    <row r="32" spans="2:21" x14ac:dyDescent="0.3">
      <c r="I32" s="8"/>
      <c r="J32" s="8"/>
      <c r="K32" s="8"/>
      <c r="L32" s="8"/>
      <c r="O32" s="24"/>
    </row>
    <row r="33" spans="2:21" ht="21" x14ac:dyDescent="0.3">
      <c r="I33" s="8"/>
      <c r="J33" s="8"/>
      <c r="K33" s="8"/>
      <c r="L33" s="8"/>
      <c r="O33" s="8"/>
      <c r="P33" s="23"/>
    </row>
    <row r="34" spans="2:21" ht="21" x14ac:dyDescent="0.35">
      <c r="D34" s="34" t="s">
        <v>98</v>
      </c>
      <c r="E34" s="22" t="s">
        <v>50</v>
      </c>
      <c r="K34" s="34" t="s">
        <v>98</v>
      </c>
      <c r="L34" s="22" t="s">
        <v>51</v>
      </c>
      <c r="O34" s="8"/>
      <c r="R34" s="34" t="s">
        <v>98</v>
      </c>
      <c r="S34" s="22" t="s">
        <v>52</v>
      </c>
    </row>
    <row r="35" spans="2:21" x14ac:dyDescent="0.3">
      <c r="B35" s="21" t="s">
        <v>28</v>
      </c>
      <c r="C35" s="21" t="s">
        <v>29</v>
      </c>
      <c r="D35" s="21" t="s">
        <v>14</v>
      </c>
      <c r="E35" s="21" t="s">
        <v>30</v>
      </c>
      <c r="F35" s="21" t="s">
        <v>31</v>
      </c>
      <c r="G35" s="21" t="s">
        <v>56</v>
      </c>
      <c r="I35" s="21" t="s">
        <v>28</v>
      </c>
      <c r="J35" s="21" t="s">
        <v>29</v>
      </c>
      <c r="K35" s="21" t="s">
        <v>14</v>
      </c>
      <c r="L35" s="21" t="s">
        <v>30</v>
      </c>
      <c r="M35" s="21" t="s">
        <v>31</v>
      </c>
      <c r="N35" s="21" t="s">
        <v>56</v>
      </c>
      <c r="O35" s="8"/>
      <c r="P35" s="21" t="s">
        <v>28</v>
      </c>
      <c r="Q35" s="21" t="s">
        <v>29</v>
      </c>
      <c r="R35" s="21" t="s">
        <v>14</v>
      </c>
      <c r="S35" s="21" t="s">
        <v>30</v>
      </c>
      <c r="T35" s="21" t="s">
        <v>31</v>
      </c>
      <c r="U35" s="21" t="s">
        <v>56</v>
      </c>
    </row>
    <row r="36" spans="2:21" x14ac:dyDescent="0.3">
      <c r="B36" s="8" t="s">
        <v>99</v>
      </c>
      <c r="C36" s="8" t="s">
        <v>32</v>
      </c>
      <c r="D36" s="8">
        <f>VLOOKUP(Tableau32610[[#This Row],[Vitesse]],Données!$E$63:$F$66,2,0)</f>
        <v>12.5</v>
      </c>
      <c r="E36" s="8">
        <v>6</v>
      </c>
      <c r="F36" s="8">
        <f>Tableau32610[[#This Row],[Durée (h)]]*Tableau32610[[#This Row],[Débit (m3/h)]]</f>
        <v>75</v>
      </c>
      <c r="G36" s="8">
        <f>Tableau32610[[#This Row],[Durée (h)]]*VLOOKUP(Tableau32610[[#This Row],[Vitesse]],Données!$E$55:$F$58,2,0)</f>
        <v>1380</v>
      </c>
      <c r="I36" s="8" t="s">
        <v>99</v>
      </c>
      <c r="J36" s="8" t="s">
        <v>32</v>
      </c>
      <c r="K36" s="8">
        <f>VLOOKUP(Tableau32711[[#This Row],[Vitesse]],Données!$E$63:$F$66,2,0)</f>
        <v>12.5</v>
      </c>
      <c r="L36" s="8">
        <v>6</v>
      </c>
      <c r="M36" s="8">
        <f>Tableau32711[[#This Row],[Durée (h)]]*Tableau32711[[#This Row],[Débit (m3/h)]]</f>
        <v>75</v>
      </c>
      <c r="N36" s="8">
        <f>Tableau32711[[#This Row],[Durée (h)]]*VLOOKUP(Tableau32711[[#This Row],[Vitesse]],Données!$E$55:$F$58,2,0)</f>
        <v>1380</v>
      </c>
      <c r="O36" s="8"/>
      <c r="P36" s="8" t="s">
        <v>99</v>
      </c>
      <c r="Q36" s="8" t="s">
        <v>32</v>
      </c>
      <c r="R36" s="8">
        <f>VLOOKUP(Tableau32812[[#This Row],[Vitesse]],Données!$E$63:$F$66,2,0)</f>
        <v>12.5</v>
      </c>
      <c r="S36" s="8">
        <v>6</v>
      </c>
      <c r="T36" s="8">
        <f>Tableau32812[[#This Row],[Durée (h)]]*Tableau32812[[#This Row],[Débit (m3/h)]]</f>
        <v>75</v>
      </c>
      <c r="U36" s="8">
        <f>Tableau32812[[#This Row],[Durée (h)]]*VLOOKUP(Tableau32812[[#This Row],[Vitesse]],Données!$E$55:$F$58,2,0)</f>
        <v>1380</v>
      </c>
    </row>
    <row r="37" spans="2:21" x14ac:dyDescent="0.3">
      <c r="B37" s="8" t="s">
        <v>100</v>
      </c>
      <c r="C37" s="8" t="s">
        <v>32</v>
      </c>
      <c r="D37" s="8">
        <f>VLOOKUP(Tableau32610[[#This Row],[Vitesse]],Données!$E$63:$F$66,2,0)</f>
        <v>12.5</v>
      </c>
      <c r="E37" s="8">
        <v>4</v>
      </c>
      <c r="F37" s="8">
        <f>Tableau32610[[#This Row],[Durée (h)]]*Tableau32610[[#This Row],[Débit (m3/h)]]</f>
        <v>50</v>
      </c>
      <c r="G37" s="8">
        <f>Tableau32610[[#This Row],[Durée (h)]]*VLOOKUP(Tableau32610[[#This Row],[Vitesse]],Données!$E$55:$F$58,2,0)</f>
        <v>920</v>
      </c>
      <c r="H37" s="24"/>
      <c r="I37" s="8" t="s">
        <v>100</v>
      </c>
      <c r="J37" s="8" t="s">
        <v>32</v>
      </c>
      <c r="K37" s="8">
        <f>VLOOKUP(Tableau32711[[#This Row],[Vitesse]],Données!$E$63:$F$66,2,0)</f>
        <v>12.5</v>
      </c>
      <c r="L37" s="8">
        <v>4</v>
      </c>
      <c r="M37" s="8">
        <f>Tableau32711[[#This Row],[Durée (h)]]*Tableau32711[[#This Row],[Débit (m3/h)]]</f>
        <v>50</v>
      </c>
      <c r="N37" s="8">
        <f>Tableau32711[[#This Row],[Durée (h)]]*VLOOKUP(Tableau32711[[#This Row],[Vitesse]],Données!$E$55:$F$58,2,0)</f>
        <v>920</v>
      </c>
      <c r="O37" s="8"/>
      <c r="P37" s="8" t="s">
        <v>100</v>
      </c>
      <c r="Q37" s="8" t="s">
        <v>34</v>
      </c>
      <c r="R37" s="8">
        <f>VLOOKUP(Tableau32812[[#This Row],[Vitesse]],Données!$E$63:$F$66,2,0)</f>
        <v>16.7</v>
      </c>
      <c r="S37" s="8">
        <v>4</v>
      </c>
      <c r="T37" s="8">
        <f>Tableau32812[[#This Row],[Durée (h)]]*Tableau32812[[#This Row],[Débit (m3/h)]]</f>
        <v>66.8</v>
      </c>
      <c r="U37" s="8">
        <f>Tableau32812[[#This Row],[Durée (h)]]*VLOOKUP(Tableau32812[[#This Row],[Vitesse]],Données!$E$55:$F$58,2,0)</f>
        <v>1480</v>
      </c>
    </row>
    <row r="38" spans="2:21" x14ac:dyDescent="0.3">
      <c r="B38" s="8" t="s">
        <v>101</v>
      </c>
      <c r="C38" s="8" t="s">
        <v>34</v>
      </c>
      <c r="D38" s="8">
        <f>VLOOKUP(Tableau32610[[#This Row],[Vitesse]],Données!$E$63:$F$66,2,0)</f>
        <v>16.7</v>
      </c>
      <c r="E38" s="8">
        <v>4</v>
      </c>
      <c r="F38" s="8">
        <f>Tableau32610[[#This Row],[Durée (h)]]*Tableau32610[[#This Row],[Débit (m3/h)]]</f>
        <v>66.8</v>
      </c>
      <c r="G38" s="8">
        <f>Tableau32610[[#This Row],[Durée (h)]]*VLOOKUP(Tableau32610[[#This Row],[Vitesse]],Données!$E$55:$F$58,2,0)</f>
        <v>1480</v>
      </c>
      <c r="H38" s="8"/>
      <c r="I38" s="8" t="s">
        <v>101</v>
      </c>
      <c r="J38" s="8" t="s">
        <v>34</v>
      </c>
      <c r="K38" s="8">
        <f>VLOOKUP(Tableau32711[[#This Row],[Vitesse]],Données!$E$63:$F$66,2,0)</f>
        <v>16.7</v>
      </c>
      <c r="L38" s="8">
        <v>4</v>
      </c>
      <c r="M38" s="8">
        <f>Tableau32711[[#This Row],[Durée (h)]]*Tableau32711[[#This Row],[Débit (m3/h)]]</f>
        <v>66.8</v>
      </c>
      <c r="N38" s="8">
        <f>Tableau32711[[#This Row],[Durée (h)]]*VLOOKUP(Tableau32711[[#This Row],[Vitesse]],Données!$E$55:$F$58,2,0)</f>
        <v>1480</v>
      </c>
      <c r="O38" s="8"/>
      <c r="P38" s="8" t="s">
        <v>105</v>
      </c>
      <c r="Q38" s="8" t="s">
        <v>36</v>
      </c>
      <c r="R38" s="8">
        <f>VLOOKUP(Tableau32812[[#This Row],[Vitesse]],Données!$E$63:$F$66,2,0)</f>
        <v>19.8</v>
      </c>
      <c r="S38" s="8">
        <v>7</v>
      </c>
      <c r="T38" s="8">
        <f>Tableau32812[[#This Row],[Durée (h)]]*Tableau32812[[#This Row],[Débit (m3/h)]]</f>
        <v>138.6</v>
      </c>
      <c r="U38" s="8">
        <f>Tableau32812[[#This Row],[Durée (h)]]*VLOOKUP(Tableau32812[[#This Row],[Vitesse]],Données!$E$55:$F$58,2,0)</f>
        <v>3710</v>
      </c>
    </row>
    <row r="39" spans="2:21" x14ac:dyDescent="0.3">
      <c r="B39" s="8" t="s">
        <v>102</v>
      </c>
      <c r="C39" s="8" t="s">
        <v>32</v>
      </c>
      <c r="D39" s="8">
        <f>VLOOKUP(Tableau32610[[#This Row],[Vitesse]],Données!$E$63:$F$66,2,0)</f>
        <v>12.5</v>
      </c>
      <c r="E39" s="8">
        <v>6</v>
      </c>
      <c r="F39" s="8">
        <f>Tableau32610[[#This Row],[Durée (h)]]*Tableau32610[[#This Row],[Débit (m3/h)]]</f>
        <v>75</v>
      </c>
      <c r="G39" s="8">
        <f>Tableau32610[[#This Row],[Durée (h)]]*VLOOKUP(Tableau32610[[#This Row],[Vitesse]],Données!$E$55:$F$58,2,0)</f>
        <v>1380</v>
      </c>
      <c r="H39" s="8"/>
      <c r="I39" s="8" t="s">
        <v>102</v>
      </c>
      <c r="J39" s="8" t="s">
        <v>32</v>
      </c>
      <c r="K39" s="8">
        <f>VLOOKUP(Tableau32711[[#This Row],[Vitesse]],Données!$E$63:$F$66,2,0)</f>
        <v>12.5</v>
      </c>
      <c r="L39" s="8">
        <v>6</v>
      </c>
      <c r="M39" s="8">
        <f>Tableau32711[[#This Row],[Durée (h)]]*Tableau32711[[#This Row],[Débit (m3/h)]]</f>
        <v>75</v>
      </c>
      <c r="N39" s="8">
        <f>Tableau32711[[#This Row],[Durée (h)]]*VLOOKUP(Tableau32711[[#This Row],[Vitesse]],Données!$E$55:$F$58,2,0)</f>
        <v>1380</v>
      </c>
      <c r="O39" s="8"/>
      <c r="P39" s="8" t="s">
        <v>72</v>
      </c>
      <c r="Q39" s="8" t="s">
        <v>32</v>
      </c>
      <c r="R39" s="8">
        <f>VLOOKUP(Tableau32812[[#This Row],[Vitesse]],Données!$E$63:$F$66,2,0)</f>
        <v>12.5</v>
      </c>
      <c r="S39" s="8">
        <v>3</v>
      </c>
      <c r="T39" s="8">
        <f>Tableau32812[[#This Row],[Durée (h)]]*Tableau32812[[#This Row],[Débit (m3/h)]]</f>
        <v>37.5</v>
      </c>
      <c r="U39" s="8">
        <f>Tableau32812[[#This Row],[Durée (h)]]*VLOOKUP(Tableau32812[[#This Row],[Vitesse]],Données!$E$55:$F$58,2,0)</f>
        <v>690</v>
      </c>
    </row>
    <row r="40" spans="2:21" x14ac:dyDescent="0.3"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</row>
    <row r="41" spans="2:21" x14ac:dyDescent="0.3"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P41" s="8"/>
      <c r="Q41" s="8"/>
      <c r="R41" s="8"/>
      <c r="S41" s="8"/>
      <c r="T41" s="8"/>
      <c r="U41" s="8"/>
    </row>
    <row r="42" spans="2:21" x14ac:dyDescent="0.3"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P42" s="8"/>
      <c r="Q42" s="8"/>
      <c r="R42" s="8"/>
      <c r="S42" s="8"/>
      <c r="T42" s="8"/>
      <c r="U42" s="8"/>
    </row>
    <row r="43" spans="2:21" x14ac:dyDescent="0.3"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P43" s="8"/>
      <c r="Q43" s="8"/>
      <c r="R43" s="8"/>
      <c r="S43" s="8"/>
      <c r="T43" s="8"/>
      <c r="U43" s="8"/>
    </row>
    <row r="44" spans="2:21" x14ac:dyDescent="0.3"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P44" s="8"/>
      <c r="Q44" s="8"/>
      <c r="R44" s="8"/>
      <c r="S44" s="8"/>
      <c r="T44" s="8"/>
      <c r="U44" s="8"/>
    </row>
    <row r="45" spans="2:21" x14ac:dyDescent="0.3"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P45" s="8"/>
      <c r="Q45" s="8"/>
      <c r="R45" s="8"/>
      <c r="S45" s="8"/>
      <c r="T45" s="8"/>
      <c r="U45" s="8"/>
    </row>
    <row r="46" spans="2:21" x14ac:dyDescent="0.3">
      <c r="B46" s="8" t="s">
        <v>11</v>
      </c>
      <c r="C46" s="8"/>
      <c r="D46" s="8"/>
      <c r="E46" s="8"/>
      <c r="F46" s="8">
        <f>F36+F37+F38+F39+F40+F41+F42+F43+F44+F45</f>
        <v>266.8</v>
      </c>
      <c r="G46" s="8">
        <f>G36+G37+G38+G39+G40+G41+G42+G43+G44+G45</f>
        <v>5160</v>
      </c>
      <c r="I46" s="8" t="s">
        <v>11</v>
      </c>
      <c r="J46" s="8"/>
      <c r="K46" s="8"/>
      <c r="L46" s="8"/>
      <c r="M46" s="8">
        <f>M36+M37+M38+M39+M40+M41+M42+M43+M44+M45</f>
        <v>266.8</v>
      </c>
      <c r="N46" s="8">
        <f>N36+N37+N38+N39+N40+N41+N42+N43+N44+N45</f>
        <v>5160</v>
      </c>
      <c r="P46" s="8" t="s">
        <v>11</v>
      </c>
      <c r="Q46" s="8"/>
      <c r="R46" s="8"/>
      <c r="S46" s="8"/>
      <c r="T46" s="8">
        <f>T36+T37+T38+T39+T40+T41+T42+T43+T44+T45</f>
        <v>317.89999999999998</v>
      </c>
      <c r="U46" s="8">
        <f>U36+U37+U38+U39+U40+U41+U42+U43+U44+U45</f>
        <v>7260</v>
      </c>
    </row>
    <row r="47" spans="2:21" x14ac:dyDescent="0.3">
      <c r="I47" s="8"/>
      <c r="J47" s="8"/>
      <c r="K47" s="8"/>
      <c r="L47" s="8"/>
    </row>
    <row r="48" spans="2:21" x14ac:dyDescent="0.3">
      <c r="I48" s="8"/>
      <c r="J48" s="8"/>
      <c r="K48" s="8"/>
      <c r="L48" s="8"/>
    </row>
    <row r="49" spans="2:14" x14ac:dyDescent="0.3">
      <c r="I49" s="8"/>
      <c r="J49" s="8"/>
      <c r="K49" s="8"/>
      <c r="L49" s="8"/>
    </row>
    <row r="50" spans="2:14" ht="21" x14ac:dyDescent="0.3">
      <c r="D50" s="23"/>
    </row>
    <row r="51" spans="2:14" ht="21" x14ac:dyDescent="0.35">
      <c r="D51" s="34" t="s">
        <v>98</v>
      </c>
      <c r="E51" s="22" t="s">
        <v>53</v>
      </c>
      <c r="K51" s="34" t="s">
        <v>98</v>
      </c>
      <c r="L51" s="22" t="s">
        <v>54</v>
      </c>
    </row>
    <row r="52" spans="2:14" x14ac:dyDescent="0.3">
      <c r="B52" s="21" t="s">
        <v>28</v>
      </c>
      <c r="C52" s="21" t="s">
        <v>29</v>
      </c>
      <c r="D52" s="21" t="s">
        <v>14</v>
      </c>
      <c r="E52" s="21" t="s">
        <v>30</v>
      </c>
      <c r="F52" s="21" t="s">
        <v>31</v>
      </c>
      <c r="G52" s="21" t="s">
        <v>56</v>
      </c>
      <c r="I52" s="21" t="s">
        <v>28</v>
      </c>
      <c r="J52" s="21" t="s">
        <v>29</v>
      </c>
      <c r="K52" s="21" t="s">
        <v>14</v>
      </c>
      <c r="L52" s="21" t="s">
        <v>30</v>
      </c>
      <c r="M52" s="21" t="s">
        <v>31</v>
      </c>
      <c r="N52" s="21" t="s">
        <v>56</v>
      </c>
    </row>
    <row r="53" spans="2:14" x14ac:dyDescent="0.3">
      <c r="B53" s="8" t="s">
        <v>99</v>
      </c>
      <c r="C53" s="8" t="s">
        <v>32</v>
      </c>
      <c r="D53" s="8">
        <f>VLOOKUP(Tableau32913[[#This Row],[Vitesse]],Données!$E$63:$F$66,2,0)</f>
        <v>12.5</v>
      </c>
      <c r="E53" s="8">
        <v>6</v>
      </c>
      <c r="F53" s="8">
        <f>Tableau32913[[#This Row],[Durée (h)]]*Tableau32913[[#This Row],[Débit (m3/h)]]</f>
        <v>75</v>
      </c>
      <c r="G53" s="8">
        <f>Tableau32913[[#This Row],[Durée (h)]]*VLOOKUP(Tableau32913[[#This Row],[Vitesse]],Données!$E$55:$F$58,2,0)</f>
        <v>1380</v>
      </c>
      <c r="I53" s="8" t="s">
        <v>99</v>
      </c>
      <c r="J53" s="8" t="s">
        <v>32</v>
      </c>
      <c r="K53" s="8">
        <f>VLOOKUP(Tableau33014[[#This Row],[Vitesse]],Données!$E$63:$F$66,2,0)</f>
        <v>12.5</v>
      </c>
      <c r="L53" s="8">
        <v>6</v>
      </c>
      <c r="M53" s="8">
        <f>Tableau33014[[#This Row],[Durée (h)]]*Tableau33014[[#This Row],[Débit (m3/h)]]</f>
        <v>75</v>
      </c>
      <c r="N53" s="8">
        <f>Tableau33014[[#This Row],[Durée (h)]]*VLOOKUP(Tableau33014[[#This Row],[Vitesse]],Données!$E$55:$F$58,2,0)</f>
        <v>1380</v>
      </c>
    </row>
    <row r="54" spans="2:14" x14ac:dyDescent="0.3">
      <c r="B54" s="8" t="s">
        <v>100</v>
      </c>
      <c r="C54" s="8" t="s">
        <v>34</v>
      </c>
      <c r="D54" s="8">
        <f>VLOOKUP(Tableau32913[[#This Row],[Vitesse]],Données!$E$63:$F$66,2,0)</f>
        <v>16.7</v>
      </c>
      <c r="E54" s="8">
        <v>4</v>
      </c>
      <c r="F54" s="8">
        <f>Tableau32913[[#This Row],[Durée (h)]]*Tableau32913[[#This Row],[Débit (m3/h)]]</f>
        <v>66.8</v>
      </c>
      <c r="G54" s="8">
        <f>Tableau32913[[#This Row],[Durée (h)]]*VLOOKUP(Tableau32913[[#This Row],[Vitesse]],Données!$E$55:$F$58,2,0)</f>
        <v>1480</v>
      </c>
      <c r="I54" s="8" t="s">
        <v>100</v>
      </c>
      <c r="J54" s="8" t="s">
        <v>34</v>
      </c>
      <c r="K54" s="8">
        <f>VLOOKUP(Tableau33014[[#This Row],[Vitesse]],Données!$E$63:$F$66,2,0)</f>
        <v>16.7</v>
      </c>
      <c r="L54" s="8">
        <v>4</v>
      </c>
      <c r="M54" s="8">
        <f>Tableau33014[[#This Row],[Durée (h)]]*Tableau33014[[#This Row],[Débit (m3/h)]]</f>
        <v>66.8</v>
      </c>
      <c r="N54" s="8">
        <f>Tableau33014[[#This Row],[Durée (h)]]*VLOOKUP(Tableau33014[[#This Row],[Vitesse]],Données!$E$55:$F$58,2,0)</f>
        <v>1480</v>
      </c>
    </row>
    <row r="55" spans="2:14" x14ac:dyDescent="0.3">
      <c r="B55" s="8" t="s">
        <v>105</v>
      </c>
      <c r="C55" s="8" t="s">
        <v>36</v>
      </c>
      <c r="D55" s="8">
        <f>VLOOKUP(Tableau32913[[#This Row],[Vitesse]],Données!$E$63:$F$66,2,0)</f>
        <v>19.8</v>
      </c>
      <c r="E55" s="8">
        <v>7</v>
      </c>
      <c r="F55" s="8">
        <f>Tableau32913[[#This Row],[Durée (h)]]*Tableau32913[[#This Row],[Débit (m3/h)]]</f>
        <v>138.6</v>
      </c>
      <c r="G55" s="8">
        <f>Tableau32913[[#This Row],[Durée (h)]]*VLOOKUP(Tableau32913[[#This Row],[Vitesse]],Données!$E$55:$F$58,2,0)</f>
        <v>3710</v>
      </c>
      <c r="I55" s="8" t="s">
        <v>105</v>
      </c>
      <c r="J55" s="8" t="s">
        <v>36</v>
      </c>
      <c r="K55" s="8">
        <f>VLOOKUP(Tableau33014[[#This Row],[Vitesse]],Données!$E$63:$F$66,2,0)</f>
        <v>19.8</v>
      </c>
      <c r="L55" s="8">
        <v>7</v>
      </c>
      <c r="M55" s="8">
        <f>Tableau33014[[#This Row],[Durée (h)]]*Tableau33014[[#This Row],[Débit (m3/h)]]</f>
        <v>138.6</v>
      </c>
      <c r="N55" s="8">
        <f>Tableau33014[[#This Row],[Durée (h)]]*VLOOKUP(Tableau33014[[#This Row],[Vitesse]],Données!$E$55:$F$58,2,0)</f>
        <v>3710</v>
      </c>
    </row>
    <row r="56" spans="2:14" x14ac:dyDescent="0.3">
      <c r="B56" s="8" t="s">
        <v>72</v>
      </c>
      <c r="C56" s="8" t="s">
        <v>34</v>
      </c>
      <c r="D56" s="8">
        <f>VLOOKUP(Tableau32913[[#This Row],[Vitesse]],Données!$E$63:$F$66,2,0)</f>
        <v>16.7</v>
      </c>
      <c r="E56" s="8">
        <v>3</v>
      </c>
      <c r="F56" s="8">
        <f>Tableau32913[[#This Row],[Durée (h)]]*Tableau32913[[#This Row],[Débit (m3/h)]]</f>
        <v>50.099999999999994</v>
      </c>
      <c r="G56" s="8">
        <f>Tableau32913[[#This Row],[Durée (h)]]*VLOOKUP(Tableau32913[[#This Row],[Vitesse]],Données!$E$55:$F$58,2,0)</f>
        <v>1110</v>
      </c>
      <c r="I56" s="8" t="s">
        <v>106</v>
      </c>
      <c r="J56" s="8" t="s">
        <v>34</v>
      </c>
      <c r="K56" s="8">
        <f>VLOOKUP(Tableau33014[[#This Row],[Vitesse]],Données!$E$63:$F$66,2,0)</f>
        <v>16.7</v>
      </c>
      <c r="L56" s="8">
        <v>5</v>
      </c>
      <c r="M56" s="8">
        <f>Tableau33014[[#This Row],[Durée (h)]]*Tableau33014[[#This Row],[Débit (m3/h)]]</f>
        <v>83.5</v>
      </c>
      <c r="N56" s="8">
        <f>Tableau33014[[#This Row],[Durée (h)]]*VLOOKUP(Tableau33014[[#This Row],[Vitesse]],Données!$E$55:$F$58,2,0)</f>
        <v>1850</v>
      </c>
    </row>
    <row r="57" spans="2:14" x14ac:dyDescent="0.3">
      <c r="B57" s="8"/>
      <c r="C57" s="8"/>
      <c r="D57" s="8"/>
      <c r="E57" s="8"/>
      <c r="F57" s="8"/>
      <c r="G57" s="8"/>
      <c r="I57" s="8"/>
      <c r="J57" s="8"/>
      <c r="K57" s="8"/>
      <c r="L57" s="8"/>
      <c r="M57" s="8"/>
      <c r="N57" s="8"/>
    </row>
    <row r="58" spans="2:14" x14ac:dyDescent="0.3">
      <c r="B58" s="8"/>
      <c r="C58" s="8"/>
      <c r="D58" s="8"/>
      <c r="E58" s="8"/>
      <c r="F58" s="8"/>
      <c r="G58" s="8"/>
      <c r="I58" s="8"/>
      <c r="J58" s="8"/>
      <c r="K58" s="8"/>
      <c r="L58" s="8"/>
      <c r="M58" s="8"/>
      <c r="N58" s="8"/>
    </row>
    <row r="59" spans="2:14" x14ac:dyDescent="0.3">
      <c r="B59" s="8"/>
      <c r="C59" s="8"/>
      <c r="D59" s="8"/>
      <c r="E59" s="8"/>
      <c r="F59" s="8"/>
      <c r="G59" s="8"/>
      <c r="I59" s="8"/>
      <c r="J59" s="8"/>
      <c r="K59" s="8"/>
      <c r="L59" s="8"/>
      <c r="M59" s="8"/>
      <c r="N59" s="8"/>
    </row>
    <row r="60" spans="2:14" x14ac:dyDescent="0.3">
      <c r="B60" s="8"/>
      <c r="C60" s="8"/>
      <c r="D60" s="8"/>
      <c r="E60" s="8"/>
      <c r="F60" s="8"/>
      <c r="G60" s="8"/>
      <c r="I60" s="8"/>
      <c r="J60" s="8"/>
      <c r="K60" s="8"/>
      <c r="L60" s="8"/>
      <c r="M60" s="8"/>
      <c r="N60" s="8"/>
    </row>
    <row r="61" spans="2:14" x14ac:dyDescent="0.3">
      <c r="B61" s="8"/>
      <c r="C61" s="8"/>
      <c r="D61" s="8"/>
      <c r="E61" s="8"/>
      <c r="F61" s="8"/>
      <c r="G61" s="8"/>
      <c r="I61" s="8"/>
      <c r="J61" s="8"/>
      <c r="K61" s="8"/>
      <c r="L61" s="8"/>
      <c r="M61" s="8"/>
      <c r="N61" s="8"/>
    </row>
    <row r="62" spans="2:14" x14ac:dyDescent="0.3">
      <c r="B62" s="8"/>
      <c r="C62" s="8"/>
      <c r="D62" s="8"/>
      <c r="E62" s="8"/>
      <c r="F62" s="8"/>
      <c r="G62" s="8"/>
      <c r="I62" s="8"/>
      <c r="J62" s="8"/>
      <c r="K62" s="8"/>
      <c r="L62" s="8"/>
      <c r="M62" s="8"/>
      <c r="N62" s="8"/>
    </row>
    <row r="63" spans="2:14" x14ac:dyDescent="0.3">
      <c r="B63" s="8" t="s">
        <v>11</v>
      </c>
      <c r="C63" s="8"/>
      <c r="D63" s="8"/>
      <c r="E63" s="8"/>
      <c r="F63" s="8">
        <f>F53+F54+F55+F56+F57+F58+F59+F60+F61+F62</f>
        <v>330.5</v>
      </c>
      <c r="G63" s="8">
        <f>G53+G54+G55+G56+G57+G58+G59+G60+G61+G62</f>
        <v>7680</v>
      </c>
      <c r="I63" s="8" t="s">
        <v>11</v>
      </c>
      <c r="J63" s="8"/>
      <c r="K63" s="8"/>
      <c r="L63" s="8"/>
      <c r="M63" s="8">
        <f>M53+M54+M55+M56+M57+M58+M59+M60+M61+M62</f>
        <v>363.9</v>
      </c>
      <c r="N63" s="8">
        <f>N53+N54+N55+N56+N57+N58+N59+N60+N61+N62</f>
        <v>8420</v>
      </c>
    </row>
  </sheetData>
  <pageMargins left="0.7" right="0.7" top="0.75" bottom="0.75" header="0.3" footer="0.3"/>
  <ignoredErrors>
    <ignoredError sqref="N4 U4 U5:U7 K19:K22 N19:N22 R19:R22 U19:U22 D36:D39 K36:K39 R36:R39 D53:D56 K53:K56 G36:G39 N36:N39 U36:U39 G53:G56 N53:N56" calculatedColumn="1"/>
  </ignoredErrors>
  <tableParts count="11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40"/>
  <sheetViews>
    <sheetView topLeftCell="A22" workbookViewId="0">
      <selection activeCell="K54" sqref="K54"/>
    </sheetView>
  </sheetViews>
  <sheetFormatPr baseColWidth="10" defaultColWidth="8.88671875" defaultRowHeight="14.4" x14ac:dyDescent="0.3"/>
  <cols>
    <col min="1" max="4" width="8.88671875" customWidth="1"/>
    <col min="7" max="7" width="9.88671875" bestFit="1" customWidth="1"/>
  </cols>
  <sheetData>
    <row r="1" spans="1:4" x14ac:dyDescent="0.3">
      <c r="A1" s="1" t="s">
        <v>5</v>
      </c>
      <c r="B1" s="1" t="s">
        <v>6</v>
      </c>
      <c r="C1" s="1" t="s">
        <v>7</v>
      </c>
      <c r="D1" s="1" t="s">
        <v>8</v>
      </c>
    </row>
    <row r="2" spans="1:4" x14ac:dyDescent="0.3">
      <c r="A2" s="2" t="s">
        <v>1</v>
      </c>
      <c r="B2" s="2" t="s">
        <v>2</v>
      </c>
      <c r="C2" s="2" t="s">
        <v>2</v>
      </c>
      <c r="D2" s="2" t="s">
        <v>2</v>
      </c>
    </row>
    <row r="3" spans="1:4" x14ac:dyDescent="0.3">
      <c r="A3" s="2" t="s">
        <v>3</v>
      </c>
      <c r="B3" s="2" t="s">
        <v>2</v>
      </c>
      <c r="C3" s="2" t="s">
        <v>2</v>
      </c>
      <c r="D3" s="2" t="s">
        <v>2</v>
      </c>
    </row>
    <row r="4" spans="1:4" x14ac:dyDescent="0.3">
      <c r="A4" s="2" t="s">
        <v>4</v>
      </c>
      <c r="B4" s="2" t="s">
        <v>2</v>
      </c>
      <c r="C4" s="2" t="s">
        <v>2</v>
      </c>
      <c r="D4" s="2" t="s">
        <v>2</v>
      </c>
    </row>
    <row r="26" spans="2:21" x14ac:dyDescent="0.3">
      <c r="B26" s="14" t="s">
        <v>26</v>
      </c>
      <c r="D26" s="14" t="s">
        <v>25</v>
      </c>
    </row>
    <row r="27" spans="2:21" x14ac:dyDescent="0.3">
      <c r="B27" cm="1">
        <f t="array" ref="B27">VLOOKUP(Tableau1[Puissance Pompe actuelle  (CV)],Données!C5:D8,2,0)</f>
        <v>1130</v>
      </c>
      <c r="D27" cm="1">
        <f t="array" ref="D27">(Tableau1[Durée de la saison en mois]*30)*Tableau1[Nombre d''heures de filtration]</f>
        <v>2160</v>
      </c>
    </row>
    <row r="30" spans="2:21" x14ac:dyDescent="0.3">
      <c r="B30" s="14" t="s">
        <v>24</v>
      </c>
      <c r="L30" s="14" t="s">
        <v>78</v>
      </c>
    </row>
    <row r="31" spans="2:21" x14ac:dyDescent="0.3">
      <c r="B31" t="s">
        <v>27</v>
      </c>
      <c r="I31" s="15" cm="1">
        <f t="array" ref="I31">(B27*D27*Tableau1[Cout du kWh])/1000</f>
        <v>561.38400000000001</v>
      </c>
      <c r="L31" t="s">
        <v>79</v>
      </c>
      <c r="U31" s="15" cm="1">
        <f t="array" ref="U31">(VLOOKUP(Tableau1[Volume de la piscine m3],Données!$N$5:$O$15,2,0)*(Tableau1[Durée de la saison en mois]*30)*Tableau1[Cout du kWh])/1000</f>
        <v>174.41820000000001</v>
      </c>
    </row>
    <row r="36" spans="2:13" x14ac:dyDescent="0.3">
      <c r="B36" s="14" t="s">
        <v>77</v>
      </c>
    </row>
    <row r="37" spans="2:13" x14ac:dyDescent="0.3">
      <c r="B37" t="s">
        <v>81</v>
      </c>
      <c r="M37" s="15">
        <f>I31-U31</f>
        <v>386.9658</v>
      </c>
    </row>
    <row r="39" spans="2:13" x14ac:dyDescent="0.3">
      <c r="F39" t="s">
        <v>82</v>
      </c>
      <c r="G39" s="28">
        <f>(I31-U31)/I31</f>
        <v>0.68930678466076689</v>
      </c>
    </row>
    <row r="40" spans="2:13" x14ac:dyDescent="0.3">
      <c r="G40" s="28"/>
    </row>
  </sheetData>
  <pageMargins left="0.75" right="0.75" top="1" bottom="1" header="0.5" footer="0.5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9BFA0-F7E7-46C0-A68B-0BE4FD37CF52}">
  <dimension ref="A1:U40"/>
  <sheetViews>
    <sheetView topLeftCell="A22" workbookViewId="0">
      <selection activeCell="U31" sqref="U31"/>
    </sheetView>
  </sheetViews>
  <sheetFormatPr baseColWidth="10" defaultColWidth="8.88671875" defaultRowHeight="14.4" x14ac:dyDescent="0.3"/>
  <cols>
    <col min="1" max="4" width="8.88671875" customWidth="1"/>
    <col min="7" max="7" width="9.88671875" bestFit="1" customWidth="1"/>
  </cols>
  <sheetData>
    <row r="1" spans="1:4" x14ac:dyDescent="0.3">
      <c r="A1" s="1" t="s">
        <v>5</v>
      </c>
      <c r="B1" s="1" t="s">
        <v>6</v>
      </c>
      <c r="C1" s="1" t="s">
        <v>7</v>
      </c>
      <c r="D1" s="1" t="s">
        <v>8</v>
      </c>
    </row>
    <row r="2" spans="1:4" x14ac:dyDescent="0.3">
      <c r="A2" s="2" t="s">
        <v>1</v>
      </c>
      <c r="B2" s="2" t="s">
        <v>2</v>
      </c>
      <c r="C2" s="2" t="s">
        <v>2</v>
      </c>
      <c r="D2" s="2" t="s">
        <v>2</v>
      </c>
    </row>
    <row r="3" spans="1:4" x14ac:dyDescent="0.3">
      <c r="A3" s="2" t="s">
        <v>3</v>
      </c>
      <c r="B3" s="2" t="s">
        <v>2</v>
      </c>
      <c r="C3" s="2" t="s">
        <v>2</v>
      </c>
      <c r="D3" s="2" t="s">
        <v>2</v>
      </c>
    </row>
    <row r="4" spans="1:4" x14ac:dyDescent="0.3">
      <c r="A4" s="2" t="s">
        <v>4</v>
      </c>
      <c r="B4" s="2" t="s">
        <v>2</v>
      </c>
      <c r="C4" s="2" t="s">
        <v>2</v>
      </c>
      <c r="D4" s="2" t="s">
        <v>2</v>
      </c>
    </row>
    <row r="26" spans="2:21" x14ac:dyDescent="0.3">
      <c r="B26" s="14" t="s">
        <v>26</v>
      </c>
      <c r="D26" s="14" t="s">
        <v>25</v>
      </c>
    </row>
    <row r="27" spans="2:21" x14ac:dyDescent="0.3">
      <c r="B27" cm="1">
        <f t="array" ref="B27">VLOOKUP(Tableau115[Puissance Pompe actuelle  (CV)],Données!$C$12:$D$16,2,0)</f>
        <v>870</v>
      </c>
      <c r="D27" cm="1">
        <f t="array" ref="D27">(Tableau115[Durée de la saison en mois]*30)*Tableau115[Nombre d''heures de filtration]</f>
        <v>1200</v>
      </c>
    </row>
    <row r="30" spans="2:21" x14ac:dyDescent="0.3">
      <c r="B30" s="14" t="s">
        <v>24</v>
      </c>
      <c r="L30" s="14" t="s">
        <v>78</v>
      </c>
    </row>
    <row r="31" spans="2:21" x14ac:dyDescent="0.3">
      <c r="B31" t="s">
        <v>27</v>
      </c>
      <c r="I31" s="15" cm="1">
        <f t="array" ref="I31">(B27*D27*Tableau115[Cout du kWh])/1000</f>
        <v>250.56</v>
      </c>
      <c r="L31" t="s">
        <v>108</v>
      </c>
      <c r="U31" s="15" cm="1">
        <f t="array" ref="U31">(VLOOKUP(Tableau115[Volume de la piscine m3],Données!$N$23:$O$33,2,0)*(Tableau115[Durée de la saison en mois]*30)*Tableau115[Cout du kWh])/1000</f>
        <v>108</v>
      </c>
    </row>
    <row r="36" spans="2:13" x14ac:dyDescent="0.3">
      <c r="B36" s="14" t="s">
        <v>77</v>
      </c>
    </row>
    <row r="37" spans="2:13" x14ac:dyDescent="0.3">
      <c r="B37" t="s">
        <v>81</v>
      </c>
      <c r="M37" s="15">
        <f>I31-U31</f>
        <v>142.56</v>
      </c>
    </row>
    <row r="39" spans="2:13" x14ac:dyDescent="0.3">
      <c r="F39" t="s">
        <v>82</v>
      </c>
      <c r="G39" s="28">
        <f>(I31-U31)/I31</f>
        <v>0.56896551724137934</v>
      </c>
    </row>
    <row r="40" spans="2:13" x14ac:dyDescent="0.3">
      <c r="G40" s="28"/>
    </row>
  </sheetData>
  <pageMargins left="0.75" right="0.75" top="1" bottom="1" header="0.5" footer="0.5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4:J11"/>
  <sheetViews>
    <sheetView showGridLines="0" showWhiteSpace="0" zoomScaleNormal="100" workbookViewId="0">
      <selection activeCell="H17" sqref="H17"/>
    </sheetView>
  </sheetViews>
  <sheetFormatPr baseColWidth="10" defaultColWidth="8.88671875" defaultRowHeight="14.4" x14ac:dyDescent="0.3"/>
  <cols>
    <col min="1" max="2" width="8.88671875" customWidth="1"/>
    <col min="3" max="3" width="13.44140625" bestFit="1" customWidth="1"/>
    <col min="4" max="4" width="33.109375" bestFit="1" customWidth="1"/>
    <col min="5" max="5" width="17.44140625" bestFit="1" customWidth="1"/>
    <col min="6" max="6" width="29.88671875" bestFit="1" customWidth="1"/>
    <col min="7" max="7" width="26.5546875" bestFit="1" customWidth="1"/>
    <col min="8" max="8" width="40.33203125" customWidth="1"/>
    <col min="9" max="9" width="9.33203125" customWidth="1"/>
    <col min="10" max="10" width="20.21875" bestFit="1" customWidth="1"/>
  </cols>
  <sheetData>
    <row r="4" spans="3:10" ht="45" customHeight="1" x14ac:dyDescent="0.3">
      <c r="C4" s="45" t="s">
        <v>9</v>
      </c>
      <c r="D4" s="45" t="s">
        <v>19</v>
      </c>
      <c r="E4" s="46" t="s">
        <v>76</v>
      </c>
      <c r="F4" s="45" t="s">
        <v>10</v>
      </c>
      <c r="G4" s="45" t="s">
        <v>75</v>
      </c>
    </row>
    <row r="5" spans="3:10" ht="45" customHeight="1" x14ac:dyDescent="0.3">
      <c r="C5" s="44">
        <v>0.23</v>
      </c>
      <c r="D5" s="44">
        <v>60</v>
      </c>
      <c r="E5" s="44">
        <v>1</v>
      </c>
      <c r="F5" s="44">
        <v>12</v>
      </c>
      <c r="G5" s="44">
        <v>6</v>
      </c>
    </row>
    <row r="6" spans="3:10" x14ac:dyDescent="0.3">
      <c r="C6" s="8"/>
      <c r="D6" s="8"/>
      <c r="E6" s="8"/>
      <c r="F6" s="8"/>
      <c r="G6" s="8"/>
    </row>
    <row r="7" spans="3:10" ht="15" thickBot="1" x14ac:dyDescent="0.35"/>
    <row r="8" spans="3:10" ht="45" customHeight="1" x14ac:dyDescent="0.55000000000000004">
      <c r="D8" s="53" t="s">
        <v>83</v>
      </c>
      <c r="E8" s="47">
        <f>'Feuille Calculs Silensor'!G39</f>
        <v>0.68930678466076689</v>
      </c>
      <c r="G8" s="49" t="s">
        <v>109</v>
      </c>
      <c r="H8" s="50"/>
      <c r="I8" s="56" cm="1">
        <f t="array" ref="I8">Tableau1[Volume de la piscine m3]</f>
        <v>60</v>
      </c>
      <c r="J8" s="51" t="s">
        <v>110</v>
      </c>
    </row>
    <row r="9" spans="3:10" ht="45" customHeight="1" thickBot="1" x14ac:dyDescent="0.35">
      <c r="D9" s="54" t="s">
        <v>84</v>
      </c>
      <c r="E9" s="48">
        <f>'Feuille Calculs Silensor'!M37</f>
        <v>386.9658</v>
      </c>
      <c r="G9" s="52" t="str" cm="1">
        <f t="array" ref="G9">VLOOKUP(Tableau1[Volume de la piscine m3],Photos!$E$6:$F$16,2,0)</f>
        <v>SP200BT</v>
      </c>
    </row>
    <row r="10" spans="3:10" ht="105" customHeight="1" x14ac:dyDescent="0.3">
      <c r="G10" t="e" cm="1" vm="4">
        <f t="array" ref="G10">VLOOKUP(Tableau1[Volume de la piscine m3],Photos!$B$6:$C$16,2,0)</f>
        <v>#VALUE!</v>
      </c>
    </row>
    <row r="11" spans="3:10" ht="14.4" customHeight="1" x14ac:dyDescent="0.3"/>
  </sheetData>
  <phoneticPr fontId="5" type="noConversion"/>
  <dataValidations count="1">
    <dataValidation type="decimal" allowBlank="1" showInputMessage="1" showErrorMessage="1" sqref="C5" xr:uid="{A4811D6F-F5FE-420A-B296-341C0054C3CF}">
      <formula1>0</formula1>
      <formula2>2</formula2>
    </dataValidation>
  </dataValidations>
  <pageMargins left="0.75" right="0.75" top="1" bottom="1" header="0.5" footer="0.5"/>
  <pageSetup paperSize="9" scale="30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showInputMessage="1" showErrorMessage="1" xr:uid="{4E70E8FE-BF13-47DD-94A9-E78FC156D48D}">
          <x14:formula1>
            <xm:f>Données!C$5:C$8</xm:f>
          </x14:formula1>
          <xm:sqref>E5</xm:sqref>
        </x14:dataValidation>
        <x14:dataValidation type="list" showInputMessage="1" showErrorMessage="1" xr:uid="{F3ACEA77-1E3E-4844-BB55-2D03A7CAA9D4}">
          <x14:formula1>
            <xm:f>Données!L$4:L$14</xm:f>
          </x14:formula1>
          <xm:sqref>D5</xm:sqref>
        </x14:dataValidation>
        <x14:dataValidation type="list" showInputMessage="1" showErrorMessage="1" xr:uid="{6EFDABC1-D697-4846-BA85-B80CF5CD643F}">
          <x14:formula1>
            <xm:f>Données!H$4:H$20</xm:f>
          </x14:formula1>
          <xm:sqref>F5</xm:sqref>
        </x14:dataValidation>
        <x14:dataValidation type="list" showInputMessage="1" showErrorMessage="1" xr:uid="{EA3E0059-14A9-4953-B4D0-898B99510BC5}">
          <x14:formula1>
            <xm:f>Données!J$4:J$15</xm:f>
          </x14:formula1>
          <xm:sqref>G5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BC3F0-82BB-411A-9129-97E646E0B3CB}">
  <dimension ref="C4:J12"/>
  <sheetViews>
    <sheetView showGridLines="0" tabSelected="1" showWhiteSpace="0" zoomScaleNormal="100" workbookViewId="0">
      <selection activeCell="H12" sqref="H12"/>
    </sheetView>
  </sheetViews>
  <sheetFormatPr baseColWidth="10" defaultColWidth="8.88671875" defaultRowHeight="14.4" x14ac:dyDescent="0.3"/>
  <cols>
    <col min="1" max="2" width="8.88671875" style="35" customWidth="1"/>
    <col min="3" max="3" width="13.44140625" style="35" bestFit="1" customWidth="1"/>
    <col min="4" max="4" width="33.109375" style="35" bestFit="1" customWidth="1"/>
    <col min="5" max="5" width="17.44140625" style="35" bestFit="1" customWidth="1"/>
    <col min="6" max="6" width="29.88671875" style="35" bestFit="1" customWidth="1"/>
    <col min="7" max="7" width="26.5546875" style="35" customWidth="1"/>
    <col min="8" max="8" width="39.21875" style="35" customWidth="1"/>
    <col min="9" max="10" width="6.88671875" style="35" bestFit="1" customWidth="1"/>
    <col min="11" max="11" width="20.21875" style="35" bestFit="1" customWidth="1"/>
    <col min="12" max="16384" width="8.88671875" style="35"/>
  </cols>
  <sheetData>
    <row r="4" spans="3:10" ht="45" customHeight="1" x14ac:dyDescent="0.3">
      <c r="C4" s="45" t="s">
        <v>9</v>
      </c>
      <c r="D4" s="45" t="s">
        <v>19</v>
      </c>
      <c r="E4" s="46" t="s">
        <v>76</v>
      </c>
      <c r="F4" s="45" t="s">
        <v>10</v>
      </c>
      <c r="G4" s="45" t="s">
        <v>75</v>
      </c>
    </row>
    <row r="5" spans="3:10" ht="45" customHeight="1" x14ac:dyDescent="0.3">
      <c r="C5" s="55">
        <v>0.24</v>
      </c>
      <c r="D5" s="55">
        <v>30</v>
      </c>
      <c r="E5" s="55">
        <v>1</v>
      </c>
      <c r="F5" s="55">
        <v>8</v>
      </c>
      <c r="G5" s="55">
        <v>5</v>
      </c>
    </row>
    <row r="6" spans="3:10" x14ac:dyDescent="0.3">
      <c r="C6" s="36"/>
      <c r="D6" s="36"/>
      <c r="E6" s="36"/>
      <c r="F6" s="36"/>
      <c r="G6" s="36"/>
    </row>
    <row r="7" spans="3:10" ht="15" thickBot="1" x14ac:dyDescent="0.35"/>
    <row r="8" spans="3:10" ht="45" customHeight="1" x14ac:dyDescent="0.55000000000000004">
      <c r="D8" s="53" t="s">
        <v>83</v>
      </c>
      <c r="E8" s="47">
        <f>'Feuille Calculs StarFlo VS'!G39</f>
        <v>0.56896551724137934</v>
      </c>
      <c r="G8" s="49" t="s">
        <v>109</v>
      </c>
      <c r="I8" s="56" cm="1">
        <f t="array" ref="I8">Tableau115[Volume de la piscine m3]</f>
        <v>30</v>
      </c>
      <c r="J8" s="51" t="s">
        <v>110</v>
      </c>
    </row>
    <row r="9" spans="3:10" ht="45" customHeight="1" thickBot="1" x14ac:dyDescent="0.35">
      <c r="D9" s="54" t="s">
        <v>84</v>
      </c>
      <c r="E9" s="48">
        <f>'Feuille Calculs StarFlo VS'!M37</f>
        <v>142.56</v>
      </c>
      <c r="G9" s="52" t="str" cm="1">
        <f t="array" ref="G9">VLOOKUP(Tableau115[Volume de la piscine m3],Photos!$E$19:$F$29,2,0)</f>
        <v>DSF250VS</v>
      </c>
      <c r="H9"/>
      <c r="I9"/>
      <c r="J9"/>
    </row>
    <row r="10" spans="3:10" ht="102.6" customHeight="1" x14ac:dyDescent="0.3">
      <c r="G10" s="43" t="e" cm="1" vm="5">
        <f t="array" ref="G10">VLOOKUP(Tableau115[Volume de la piscine m3],Photos!$B$19:$C$29,2,0)</f>
        <v>#VALUE!</v>
      </c>
    </row>
    <row r="11" spans="3:10" ht="48" customHeight="1" x14ac:dyDescent="0.3"/>
    <row r="12" spans="3:10" ht="133.80000000000001" customHeight="1" x14ac:dyDescent="0.3"/>
  </sheetData>
  <sheetProtection sort="0" autoFilter="0" pivotTables="0"/>
  <dataValidations count="1">
    <dataValidation type="decimal" allowBlank="1" showInputMessage="1" showErrorMessage="1" sqref="C5" xr:uid="{700C3C70-7CFB-43BE-ABBE-0B75477DBCF2}">
      <formula1>0</formula1>
      <formula2>2</formula2>
    </dataValidation>
  </dataValidations>
  <pageMargins left="0.75" right="0.75" top="1" bottom="1" header="0.5" footer="0.5"/>
  <pageSetup paperSize="9" scale="30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showInputMessage="1" showErrorMessage="1" xr:uid="{8F89AB58-61CA-49B5-BB22-E7FD30F0D9CB}">
          <x14:formula1>
            <xm:f>Données!$C$12:$C$16</xm:f>
          </x14:formula1>
          <xm:sqref>E5</xm:sqref>
        </x14:dataValidation>
        <x14:dataValidation type="list" showInputMessage="1" showErrorMessage="1" xr:uid="{7AE0DC11-8F6E-4CAF-831A-E27C7FDD9140}">
          <x14:formula1>
            <xm:f>Données!J$4:J$15</xm:f>
          </x14:formula1>
          <xm:sqref>G5</xm:sqref>
        </x14:dataValidation>
        <x14:dataValidation type="list" showInputMessage="1" showErrorMessage="1" xr:uid="{BE7FC677-B77B-4CBE-87F5-487435240503}">
          <x14:formula1>
            <xm:f>Données!H$4:H$20</xm:f>
          </x14:formula1>
          <xm:sqref>F5</xm:sqref>
        </x14:dataValidation>
        <x14:dataValidation type="list" showInputMessage="1" showErrorMessage="1" xr:uid="{8E42CAB6-64E2-44FF-8BB2-E98277035C33}">
          <x14:formula1>
            <xm:f>Données!L$4:L$14</xm:f>
          </x14:formula1>
          <xm:sqref>D5</xm:sqref>
        </x14:dataValidation>
      </x14:dataValidations>
    </ext>
  </extLst>
</worksheet>
</file>

<file path=docMetadata/LabelInfo.xml><?xml version="1.0" encoding="utf-8"?>
<clbl:labelList xmlns:clbl="http://schemas.microsoft.com/office/2020/mipLabelMetadata">
  <clbl:label id="{ea5cd7eb-20f6-421f-86e5-fd7431334de1}" enabled="0" method="" siteId="{ea5cd7eb-20f6-421f-86e5-fd7431334de1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8</vt:i4>
      </vt:variant>
      <vt:variant>
        <vt:lpstr>Plages nommées</vt:lpstr>
      </vt:variant>
      <vt:variant>
        <vt:i4>2</vt:i4>
      </vt:variant>
    </vt:vector>
  </HeadingPairs>
  <TitlesOfParts>
    <vt:vector size="10" baseType="lpstr">
      <vt:lpstr>Photos</vt:lpstr>
      <vt:lpstr>Données</vt:lpstr>
      <vt:lpstr>Tableaux Filtration SilensorPro</vt:lpstr>
      <vt:lpstr>Tableaux Filtration StarFlo VS</vt:lpstr>
      <vt:lpstr>Feuille Calculs Silensor</vt:lpstr>
      <vt:lpstr>Feuille Calculs StarFlo VS</vt:lpstr>
      <vt:lpstr>Calculateur SLL vs SP</vt:lpstr>
      <vt:lpstr>Calculateur StarFlo-StarFloVS</vt:lpstr>
      <vt:lpstr>'Calculateur SLL vs SP'!Zone_d_impression</vt:lpstr>
      <vt:lpstr>'Calculateur StarFlo-StarFloVS'!Zone_d_impression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Rabih Mohsen</cp:lastModifiedBy>
  <dcterms:created xsi:type="dcterms:W3CDTF">2024-12-05T09:31:05Z</dcterms:created>
  <dcterms:modified xsi:type="dcterms:W3CDTF">2024-12-13T12:26:05Z</dcterms:modified>
</cp:coreProperties>
</file>