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All My Stuff/Home Page 2002/pc/implprem/"/>
    </mc:Choice>
  </mc:AlternateContent>
  <xr:revisionPtr revIDLastSave="0" documentId="13_ncr:1_{96B51FB9-7081-5E44-92B9-3E431CD09464}" xr6:coauthVersionLast="43" xr6:coauthVersionMax="43" xr10:uidLastSave="{00000000-0000-0000-0000-000000000000}"/>
  <bookViews>
    <workbookView xWindow="-360" yWindow="520" windowWidth="31600" windowHeight="18800" xr2:uid="{00000000-000D-0000-FFFF-FFFF00000000}"/>
  </bookViews>
  <sheets>
    <sheet name="Impl premium calculator" sheetId="1" r:id="rId1"/>
    <sheet name="Buyback &amp; Dividend computation" sheetId="2" r:id="rId2"/>
    <sheet name="Implied ERP- Annual since 1960" sheetId="5" r:id="rId3"/>
    <sheet name="Implied ERP (Monthly from 9-08)" sheetId="4" r:id="rId4"/>
    <sheet name="Expected growth rate" sheetId="3" r:id="rId5"/>
    <sheet name="Historical ERP" sheetId="6" r:id="rId6"/>
    <sheet name="T.Bond vs Nominal growth" sheetId="7" r:id="rId7"/>
    <sheet name="S&amp;P 500 Monthly Data (Cap IQ)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0" hidden="1">'Impl premium calculator'!$C$39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'Impl premium calculator'!$B$47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1606.28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2" l="1"/>
  <c r="E73" i="2"/>
  <c r="D73" i="2"/>
  <c r="C73" i="2"/>
  <c r="B73" i="2"/>
  <c r="U49" i="8"/>
  <c r="T49" i="8"/>
  <c r="S49" i="8"/>
  <c r="R49" i="8"/>
  <c r="O49" i="8"/>
  <c r="L49" i="8"/>
  <c r="I49" i="8"/>
  <c r="Q49" i="8"/>
  <c r="N49" i="8"/>
  <c r="D49" i="8"/>
  <c r="H49" i="8" s="1"/>
  <c r="P49" i="8" s="1"/>
  <c r="M49" i="8"/>
  <c r="J49" i="8"/>
  <c r="K49" i="8"/>
  <c r="J48" i="8" l="1"/>
  <c r="M48" i="8" s="1"/>
  <c r="I48" i="8"/>
  <c r="H48" i="8"/>
  <c r="N48" i="8" l="1"/>
  <c r="O48" i="8"/>
  <c r="P48" i="8"/>
  <c r="Q48" i="8"/>
  <c r="K48" i="8"/>
  <c r="L48" i="8"/>
  <c r="L6" i="3"/>
  <c r="P8" i="3"/>
  <c r="P6" i="3" s="1"/>
  <c r="P7" i="3" s="1"/>
  <c r="L8" i="3"/>
  <c r="L7" i="3" s="1"/>
  <c r="T48" i="8" l="1"/>
  <c r="S48" i="8"/>
  <c r="R48" i="8"/>
  <c r="U48" i="8"/>
  <c r="B61" i="2"/>
  <c r="O44" i="2"/>
  <c r="N43" i="2"/>
  <c r="Q43" i="2"/>
  <c r="G19" i="2"/>
  <c r="F19" i="2"/>
  <c r="E19" i="2"/>
  <c r="I43" i="2"/>
  <c r="J43" i="2"/>
  <c r="K43" i="2"/>
  <c r="D19" i="2"/>
  <c r="C19" i="2"/>
  <c r="B19" i="2"/>
  <c r="O46" i="8"/>
  <c r="N46" i="8"/>
  <c r="J46" i="8"/>
  <c r="M46" i="8" s="1"/>
  <c r="I46" i="8"/>
  <c r="H46" i="8"/>
  <c r="D46" i="8"/>
  <c r="G43" i="2"/>
  <c r="H43" i="2"/>
  <c r="L43" i="2"/>
  <c r="G42" i="2"/>
  <c r="E47" i="2"/>
  <c r="K46" i="8"/>
  <c r="L46" i="8"/>
  <c r="S46" i="8" s="1"/>
  <c r="G5" i="3"/>
  <c r="G4" i="3"/>
  <c r="N45" i="8"/>
  <c r="K45" i="8"/>
  <c r="J45" i="8"/>
  <c r="M45" i="8"/>
  <c r="U44" i="8"/>
  <c r="I45" i="8"/>
  <c r="H45" i="8"/>
  <c r="D45" i="8"/>
  <c r="O45" i="8"/>
  <c r="P45" i="8"/>
  <c r="Q45" i="8"/>
  <c r="L45" i="8"/>
  <c r="O44" i="8"/>
  <c r="N44" i="8"/>
  <c r="M44" i="8"/>
  <c r="J44" i="8"/>
  <c r="I44" i="8"/>
  <c r="D44" i="8"/>
  <c r="H44" i="8"/>
  <c r="P44" i="8"/>
  <c r="T44" i="8"/>
  <c r="S45" i="8"/>
  <c r="R45" i="8"/>
  <c r="U45" i="8"/>
  <c r="T45" i="8"/>
  <c r="L44" i="8"/>
  <c r="R44" i="8"/>
  <c r="Q44" i="8"/>
  <c r="K44" i="8"/>
  <c r="S44" i="8"/>
  <c r="G23" i="1"/>
  <c r="G22" i="1"/>
  <c r="G21" i="1"/>
  <c r="I23" i="3"/>
  <c r="H13" i="3"/>
  <c r="H14" i="3"/>
  <c r="H15" i="3"/>
  <c r="H16" i="3" s="1"/>
  <c r="H17" i="3" s="1"/>
  <c r="H18" i="3" s="1"/>
  <c r="H19" i="3" s="1"/>
  <c r="H20" i="3" s="1"/>
  <c r="H21" i="3" s="1"/>
  <c r="H22" i="3" s="1"/>
  <c r="H23" i="3" s="1"/>
  <c r="J23" i="3" s="1"/>
  <c r="P5" i="3"/>
  <c r="J43" i="8"/>
  <c r="L43" i="8"/>
  <c r="I43" i="8"/>
  <c r="D43" i="8"/>
  <c r="H43" i="8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P43" i="8"/>
  <c r="T43" i="8"/>
  <c r="Q43" i="8"/>
  <c r="M43" i="8"/>
  <c r="N43" i="8"/>
  <c r="O43" i="8"/>
  <c r="R43" i="8"/>
  <c r="K43" i="8"/>
  <c r="S43" i="8"/>
  <c r="U43" i="8"/>
  <c r="J42" i="8"/>
  <c r="N42" i="8"/>
  <c r="I42" i="8"/>
  <c r="D42" i="8"/>
  <c r="H42" i="8"/>
  <c r="P42" i="8"/>
  <c r="M42" i="8"/>
  <c r="L42" i="8"/>
  <c r="R42" i="8"/>
  <c r="O42" i="8"/>
  <c r="T42" i="8"/>
  <c r="K42" i="8"/>
  <c r="S42" i="8"/>
  <c r="Q42" i="8"/>
  <c r="U42" i="8"/>
  <c r="J40" i="8"/>
  <c r="E45" i="2"/>
  <c r="I40" i="8"/>
  <c r="Q40" i="8"/>
  <c r="D40" i="8"/>
  <c r="H40" i="8"/>
  <c r="D69" i="2"/>
  <c r="E44" i="2" s="1"/>
  <c r="C69" i="2"/>
  <c r="D44" i="2" s="1"/>
  <c r="B69" i="2"/>
  <c r="C44" i="2" s="1"/>
  <c r="L39" i="8"/>
  <c r="J39" i="8"/>
  <c r="N39" i="8"/>
  <c r="I39" i="8"/>
  <c r="H39" i="8"/>
  <c r="J38" i="8"/>
  <c r="O38" i="8"/>
  <c r="M38" i="8"/>
  <c r="I38" i="8"/>
  <c r="Q38" i="8"/>
  <c r="U38" i="8"/>
  <c r="H38" i="8"/>
  <c r="J37" i="8"/>
  <c r="O37" i="8"/>
  <c r="H37" i="8"/>
  <c r="I37" i="8"/>
  <c r="F119" i="4"/>
  <c r="E119" i="4"/>
  <c r="D119" i="4"/>
  <c r="J36" i="8"/>
  <c r="M36" i="8"/>
  <c r="D36" i="8"/>
  <c r="H36" i="8"/>
  <c r="I36" i="8"/>
  <c r="Q36" i="8"/>
  <c r="J35" i="8"/>
  <c r="K35" i="8"/>
  <c r="I35" i="8"/>
  <c r="D35" i="8"/>
  <c r="H35" i="8"/>
  <c r="F57" i="2"/>
  <c r="D57" i="2"/>
  <c r="E57" i="2"/>
  <c r="E33" i="2"/>
  <c r="J33" i="2"/>
  <c r="C9" i="2"/>
  <c r="G57" i="2"/>
  <c r="F56" i="2"/>
  <c r="D56" i="2"/>
  <c r="E56" i="2"/>
  <c r="G56" i="2"/>
  <c r="D55" i="2"/>
  <c r="E55" i="2"/>
  <c r="F54" i="2"/>
  <c r="E54" i="2"/>
  <c r="G54" i="2"/>
  <c r="E36" i="2"/>
  <c r="G53" i="2"/>
  <c r="E53" i="2"/>
  <c r="E14" i="2"/>
  <c r="F51" i="2"/>
  <c r="E51" i="2"/>
  <c r="G51" i="2"/>
  <c r="E39" i="2"/>
  <c r="E16" i="2"/>
  <c r="E17" i="2"/>
  <c r="E18" i="2"/>
  <c r="E48" i="2"/>
  <c r="N42" i="2"/>
  <c r="L42" i="2"/>
  <c r="G18" i="2"/>
  <c r="F18" i="2"/>
  <c r="J34" i="8"/>
  <c r="N34" i="8"/>
  <c r="I34" i="8"/>
  <c r="D34" i="8"/>
  <c r="H34" i="8"/>
  <c r="J42" i="2"/>
  <c r="C18" i="2"/>
  <c r="I42" i="2"/>
  <c r="B18" i="2"/>
  <c r="J33" i="8"/>
  <c r="M33" i="8"/>
  <c r="I33" i="8"/>
  <c r="D33" i="8"/>
  <c r="H33" i="8"/>
  <c r="P33" i="8"/>
  <c r="J32" i="8"/>
  <c r="O32" i="8"/>
  <c r="I32" i="8"/>
  <c r="D32" i="8"/>
  <c r="H32" i="8"/>
  <c r="G19" i="1"/>
  <c r="E49" i="2"/>
  <c r="P4" i="3"/>
  <c r="L4" i="3"/>
  <c r="L5" i="3"/>
  <c r="B11" i="1"/>
  <c r="G14" i="2"/>
  <c r="G15" i="2"/>
  <c r="G16" i="2"/>
  <c r="G17" i="2"/>
  <c r="F14" i="2"/>
  <c r="F15" i="2"/>
  <c r="F16" i="2"/>
  <c r="F17" i="2"/>
  <c r="G9" i="2"/>
  <c r="G10" i="2"/>
  <c r="G11" i="2"/>
  <c r="G12" i="2"/>
  <c r="G13" i="2"/>
  <c r="F9" i="2"/>
  <c r="F10" i="2"/>
  <c r="F11" i="2"/>
  <c r="F12" i="2"/>
  <c r="F13" i="2"/>
  <c r="I38" i="2"/>
  <c r="B14" i="2"/>
  <c r="J38" i="2"/>
  <c r="C14" i="2"/>
  <c r="I40" i="2"/>
  <c r="J40" i="2"/>
  <c r="C16" i="2"/>
  <c r="I41" i="2"/>
  <c r="J41" i="2"/>
  <c r="C17" i="2"/>
  <c r="B44" i="2"/>
  <c r="I37" i="2"/>
  <c r="B13" i="2"/>
  <c r="J31" i="8"/>
  <c r="I31" i="8"/>
  <c r="H31" i="8"/>
  <c r="P31" i="8"/>
  <c r="E113" i="4"/>
  <c r="D113" i="4"/>
  <c r="J30" i="8"/>
  <c r="O30" i="8"/>
  <c r="I30" i="8"/>
  <c r="H30" i="8"/>
  <c r="P30" i="8"/>
  <c r="J29" i="8"/>
  <c r="D29" i="8"/>
  <c r="H29" i="8"/>
  <c r="P29" i="8"/>
  <c r="I29" i="8"/>
  <c r="Q29" i="8"/>
  <c r="J28" i="8"/>
  <c r="I28" i="8"/>
  <c r="D28" i="8"/>
  <c r="H28" i="8"/>
  <c r="J27" i="8"/>
  <c r="N27" i="8"/>
  <c r="I27" i="8"/>
  <c r="H27" i="8"/>
  <c r="J26" i="8"/>
  <c r="O26" i="8"/>
  <c r="I26" i="8"/>
  <c r="Q26" i="8"/>
  <c r="H26" i="8"/>
  <c r="J25" i="8"/>
  <c r="I25" i="8"/>
  <c r="D25" i="8"/>
  <c r="H25" i="8"/>
  <c r="B12" i="1"/>
  <c r="J24" i="8"/>
  <c r="L24" i="8"/>
  <c r="I24" i="8"/>
  <c r="Q24" i="8"/>
  <c r="H24" i="8"/>
  <c r="N24" i="8"/>
  <c r="N41" i="2"/>
  <c r="G41" i="2"/>
  <c r="L41" i="2"/>
  <c r="J22" i="8"/>
  <c r="I22" i="8"/>
  <c r="D22" i="8"/>
  <c r="H22" i="8"/>
  <c r="J90" i="6"/>
  <c r="J8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E91" i="6"/>
  <c r="G91" i="6"/>
  <c r="I91" i="6"/>
  <c r="H91" i="6"/>
  <c r="F91" i="6"/>
  <c r="J20" i="8"/>
  <c r="K20" i="8"/>
  <c r="I20" i="8"/>
  <c r="D20" i="8"/>
  <c r="H20" i="8"/>
  <c r="P20" i="8"/>
  <c r="J19" i="8"/>
  <c r="I19" i="8"/>
  <c r="D19" i="8"/>
  <c r="D32" i="2"/>
  <c r="E32" i="2"/>
  <c r="F8" i="2"/>
  <c r="G8" i="2"/>
  <c r="J18" i="8"/>
  <c r="I18" i="8"/>
  <c r="D18" i="8"/>
  <c r="H18" i="8"/>
  <c r="J17" i="8"/>
  <c r="M17" i="8"/>
  <c r="I17" i="8"/>
  <c r="H17" i="8"/>
  <c r="J16" i="8"/>
  <c r="L16" i="8"/>
  <c r="I16" i="8"/>
  <c r="H16" i="8"/>
  <c r="J15" i="8"/>
  <c r="O15" i="8"/>
  <c r="D15" i="8"/>
  <c r="H15" i="8"/>
  <c r="I15" i="8"/>
  <c r="Q15" i="8"/>
  <c r="U15" i="8"/>
  <c r="J14" i="8"/>
  <c r="O14" i="8"/>
  <c r="I14" i="8"/>
  <c r="D14" i="8"/>
  <c r="E50" i="2"/>
  <c r="D31" i="2"/>
  <c r="E31" i="2"/>
  <c r="J13" i="8"/>
  <c r="K13" i="8"/>
  <c r="D13" i="8"/>
  <c r="H13" i="8"/>
  <c r="P13" i="8"/>
  <c r="I13" i="8"/>
  <c r="N40" i="2"/>
  <c r="G40" i="2"/>
  <c r="H40" i="2"/>
  <c r="L40" i="2"/>
  <c r="G7" i="2"/>
  <c r="F7" i="2"/>
  <c r="D7" i="2"/>
  <c r="J12" i="8"/>
  <c r="M12" i="8"/>
  <c r="I12" i="8"/>
  <c r="Q12" i="8"/>
  <c r="D12" i="8"/>
  <c r="H12" i="8"/>
  <c r="J11" i="8"/>
  <c r="I11" i="8"/>
  <c r="D11" i="8"/>
  <c r="H11" i="8"/>
  <c r="J10" i="8"/>
  <c r="M10" i="8"/>
  <c r="I10" i="8"/>
  <c r="H10" i="8"/>
  <c r="J9" i="8"/>
  <c r="O9" i="8"/>
  <c r="I9" i="8"/>
  <c r="D9" i="8"/>
  <c r="H9" i="8"/>
  <c r="B41" i="1"/>
  <c r="H41" i="1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J8" i="8"/>
  <c r="M8" i="8"/>
  <c r="I8" i="8"/>
  <c r="D8" i="8"/>
  <c r="H8" i="8"/>
  <c r="H39" i="2"/>
  <c r="L39" i="2"/>
  <c r="J7" i="8"/>
  <c r="M7" i="8"/>
  <c r="D7" i="8"/>
  <c r="I7" i="8"/>
  <c r="J6" i="8"/>
  <c r="M6" i="8"/>
  <c r="D6" i="8"/>
  <c r="H6" i="8"/>
  <c r="I6" i="8"/>
  <c r="J5" i="8"/>
  <c r="L5" i="8"/>
  <c r="I5" i="8"/>
  <c r="H5" i="8"/>
  <c r="D4" i="8"/>
  <c r="I4" i="8"/>
  <c r="Q4" i="8"/>
  <c r="J4" i="8"/>
  <c r="M4" i="8"/>
  <c r="F6" i="2"/>
  <c r="G6" i="2"/>
  <c r="D29" i="2"/>
  <c r="E29" i="2"/>
  <c r="D30" i="2"/>
  <c r="E30" i="2"/>
  <c r="D6" i="2"/>
  <c r="G52" i="2"/>
  <c r="F52" i="2"/>
  <c r="E52" i="2"/>
  <c r="E31" i="4"/>
  <c r="E32" i="4"/>
  <c r="E29" i="4"/>
  <c r="G5" i="2"/>
  <c r="F5" i="2"/>
  <c r="D5" i="2"/>
  <c r="D27" i="2"/>
  <c r="E27" i="2"/>
  <c r="D28" i="2"/>
  <c r="E28" i="2"/>
  <c r="I88" i="6"/>
  <c r="H88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E29" i="7"/>
  <c r="E30" i="7"/>
  <c r="G28" i="7"/>
  <c r="F30" i="7"/>
  <c r="E31" i="7"/>
  <c r="F31" i="7"/>
  <c r="E32" i="7"/>
  <c r="F32" i="7"/>
  <c r="E33" i="7"/>
  <c r="E34" i="7"/>
  <c r="E35" i="7"/>
  <c r="E36" i="7"/>
  <c r="F36" i="7"/>
  <c r="E37" i="7"/>
  <c r="F37" i="7"/>
  <c r="E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E46" i="7"/>
  <c r="F46" i="7"/>
  <c r="E47" i="7"/>
  <c r="F47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E56" i="7"/>
  <c r="F56" i="7"/>
  <c r="E57" i="7"/>
  <c r="F57" i="7"/>
  <c r="E58" i="7"/>
  <c r="F58" i="7"/>
  <c r="E59" i="7"/>
  <c r="F59" i="7"/>
  <c r="E60" i="7"/>
  <c r="F60" i="7"/>
  <c r="F34" i="7"/>
  <c r="F35" i="7"/>
  <c r="F45" i="7"/>
  <c r="E2" i="7"/>
  <c r="E3" i="7"/>
  <c r="E4" i="7"/>
  <c r="E5" i="7"/>
  <c r="F5" i="7"/>
  <c r="E6" i="7"/>
  <c r="F6" i="7"/>
  <c r="E7" i="7"/>
  <c r="F7" i="7"/>
  <c r="E8" i="7"/>
  <c r="F8" i="7"/>
  <c r="E9" i="7"/>
  <c r="E10" i="7"/>
  <c r="E11" i="7"/>
  <c r="F11" i="7"/>
  <c r="E12" i="7"/>
  <c r="F12" i="7"/>
  <c r="E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E21" i="7"/>
  <c r="F21" i="7"/>
  <c r="E22" i="7"/>
  <c r="F22" i="7"/>
  <c r="E23" i="7"/>
  <c r="F23" i="7"/>
  <c r="E24" i="7"/>
  <c r="F24" i="7"/>
  <c r="E25" i="7"/>
  <c r="E26" i="7"/>
  <c r="F26" i="7"/>
  <c r="E27" i="7"/>
  <c r="F27" i="7"/>
  <c r="E28" i="7"/>
  <c r="F28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B4" i="3"/>
  <c r="B8" i="3"/>
  <c r="G8" i="3" s="1"/>
  <c r="G6" i="3" s="1"/>
  <c r="B5" i="3"/>
  <c r="B6" i="3" s="1"/>
  <c r="B7" i="3" s="1"/>
  <c r="G32" i="4"/>
  <c r="G2" i="2"/>
  <c r="G3" i="2"/>
  <c r="G4" i="2"/>
  <c r="F2" i="2"/>
  <c r="F3" i="2"/>
  <c r="F4" i="2"/>
  <c r="D26" i="2"/>
  <c r="E26" i="2"/>
  <c r="F53" i="2"/>
  <c r="D4" i="2"/>
  <c r="D3" i="2"/>
  <c r="D59" i="2"/>
  <c r="E59" i="2"/>
  <c r="D58" i="2"/>
  <c r="E58" i="2"/>
  <c r="G58" i="2"/>
  <c r="F58" i="2"/>
  <c r="D2" i="2"/>
  <c r="C6" i="2"/>
  <c r="B6" i="2"/>
  <c r="C5" i="2"/>
  <c r="B5" i="2"/>
  <c r="C4" i="2"/>
  <c r="B4" i="2"/>
  <c r="C3" i="2"/>
  <c r="B3" i="2"/>
  <c r="C2" i="2"/>
  <c r="B8" i="2"/>
  <c r="C8" i="2"/>
  <c r="B7" i="2"/>
  <c r="C7" i="2"/>
  <c r="B2" i="2"/>
  <c r="K32" i="8"/>
  <c r="N22" i="8"/>
  <c r="M22" i="8"/>
  <c r="O22" i="8"/>
  <c r="O8" i="8"/>
  <c r="N30" i="8"/>
  <c r="L30" i="8"/>
  <c r="O7" i="8"/>
  <c r="F2" i="7"/>
  <c r="M29" i="8"/>
  <c r="N29" i="8"/>
  <c r="O29" i="8"/>
  <c r="K29" i="8"/>
  <c r="L29" i="8"/>
  <c r="L15" i="8"/>
  <c r="R15" i="8"/>
  <c r="K15" i="8"/>
  <c r="O31" i="8"/>
  <c r="N31" i="8"/>
  <c r="M31" i="8"/>
  <c r="N7" i="8"/>
  <c r="Q25" i="8"/>
  <c r="K25" i="8"/>
  <c r="O25" i="8"/>
  <c r="K31" i="8"/>
  <c r="O10" i="8"/>
  <c r="M20" i="8"/>
  <c r="K26" i="8"/>
  <c r="L31" i="8"/>
  <c r="K7" i="8"/>
  <c r="M24" i="8"/>
  <c r="N26" i="8"/>
  <c r="M19" i="8"/>
  <c r="Q30" i="8"/>
  <c r="Q33" i="8"/>
  <c r="M30" i="8"/>
  <c r="N19" i="8"/>
  <c r="K24" i="8"/>
  <c r="K19" i="8"/>
  <c r="L20" i="8"/>
  <c r="S20" i="8"/>
  <c r="L33" i="8"/>
  <c r="K33" i="8"/>
  <c r="O19" i="8"/>
  <c r="O20" i="8"/>
  <c r="P27" i="8"/>
  <c r="K34" i="8"/>
  <c r="L34" i="8"/>
  <c r="N16" i="8"/>
  <c r="K18" i="8"/>
  <c r="Q18" i="8"/>
  <c r="O18" i="8"/>
  <c r="U18" i="8"/>
  <c r="M18" i="8"/>
  <c r="F10" i="7"/>
  <c r="M11" i="8"/>
  <c r="N18" i="8"/>
  <c r="N17" i="8"/>
  <c r="L17" i="8"/>
  <c r="O17" i="8"/>
  <c r="K17" i="8"/>
  <c r="L18" i="8"/>
  <c r="N6" i="8"/>
  <c r="H4" i="8"/>
  <c r="K12" i="8"/>
  <c r="F29" i="7"/>
  <c r="K30" i="8"/>
  <c r="Q31" i="8"/>
  <c r="O33" i="8"/>
  <c r="N13" i="8"/>
  <c r="N33" i="8"/>
  <c r="O35" i="8"/>
  <c r="N35" i="8"/>
  <c r="H19" i="8"/>
  <c r="P19" i="8"/>
  <c r="L19" i="8"/>
  <c r="O24" i="8"/>
  <c r="L35" i="8"/>
  <c r="Q13" i="8"/>
  <c r="K42" i="2"/>
  <c r="D18" i="2"/>
  <c r="H7" i="8"/>
  <c r="P7" i="8"/>
  <c r="Q9" i="8"/>
  <c r="P35" i="8"/>
  <c r="E69" i="2"/>
  <c r="O36" i="8"/>
  <c r="C45" i="2"/>
  <c r="F45" i="2"/>
  <c r="F44" i="2" s="1"/>
  <c r="G50" i="7"/>
  <c r="G47" i="7"/>
  <c r="N9" i="8"/>
  <c r="T7" i="8"/>
  <c r="O34" i="8"/>
  <c r="T34" i="8"/>
  <c r="U25" i="8"/>
  <c r="R17" i="8"/>
  <c r="Q34" i="8"/>
  <c r="M32" i="8"/>
  <c r="G55" i="7"/>
  <c r="G40" i="7"/>
  <c r="P18" i="8"/>
  <c r="T18" i="8"/>
  <c r="G8" i="7"/>
  <c r="L32" i="8"/>
  <c r="S32" i="8"/>
  <c r="Q17" i="8"/>
  <c r="U17" i="8"/>
  <c r="N32" i="8"/>
  <c r="K9" i="8"/>
  <c r="J91" i="6"/>
  <c r="G39" i="7"/>
  <c r="P9" i="8"/>
  <c r="T9" i="8"/>
  <c r="T20" i="8"/>
  <c r="P37" i="8"/>
  <c r="T37" i="8"/>
  <c r="Q32" i="8"/>
  <c r="U32" i="8"/>
  <c r="L12" i="8"/>
  <c r="S12" i="8"/>
  <c r="L9" i="8"/>
  <c r="N12" i="8"/>
  <c r="G12" i="7"/>
  <c r="P5" i="8"/>
  <c r="L7" i="8"/>
  <c r="R7" i="8"/>
  <c r="K36" i="8"/>
  <c r="G11" i="7"/>
  <c r="M9" i="8"/>
  <c r="O12" i="8"/>
  <c r="U12" i="8"/>
  <c r="M34" i="8"/>
  <c r="N37" i="8"/>
  <c r="P25" i="8"/>
  <c r="T25" i="8"/>
  <c r="U30" i="8"/>
  <c r="P32" i="8"/>
  <c r="P34" i="8"/>
  <c r="L36" i="8"/>
  <c r="S36" i="8"/>
  <c r="G26" i="2"/>
  <c r="D39" i="2"/>
  <c r="I39" i="2"/>
  <c r="B15" i="2"/>
  <c r="E37" i="2"/>
  <c r="G37" i="2"/>
  <c r="G27" i="2"/>
  <c r="G28" i="2"/>
  <c r="G29" i="2"/>
  <c r="K41" i="2"/>
  <c r="D17" i="2"/>
  <c r="D36" i="2"/>
  <c r="I36" i="2"/>
  <c r="B12" i="2"/>
  <c r="D33" i="2"/>
  <c r="E9" i="2"/>
  <c r="E6" i="2"/>
  <c r="E7" i="2"/>
  <c r="E3" i="2"/>
  <c r="K40" i="2"/>
  <c r="D16" i="2"/>
  <c r="B17" i="2"/>
  <c r="G31" i="2"/>
  <c r="E8" i="2"/>
  <c r="G30" i="2"/>
  <c r="E4" i="2"/>
  <c r="J39" i="2"/>
  <c r="C15" i="2"/>
  <c r="E15" i="2"/>
  <c r="D35" i="2"/>
  <c r="E35" i="2"/>
  <c r="J35" i="2"/>
  <c r="C11" i="2"/>
  <c r="J36" i="2"/>
  <c r="C12" i="2"/>
  <c r="G9" i="7"/>
  <c r="G26" i="7"/>
  <c r="B16" i="2"/>
  <c r="S9" i="8"/>
  <c r="G52" i="7"/>
  <c r="Q22" i="8"/>
  <c r="U22" i="8"/>
  <c r="L28" i="8"/>
  <c r="K38" i="2"/>
  <c r="D14" i="2"/>
  <c r="D34" i="2"/>
  <c r="Q14" i="8"/>
  <c r="U14" i="8"/>
  <c r="Q10" i="8"/>
  <c r="U10" i="8"/>
  <c r="R29" i="8"/>
  <c r="M13" i="8"/>
  <c r="G32" i="2"/>
  <c r="K32" i="2"/>
  <c r="D8" i="2"/>
  <c r="G15" i="7"/>
  <c r="G49" i="7"/>
  <c r="R35" i="8"/>
  <c r="G10" i="7"/>
  <c r="Q20" i="8"/>
  <c r="L8" i="8"/>
  <c r="S8" i="8"/>
  <c r="M14" i="8"/>
  <c r="G7" i="7"/>
  <c r="P11" i="8"/>
  <c r="U26" i="8"/>
  <c r="S30" i="8"/>
  <c r="R12" i="8"/>
  <c r="L4" i="8"/>
  <c r="R20" i="8"/>
  <c r="N4" i="8"/>
  <c r="G13" i="7"/>
  <c r="G6" i="7"/>
  <c r="G43" i="7"/>
  <c r="K6" i="8"/>
  <c r="O4" i="8"/>
  <c r="G16" i="7"/>
  <c r="L10" i="8"/>
  <c r="R10" i="8"/>
  <c r="P24" i="8"/>
  <c r="L25" i="8"/>
  <c r="S25" i="8"/>
  <c r="N25" i="8"/>
  <c r="U31" i="8"/>
  <c r="L22" i="8"/>
  <c r="R22" i="8"/>
  <c r="K14" i="8"/>
  <c r="E5" i="2"/>
  <c r="Q5" i="8"/>
  <c r="Q19" i="8"/>
  <c r="M25" i="8"/>
  <c r="P26" i="8"/>
  <c r="G14" i="7"/>
  <c r="G30" i="7"/>
  <c r="P4" i="8"/>
  <c r="T4" i="8"/>
  <c r="Q6" i="8"/>
  <c r="S17" i="8"/>
  <c r="G37" i="7"/>
  <c r="S33" i="8"/>
  <c r="N14" i="8"/>
  <c r="P8" i="8"/>
  <c r="T8" i="8"/>
  <c r="P10" i="8"/>
  <c r="T10" i="8"/>
  <c r="U40" i="8"/>
  <c r="O6" i="8"/>
  <c r="G19" i="7"/>
  <c r="S34" i="8"/>
  <c r="K8" i="8"/>
  <c r="N8" i="8"/>
  <c r="N10" i="8"/>
  <c r="N20" i="8"/>
  <c r="R25" i="8"/>
  <c r="K10" i="8"/>
  <c r="G42" i="7"/>
  <c r="P6" i="8"/>
  <c r="Q8" i="8"/>
  <c r="U8" i="8"/>
  <c r="L38" i="8"/>
  <c r="R38" i="8"/>
  <c r="N40" i="8"/>
  <c r="E34" i="2"/>
  <c r="J34" i="2"/>
  <c r="C10" i="2"/>
  <c r="K38" i="8"/>
  <c r="O40" i="8"/>
  <c r="G18" i="7"/>
  <c r="Q35" i="8"/>
  <c r="N38" i="8"/>
  <c r="K4" i="8"/>
  <c r="U35" i="8"/>
  <c r="U36" i="8"/>
  <c r="S19" i="8"/>
  <c r="O11" i="8"/>
  <c r="U11" i="8"/>
  <c r="O16" i="8"/>
  <c r="R16" i="8"/>
  <c r="S15" i="8"/>
  <c r="P12" i="8"/>
  <c r="T12" i="8"/>
  <c r="P15" i="8"/>
  <c r="T15" i="8"/>
  <c r="P17" i="8"/>
  <c r="M26" i="8"/>
  <c r="S35" i="8"/>
  <c r="T26" i="8"/>
  <c r="T29" i="8"/>
  <c r="T31" i="8"/>
  <c r="K11" i="8"/>
  <c r="S24" i="8"/>
  <c r="O28" i="8"/>
  <c r="R28" i="8"/>
  <c r="Q11" i="8"/>
  <c r="K28" i="8"/>
  <c r="S28" i="8"/>
  <c r="O5" i="8"/>
  <c r="R5" i="8"/>
  <c r="Q37" i="8"/>
  <c r="U37" i="8"/>
  <c r="O39" i="8"/>
  <c r="U9" i="8"/>
  <c r="T35" i="8"/>
  <c r="Q28" i="8"/>
  <c r="T33" i="8"/>
  <c r="L11" i="8"/>
  <c r="S29" i="8"/>
  <c r="L13" i="8"/>
  <c r="S13" i="8"/>
  <c r="M15" i="8"/>
  <c r="P16" i="8"/>
  <c r="T16" i="8"/>
  <c r="N28" i="8"/>
  <c r="R9" i="8"/>
  <c r="N11" i="8"/>
  <c r="Q16" i="8"/>
  <c r="U16" i="8"/>
  <c r="R24" i="8"/>
  <c r="L6" i="8"/>
  <c r="M16" i="8"/>
  <c r="U20" i="8"/>
  <c r="T19" i="8"/>
  <c r="T24" i="8"/>
  <c r="N5" i="8"/>
  <c r="N15" i="8"/>
  <c r="P28" i="8"/>
  <c r="M35" i="8"/>
  <c r="K37" i="8"/>
  <c r="U24" i="8"/>
  <c r="U6" i="8"/>
  <c r="K16" i="8"/>
  <c r="S16" i="8"/>
  <c r="M28" i="8"/>
  <c r="U29" i="8"/>
  <c r="T32" i="8"/>
  <c r="K5" i="8"/>
  <c r="S5" i="8"/>
  <c r="Q39" i="8"/>
  <c r="J35" i="6"/>
  <c r="E36" i="6"/>
  <c r="L14" i="8"/>
  <c r="H14" i="8"/>
  <c r="P14" i="8"/>
  <c r="T14" i="8"/>
  <c r="E2" i="2"/>
  <c r="I33" i="2"/>
  <c r="E63" i="7"/>
  <c r="F48" i="7"/>
  <c r="G45" i="7"/>
  <c r="G44" i="7"/>
  <c r="G46" i="7"/>
  <c r="G48" i="7"/>
  <c r="U33" i="8"/>
  <c r="F25" i="7"/>
  <c r="G25" i="7"/>
  <c r="G24" i="7"/>
  <c r="G21" i="7"/>
  <c r="R19" i="8"/>
  <c r="R31" i="8"/>
  <c r="S31" i="8"/>
  <c r="F33" i="7"/>
  <c r="G29" i="7"/>
  <c r="G33" i="7"/>
  <c r="F4" i="7"/>
  <c r="E62" i="7"/>
  <c r="G4" i="7"/>
  <c r="G3" i="7"/>
  <c r="G33" i="2"/>
  <c r="G41" i="7"/>
  <c r="G22" i="7"/>
  <c r="U19" i="8"/>
  <c r="K27" i="8"/>
  <c r="M27" i="8"/>
  <c r="O27" i="8"/>
  <c r="T27" i="8"/>
  <c r="L27" i="8"/>
  <c r="Q27" i="8"/>
  <c r="U27" i="8"/>
  <c r="G2" i="7"/>
  <c r="F38" i="7"/>
  <c r="G38" i="7"/>
  <c r="G36" i="7"/>
  <c r="G35" i="7"/>
  <c r="G34" i="7"/>
  <c r="G32" i="7"/>
  <c r="P22" i="8"/>
  <c r="T22" i="8"/>
  <c r="J37" i="2"/>
  <c r="R33" i="8"/>
  <c r="E61" i="7"/>
  <c r="S18" i="8"/>
  <c r="R18" i="8"/>
  <c r="T30" i="8"/>
  <c r="R30" i="8"/>
  <c r="F20" i="7"/>
  <c r="G20" i="7"/>
  <c r="T17" i="8"/>
  <c r="P36" i="8"/>
  <c r="T36" i="8"/>
  <c r="F9" i="7"/>
  <c r="G23" i="7"/>
  <c r="G17" i="7"/>
  <c r="F13" i="7"/>
  <c r="F55" i="7"/>
  <c r="O13" i="8"/>
  <c r="U13" i="8"/>
  <c r="K22" i="8"/>
  <c r="S22" i="8"/>
  <c r="G51" i="7"/>
  <c r="F3" i="7"/>
  <c r="G54" i="7"/>
  <c r="G31" i="7"/>
  <c r="G53" i="7"/>
  <c r="M5" i="8"/>
  <c r="Q7" i="8"/>
  <c r="U7" i="8"/>
  <c r="R32" i="8"/>
  <c r="G5" i="7"/>
  <c r="G27" i="7"/>
  <c r="L26" i="8"/>
  <c r="N36" i="8"/>
  <c r="M37" i="8"/>
  <c r="P38" i="8"/>
  <c r="T38" i="8"/>
  <c r="R39" i="8"/>
  <c r="K39" i="8"/>
  <c r="S39" i="8"/>
  <c r="K40" i="8"/>
  <c r="L40" i="8"/>
  <c r="D45" i="2"/>
  <c r="G45" i="2" s="1"/>
  <c r="L37" i="8"/>
  <c r="P39" i="8"/>
  <c r="M39" i="8"/>
  <c r="P40" i="8"/>
  <c r="T40" i="8"/>
  <c r="M40" i="8"/>
  <c r="P9" i="3"/>
  <c r="R34" i="8"/>
  <c r="R4" i="8"/>
  <c r="S7" i="8"/>
  <c r="T39" i="8"/>
  <c r="U4" i="8"/>
  <c r="U34" i="8"/>
  <c r="R36" i="8"/>
  <c r="E21" i="2"/>
  <c r="E13" i="2"/>
  <c r="G36" i="2"/>
  <c r="E12" i="2"/>
  <c r="D21" i="2"/>
  <c r="K39" i="2"/>
  <c r="D15" i="2"/>
  <c r="S4" i="8"/>
  <c r="T28" i="8"/>
  <c r="T6" i="8"/>
  <c r="R11" i="8"/>
  <c r="K36" i="2"/>
  <c r="D12" i="2"/>
  <c r="F62" i="7"/>
  <c r="T11" i="8"/>
  <c r="E10" i="2"/>
  <c r="I34" i="2"/>
  <c r="G34" i="2"/>
  <c r="I35" i="2"/>
  <c r="E11" i="2"/>
  <c r="G35" i="2"/>
  <c r="F61" i="7"/>
  <c r="R8" i="8"/>
  <c r="S38" i="8"/>
  <c r="S10" i="8"/>
  <c r="S6" i="8"/>
  <c r="R6" i="8"/>
  <c r="S11" i="8"/>
  <c r="U39" i="8"/>
  <c r="U5" i="8"/>
  <c r="T5" i="8"/>
  <c r="U28" i="8"/>
  <c r="S37" i="8"/>
  <c r="R37" i="8"/>
  <c r="R26" i="8"/>
  <c r="S26" i="8"/>
  <c r="R27" i="8"/>
  <c r="S27" i="8"/>
  <c r="T13" i="8"/>
  <c r="R13" i="8"/>
  <c r="F63" i="7"/>
  <c r="R14" i="8"/>
  <c r="S14" i="8"/>
  <c r="C13" i="2"/>
  <c r="K37" i="2"/>
  <c r="D13" i="2"/>
  <c r="S40" i="8"/>
  <c r="R40" i="8"/>
  <c r="E37" i="6"/>
  <c r="J36" i="6"/>
  <c r="B9" i="2"/>
  <c r="K33" i="2"/>
  <c r="D9" i="2"/>
  <c r="E20" i="2"/>
  <c r="F20" i="2"/>
  <c r="F21" i="2"/>
  <c r="G6" i="1"/>
  <c r="G20" i="2"/>
  <c r="G21" i="2"/>
  <c r="B10" i="2"/>
  <c r="K34" i="2"/>
  <c r="D10" i="2"/>
  <c r="K35" i="2"/>
  <c r="D11" i="2"/>
  <c r="B11" i="2"/>
  <c r="E38" i="6"/>
  <c r="J37" i="6"/>
  <c r="D20" i="2"/>
  <c r="G5" i="1"/>
  <c r="J38" i="6"/>
  <c r="E39" i="6"/>
  <c r="E40" i="6"/>
  <c r="J39" i="6"/>
  <c r="E41" i="6"/>
  <c r="J40" i="6"/>
  <c r="E42" i="6"/>
  <c r="J41" i="6"/>
  <c r="J42" i="6"/>
  <c r="E43" i="6"/>
  <c r="J43" i="6"/>
  <c r="E44" i="6"/>
  <c r="J44" i="6"/>
  <c r="E45" i="6"/>
  <c r="E46" i="6"/>
  <c r="J45" i="6"/>
  <c r="J46" i="6"/>
  <c r="E47" i="6"/>
  <c r="J47" i="6"/>
  <c r="E48" i="6"/>
  <c r="J48" i="6"/>
  <c r="E49" i="6"/>
  <c r="E50" i="6"/>
  <c r="J49" i="6"/>
  <c r="E51" i="6"/>
  <c r="J50" i="6"/>
  <c r="E52" i="6"/>
  <c r="J51" i="6"/>
  <c r="E53" i="6"/>
  <c r="J52" i="6"/>
  <c r="E54" i="6"/>
  <c r="J53" i="6"/>
  <c r="J54" i="6"/>
  <c r="E55" i="6"/>
  <c r="J55" i="6"/>
  <c r="E56" i="6"/>
  <c r="J56" i="6"/>
  <c r="E57" i="6"/>
  <c r="E58" i="6"/>
  <c r="J57" i="6"/>
  <c r="E59" i="6"/>
  <c r="J58" i="6"/>
  <c r="J59" i="6"/>
  <c r="E60" i="6"/>
  <c r="J60" i="6"/>
  <c r="E61" i="6"/>
  <c r="E62" i="6"/>
  <c r="J61" i="6"/>
  <c r="J62" i="6"/>
  <c r="E63" i="6"/>
  <c r="E64" i="6"/>
  <c r="J63" i="6"/>
  <c r="E65" i="6"/>
  <c r="J64" i="6"/>
  <c r="E66" i="6"/>
  <c r="J65" i="6"/>
  <c r="J66" i="6"/>
  <c r="E67" i="6"/>
  <c r="J67" i="6"/>
  <c r="E68" i="6"/>
  <c r="E69" i="6"/>
  <c r="J68" i="6"/>
  <c r="E70" i="6"/>
  <c r="J69" i="6"/>
  <c r="E71" i="6"/>
  <c r="J70" i="6"/>
  <c r="J71" i="6"/>
  <c r="E72" i="6"/>
  <c r="J72" i="6"/>
  <c r="E73" i="6"/>
  <c r="J73" i="6"/>
  <c r="E74" i="6"/>
  <c r="J74" i="6"/>
  <c r="E75" i="6"/>
  <c r="J75" i="6"/>
  <c r="E76" i="6"/>
  <c r="J76" i="6"/>
  <c r="E77" i="6"/>
  <c r="E78" i="6"/>
  <c r="J77" i="6"/>
  <c r="J78" i="6"/>
  <c r="E79" i="6"/>
  <c r="E80" i="6"/>
  <c r="J79" i="6"/>
  <c r="J80" i="6"/>
  <c r="E81" i="6"/>
  <c r="J81" i="6"/>
  <c r="E82" i="6"/>
  <c r="E83" i="6"/>
  <c r="J82" i="6"/>
  <c r="E84" i="6"/>
  <c r="J83" i="6"/>
  <c r="E85" i="6"/>
  <c r="J84" i="6"/>
  <c r="E86" i="6"/>
  <c r="J85" i="6"/>
  <c r="E87" i="6"/>
  <c r="J86" i="6"/>
  <c r="J87" i="6"/>
  <c r="E88" i="6"/>
  <c r="J88" i="6"/>
  <c r="J44" i="2" l="1"/>
  <c r="G12" i="1"/>
  <c r="N44" i="2"/>
  <c r="Q44" i="2"/>
  <c r="G9" i="1" s="1"/>
  <c r="G25" i="1"/>
  <c r="B30" i="1" s="1"/>
  <c r="B42" i="1" s="1"/>
  <c r="G7" i="1"/>
  <c r="G8" i="1"/>
  <c r="G44" i="2"/>
  <c r="G4" i="1" s="1"/>
  <c r="I44" i="2"/>
  <c r="G9" i="3"/>
  <c r="G7" i="3"/>
  <c r="H45" i="2"/>
  <c r="F41" i="2"/>
  <c r="Q46" i="8"/>
  <c r="U46" i="8" s="1"/>
  <c r="R46" i="8"/>
  <c r="P46" i="8"/>
  <c r="T46" i="8" s="1"/>
  <c r="L9" i="3"/>
  <c r="G13" i="1" s="1"/>
  <c r="B9" i="3"/>
  <c r="G14" i="1" s="1"/>
  <c r="K44" i="2" l="1"/>
  <c r="B6" i="1"/>
  <c r="B32" i="1"/>
  <c r="H44" i="2"/>
  <c r="B8" i="1"/>
  <c r="E30" i="1" s="1"/>
  <c r="G15" i="1" l="1"/>
  <c r="G16" i="1"/>
  <c r="L44" i="2"/>
  <c r="G10" i="1"/>
  <c r="B44" i="1"/>
  <c r="B31" i="1"/>
  <c r="G30" i="1"/>
  <c r="E42" i="1"/>
  <c r="D30" i="1"/>
  <c r="D42" i="1" s="1"/>
  <c r="F30" i="1"/>
  <c r="C30" i="1"/>
  <c r="H31" i="1" l="1"/>
  <c r="B43" i="1"/>
  <c r="F42" i="1"/>
  <c r="C42" i="1"/>
  <c r="H30" i="1"/>
  <c r="G42" i="1"/>
  <c r="H43" i="1" l="1"/>
  <c r="C31" i="1"/>
  <c r="H42" i="1"/>
  <c r="H32" i="1"/>
  <c r="C43" i="1" l="1"/>
  <c r="C44" i="1" s="1"/>
  <c r="C46" i="1" s="1"/>
  <c r="D31" i="1"/>
  <c r="C32" i="1"/>
  <c r="C34" i="1" s="1"/>
  <c r="H44" i="1"/>
  <c r="G45" i="1" s="1"/>
  <c r="G33" i="1"/>
  <c r="D32" i="1" l="1"/>
  <c r="D34" i="1" s="1"/>
  <c r="E31" i="1"/>
  <c r="D43" i="1"/>
  <c r="D44" i="1" s="1"/>
  <c r="D46" i="1" s="1"/>
  <c r="E32" i="1" l="1"/>
  <c r="E34" i="1" s="1"/>
  <c r="F31" i="1"/>
  <c r="E43" i="1"/>
  <c r="E44" i="1" s="1"/>
  <c r="E46" i="1" s="1"/>
  <c r="F43" i="1" l="1"/>
  <c r="F44" i="1" s="1"/>
  <c r="F46" i="1" s="1"/>
  <c r="G31" i="1"/>
  <c r="F32" i="1"/>
  <c r="F34" i="1" s="1"/>
  <c r="G43" i="1" l="1"/>
  <c r="G44" i="1" s="1"/>
  <c r="G46" i="1" s="1"/>
  <c r="B47" i="1" s="1"/>
  <c r="G32" i="1"/>
  <c r="G34" i="1" s="1"/>
  <c r="C35" i="1" s="1"/>
  <c r="C37" i="1" l="1"/>
  <c r="C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B3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 reported number is the trailing 12-month earnings, from S&amp;P 500. You can override it using an alternative estimate that you have to input in cell G27.</t>
        </r>
      </text>
    </comment>
    <comment ref="B4" authorId="0" shapeId="0" xr:uid="{00000000-0006-0000-0000-000002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Enter the current level of the index.</t>
        </r>
      </text>
    </comment>
    <comment ref="B5" authorId="0" shapeId="0" xr:uid="{00000000-0006-0000-0000-000003000000}">
      <text>
        <r>
          <rPr>
            <b/>
            <sz val="9"/>
            <color rgb="FF000000"/>
            <rFont val="Geneva"/>
            <family val="2"/>
          </rPr>
          <t xml:space="preserve">Aswath Damodaran:
</t>
        </r>
        <r>
          <rPr>
            <sz val="9"/>
            <color rgb="FF000000"/>
            <rFont val="Geneva"/>
            <family val="2"/>
          </rPr>
          <t>The 5-year and 10-year averages are used in conjunction with the index at the start of the year to get a normalized cash yield number. Using these numbers (instead of the trailing 12 month) will give you a more smoothed out ERP.</t>
        </r>
      </text>
    </comment>
    <comment ref="B6" authorId="0" shapeId="0" xr:uid="{00000000-0006-0000-0000-000004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Enter the expected dividend yield. You can also add expected stock buybacks to dividends.</t>
        </r>
      </text>
    </comment>
    <comment ref="B8" authorId="0" shapeId="0" xr:uid="{00000000-0006-0000-0000-000005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This should be a forecast of earnings growth from analysts following stocks in the index.</t>
        </r>
      </text>
    </comment>
    <comment ref="B9" authorId="0" shapeId="0" xr:uid="{00000000-0006-0000-0000-000006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Thks is the current rate on a long term government bond.</t>
        </r>
      </text>
    </comment>
    <comment ref="B11" authorId="0" shapeId="0" xr:uid="{00000000-0006-0000-0000-000007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This is the expected risk premium for investing in stock.</t>
        </r>
      </text>
    </comment>
    <comment ref="B12" authorId="0" shapeId="0" xr:uid="{00000000-0006-0000-0000-000008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As a default, I will set this equal to the treasury bond rate. You can reset it to a lower number.</t>
        </r>
      </text>
    </comment>
    <comment ref="B13" authorId="0" shapeId="0" xr:uid="{00000000-0006-0000-0000-000009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The sustainable payout is computed using the stable growth rate and the trailing 12 month ROE:
</t>
        </r>
        <r>
          <rPr>
            <sz val="10"/>
            <color rgb="FF000000"/>
            <rFont val="Calibri"/>
            <family val="2"/>
          </rPr>
          <t xml:space="preserve">Sustainable Payout = 1 - g/ ROE
</t>
        </r>
        <r>
          <rPr>
            <sz val="10"/>
            <color rgb="FF000000"/>
            <rFont val="Calibri"/>
            <family val="2"/>
          </rPr>
          <t>If you answer yes, I will adjust the payout ratio over the next 5 years in linear increments to this value. if no, I will leave it at today's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A1" authorId="0" shapeId="0" xr:uid="{00000000-0006-0000-0400-000001000000}">
      <text>
        <r>
          <rPr>
            <b/>
            <sz val="9"/>
            <color rgb="FF000000"/>
            <rFont val="Geneva"/>
            <family val="2"/>
          </rPr>
          <t xml:space="preserve">Aswath Damodaran:
</t>
        </r>
        <r>
          <rPr>
            <b/>
            <sz val="9"/>
            <color rgb="FF000000"/>
            <rFont val="Geneva"/>
            <family val="2"/>
          </rPr>
          <t>These are estimated by aggregating the analyst forecasts of earnings for the individual companies in the S&amp;P 500. Historically, these numbers have been upward biased at the index level.</t>
        </r>
      </text>
    </comment>
    <comment ref="F1" authorId="0" shapeId="0" xr:uid="{1990157C-BB60-C940-BF7A-32A3BBAE9582}">
      <text>
        <r>
          <rPr>
            <b/>
            <sz val="9"/>
            <color rgb="FF000000"/>
            <rFont val="Geneva"/>
            <family val="2"/>
          </rPr>
          <t xml:space="preserve">Aswath Damodaran:
</t>
        </r>
        <r>
          <rPr>
            <b/>
            <sz val="9"/>
            <color rgb="FF000000"/>
            <rFont val="Geneva"/>
            <family val="2"/>
          </rPr>
          <t>These are estimated by aggregating the analyst forecasts of earnings for the individual companies in the S&amp;P 500. Historically, these numbers have been upward biased at the index level.</t>
        </r>
      </text>
    </comment>
    <comment ref="K1" authorId="0" shapeId="0" xr:uid="{00000000-0006-0000-0400-000002000000}">
      <text>
        <r>
          <rPr>
            <b/>
            <sz val="9"/>
            <color rgb="FF000000"/>
            <rFont val="Geneva"/>
            <family val="2"/>
          </rPr>
          <t xml:space="preserve">Aswath Damodaran:
</t>
        </r>
        <r>
          <rPr>
            <b/>
            <sz val="9"/>
            <color rgb="FF000000"/>
            <rFont val="Geneva"/>
            <family val="2"/>
          </rPr>
          <t>These are estimates of overall earnings for the S&amp;P 500 companies made at an aggregate level. They tend to be less biased but there are fewer analysts who estimate these numbers.</t>
        </r>
      </text>
    </comment>
  </commentList>
</comments>
</file>

<file path=xl/sharedStrings.xml><?xml version="1.0" encoding="utf-8"?>
<sst xmlns="http://schemas.openxmlformats.org/spreadsheetml/2006/main" count="318" uniqueCount="240">
  <si>
    <t>Implied Risk Premium Calculator</t>
  </si>
  <si>
    <t>Expected Terminal Value =</t>
  </si>
  <si>
    <t>Present Value =</t>
  </si>
  <si>
    <t>Intrinsic Value of Index =</t>
  </si>
  <si>
    <t>Implied Risk Premium in current level of Index =</t>
  </si>
  <si>
    <t>Dividend Yield</t>
  </si>
  <si>
    <t>Buybacks/Index</t>
  </si>
  <si>
    <t>Year</t>
  </si>
  <si>
    <t>Year</t>
    <phoneticPr fontId="11" type="noConversion"/>
  </si>
  <si>
    <t>Dividend yield</t>
    <phoneticPr fontId="11" type="noConversion"/>
  </si>
  <si>
    <t>Buyback yield</t>
    <phoneticPr fontId="11" type="noConversion"/>
  </si>
  <si>
    <t>Dividends</t>
    <phoneticPr fontId="11" type="noConversion"/>
  </si>
  <si>
    <t>Buybacks</t>
    <phoneticPr fontId="11" type="noConversion"/>
  </si>
  <si>
    <t>Cash to equity</t>
    <phoneticPr fontId="11" type="noConversion"/>
  </si>
  <si>
    <t>Market value of index</t>
    <phoneticPr fontId="11" type="noConversion"/>
  </si>
  <si>
    <t>Ratio</t>
    <phoneticPr fontId="11" type="noConversion"/>
  </si>
  <si>
    <t>Dividends</t>
    <phoneticPr fontId="11" type="noConversion"/>
  </si>
  <si>
    <t>Dividends and Buybacks Trailing 12 months =</t>
  </si>
  <si>
    <t>Dividends</t>
  </si>
  <si>
    <t>Buybacks</t>
  </si>
  <si>
    <t>Quarter</t>
  </si>
  <si>
    <t>4 quarters ago</t>
  </si>
  <si>
    <t>3 quarters ago</t>
  </si>
  <si>
    <t>2 quarters ago</t>
  </si>
  <si>
    <t>Last quarter</t>
  </si>
  <si>
    <t>Sum</t>
  </si>
  <si>
    <t>Cash yield on index (Calculated number but you can override it)</t>
  </si>
  <si>
    <t>Average: Last 10 years =</t>
  </si>
  <si>
    <t>Dividends and Buybacks (Average yield- last decade)</t>
  </si>
  <si>
    <t>Average: Last 5 years</t>
  </si>
  <si>
    <t>Dividends and Buybacks (Average yield- last 5 years)</t>
  </si>
  <si>
    <t>Compounded average</t>
  </si>
  <si>
    <t>Index units adjuster =</t>
  </si>
  <si>
    <t>Index level</t>
  </si>
  <si>
    <t>Unit adjuster</t>
  </si>
  <si>
    <t>Market Cap</t>
  </si>
  <si>
    <t>A10</t>
  </si>
  <si>
    <t>Index at the start of the current quarter =</t>
  </si>
  <si>
    <t>C</t>
  </si>
  <si>
    <t>A5</t>
  </si>
  <si>
    <t>Enter current level of index</t>
  </si>
  <si>
    <t>Source</t>
  </si>
  <si>
    <t>Earnings on Index</t>
  </si>
  <si>
    <t>Updated at the start of every quarter</t>
  </si>
  <si>
    <t>Last updated</t>
  </si>
  <si>
    <t>Earnings</t>
  </si>
  <si>
    <t>Payout</t>
  </si>
  <si>
    <t>Book Value of Equity at start of year</t>
  </si>
  <si>
    <t>Sales per share</t>
  </si>
  <si>
    <t>Return on Equity</t>
  </si>
  <si>
    <t>Net Profit Margin</t>
  </si>
  <si>
    <t>Inputs</t>
  </si>
  <si>
    <t>What cash yield (dividends &amp; buybacks) do you want to use as your base number?</t>
  </si>
  <si>
    <t>Dividends and Buybacks (Average payout- last decade)</t>
  </si>
  <si>
    <t>Dividends and Buybacks (Average payout - last 5 years)</t>
  </si>
  <si>
    <t>P10</t>
  </si>
  <si>
    <t>P5</t>
  </si>
  <si>
    <t>Growth Choices</t>
  </si>
  <si>
    <t>Historical earnings growth rate (last decade) =</t>
  </si>
  <si>
    <t>Bottom up forecasted growth rate (next 5 years) =</t>
  </si>
  <si>
    <t>Top down forecasted growth rate (next 5 years) =</t>
  </si>
  <si>
    <t>Fundamental growth rate (based on current ROE) =</t>
  </si>
  <si>
    <t>Fundamental growth rate (based on average ROE) =</t>
  </si>
  <si>
    <t>H</t>
  </si>
  <si>
    <t>BU</t>
  </si>
  <si>
    <t>TD</t>
  </si>
  <si>
    <t>FC</t>
  </si>
  <si>
    <t>FA</t>
  </si>
  <si>
    <t>What expected growth rate do you want to use for the next 5 years?</t>
  </si>
  <si>
    <t>Expected growth rate in earnings for the next 5 years =</t>
  </si>
  <si>
    <t>Enter current long term risk free rate  =</t>
  </si>
  <si>
    <t>Historical Equity risk premium (US) =</t>
  </si>
  <si>
    <t>Historical Equity risk premium (Global) =</t>
  </si>
  <si>
    <t>Average implied ERP (last decade) =</t>
  </si>
  <si>
    <t>Average implied ERP (1960-Current) =</t>
  </si>
  <si>
    <t>Earnings Yield</t>
  </si>
  <si>
    <t>T.Bond Rate</t>
  </si>
  <si>
    <t>Implied ERP</t>
  </si>
  <si>
    <t>Start of month</t>
    <phoneticPr fontId="5" type="noConversion"/>
  </si>
  <si>
    <t>S&amp;P 500</t>
    <phoneticPr fontId="5" type="noConversion"/>
  </si>
  <si>
    <t>T.Bond Rate</t>
    <phoneticPr fontId="5" type="noConversion"/>
  </si>
  <si>
    <t>CF (Trailing 12 month)</t>
  </si>
  <si>
    <t>Expected growth rate</t>
    <phoneticPr fontId="5" type="noConversion"/>
  </si>
  <si>
    <t>ERP (T12m)</t>
  </si>
  <si>
    <t>ERP (Smoothed)</t>
  </si>
  <si>
    <t>HUS</t>
  </si>
  <si>
    <t>HG</t>
  </si>
  <si>
    <t>ERP10</t>
  </si>
  <si>
    <t>ERP used to compute fair value of index (you can override this number) =</t>
  </si>
  <si>
    <t>If you want to compute an intrinsic value for index, what ERP would you like to use?</t>
  </si>
  <si>
    <t>Intrinsic Value Estimate (based on your choice of ERP)</t>
  </si>
  <si>
    <t>Implied Equity Risk Premium Calculator</t>
  </si>
  <si>
    <t>ERP Choices (for index intrinsic value)</t>
  </si>
  <si>
    <t>Here is how it works</t>
  </si>
  <si>
    <t>For the implied ERP, you will have to use the goal seek function in Excel. (See picture to the right)</t>
  </si>
  <si>
    <t>NORM</t>
  </si>
  <si>
    <t>Inflation rate</t>
  </si>
  <si>
    <t>Inflation adjusted Earnings</t>
  </si>
  <si>
    <t>2.  In "To value" box, enter the current level of the index</t>
  </si>
  <si>
    <t>Intrinsic Trailing PE =</t>
  </si>
  <si>
    <t>Factset</t>
  </si>
  <si>
    <t>Thomson Reuters</t>
  </si>
  <si>
    <t>Intrinsic CAPE (based on inflation-adjusted ten year average earnings) =</t>
  </si>
  <si>
    <t>Dividend and Buybacks (Average payout &amp; normal earnings)</t>
  </si>
  <si>
    <t>Sources for bottom up estimates</t>
  </si>
  <si>
    <t>Sources for top down estimates</t>
  </si>
  <si>
    <t>Year end</t>
  </si>
  <si>
    <t>Ten-year T.Bond rate</t>
  </si>
  <si>
    <t>Real GDP growth</t>
  </si>
  <si>
    <t>Fundamental riskfree rate</t>
  </si>
  <si>
    <t>T. Bond - Fundamental (current)</t>
  </si>
  <si>
    <t>Next 5 years</t>
  </si>
  <si>
    <t>1954-2012</t>
  </si>
  <si>
    <t>1954-1980</t>
  </si>
  <si>
    <t>1981-2012</t>
  </si>
  <si>
    <t>S&amp;P 500</t>
  </si>
  <si>
    <t>Annual Returns on Investments in</t>
  </si>
  <si>
    <t>Compounded Value of $ 100</t>
  </si>
  <si>
    <t>3-month T.Bill</t>
  </si>
  <si>
    <t>10-year T. Bond</t>
  </si>
  <si>
    <t>Stocks</t>
  </si>
  <si>
    <t>T.Bills</t>
  </si>
  <si>
    <t>T.Bonds</t>
  </si>
  <si>
    <t>Stocks - Bills</t>
    <phoneticPr fontId="13" type="noConversion"/>
  </si>
  <si>
    <t>Stocks - Bonds</t>
    <phoneticPr fontId="13" type="noConversion"/>
  </si>
  <si>
    <t>Historical risk premium</t>
  </si>
  <si>
    <t>Expected growth rate in the long term (after year 5) =</t>
  </si>
  <si>
    <t>Historical High ERP (1960-Current) =</t>
  </si>
  <si>
    <t>ERPHigh</t>
  </si>
  <si>
    <t>ERPLong</t>
  </si>
  <si>
    <t>Ten-year average CF</t>
  </si>
  <si>
    <t>Notes</t>
  </si>
  <si>
    <t>Normalized Cash flow = Average CF yield over last 10 years * Index level at start of quarter</t>
  </si>
  <si>
    <t>Adjusted cash flows and expected growth rate</t>
  </si>
  <si>
    <t>Adjusted cash flows</t>
  </si>
  <si>
    <t>Adjusted growth rate &amp; cash flows</t>
  </si>
  <si>
    <t>Updated cash flows, growth rate</t>
  </si>
  <si>
    <t>Updated cash flows</t>
  </si>
  <si>
    <t>Dividends and Buybacks, net of stock issues, trailing 12 months</t>
  </si>
  <si>
    <t>NC</t>
  </si>
  <si>
    <t>Issuances</t>
  </si>
  <si>
    <t>Stock Issuances</t>
  </si>
  <si>
    <t>Gross Cash Yield</t>
  </si>
  <si>
    <t>Net Cash Yield</t>
  </si>
  <si>
    <t>ERP (Net Cash Yield)</t>
  </si>
  <si>
    <t>Computing the trailing 12 month number (S&amp;P Data updated every quarter on March 15, June 15, Sept 15 and Dec 15)</t>
  </si>
  <si>
    <t>Month</t>
  </si>
  <si>
    <t>Trailing four quarters</t>
  </si>
  <si>
    <t>Updated at the start of every month</t>
  </si>
  <si>
    <t>S&amp;P 500 Index</t>
  </si>
  <si>
    <t>Stock Issues</t>
  </si>
  <si>
    <t>Cash Return</t>
  </si>
  <si>
    <t>Net Cash Return</t>
  </si>
  <si>
    <t>Net Income</t>
  </si>
  <si>
    <t>Aggregate (in US dollars)</t>
  </si>
  <si>
    <t>Index Units</t>
  </si>
  <si>
    <t>In Index Units</t>
  </si>
  <si>
    <t>Payout Ratio</t>
  </si>
  <si>
    <t>Cash Return/Net Income</t>
  </si>
  <si>
    <t>Net Cash Return/Net Income</t>
  </si>
  <si>
    <t>This is what I get from S&amp;P Capital IQ, if I use the raw data from individual companies. It does not match up to what S&amp;P itelf reports once every quarter. Use it to look for trend lines.</t>
  </si>
  <si>
    <t>Updated growth rate</t>
  </si>
  <si>
    <t>S&amp;P Cap IQ update</t>
  </si>
  <si>
    <t>Updated cash flow</t>
  </si>
  <si>
    <t>Normalized CF</t>
  </si>
  <si>
    <t>ERP (Normalized)</t>
  </si>
  <si>
    <t>Trailing 12 month ending</t>
  </si>
  <si>
    <t>S&amp;P Capital IQ data (updated every month and does not match up to the S&amp;P update every three quarters)</t>
  </si>
  <si>
    <t>Index Units Adjuster</t>
  </si>
  <si>
    <t>Net Cash to Equity</t>
  </si>
  <si>
    <t>Updated cash flow, growth rate</t>
  </si>
  <si>
    <t>Expected Earnings</t>
  </si>
  <si>
    <t>Expected cash payout (dividends + buybacks) as % of earnings</t>
  </si>
  <si>
    <t>Last 12 months</t>
  </si>
  <si>
    <t>Terminal Year</t>
  </si>
  <si>
    <t>Do you want to adjust the payout ratio to sustainable levels in year 5?</t>
  </si>
  <si>
    <t>Yes</t>
  </si>
  <si>
    <t>No</t>
  </si>
  <si>
    <t>Yes/No</t>
  </si>
  <si>
    <t>ERP (T12 m with sustainable payout)</t>
  </si>
  <si>
    <t>If you let me adjust your payout ratio, I adjust it to sustain your long term growth rate, given your ROE. Payout = 1 - g/ ROE</t>
  </si>
  <si>
    <t>(Go under Tools and choose Solver or Goal Seek: See below)</t>
  </si>
  <si>
    <t>Updated normalized and ten-year yield numbers</t>
  </si>
  <si>
    <t>Thomson-Reuters</t>
  </si>
  <si>
    <t>Analyst</t>
  </si>
  <si>
    <t>Levkovich (Citi)</t>
  </si>
  <si>
    <t>Average</t>
  </si>
  <si>
    <t>Earnings Growth</t>
  </si>
  <si>
    <t>Cash Flow Choices</t>
  </si>
  <si>
    <t>Base Year Earnings</t>
  </si>
  <si>
    <t xml:space="preserve">Operating Earnings (or adjusted earnings) </t>
  </si>
  <si>
    <t>Reported</t>
  </si>
  <si>
    <t>Base Year Earnings for the Index</t>
  </si>
  <si>
    <t>Column1</t>
  </si>
  <si>
    <t xml:space="preserve">For the intrinsic value of the index, I start with your base cash flow choice (from B5) and grow these cash flows at </t>
  </si>
  <si>
    <t>the expected growth rate (from B7) for 5 years. After year 5, I use the expected growth rate in the long term (B12)</t>
  </si>
  <si>
    <t xml:space="preserve">as the perpetual growth rate. The discount rate that I use is the sum of the risk free rate (B9) and your ERP choice (B11). </t>
  </si>
  <si>
    <t>1. In the set cell box, enter B47</t>
  </si>
  <si>
    <t>3. In "By changing cell" enter C39</t>
  </si>
  <si>
    <t>4. Click on OK and the answer should show up in C39.</t>
  </si>
  <si>
    <t>Updated cash flow, growth</t>
  </si>
  <si>
    <t>Expected Dividends + Buybacks =</t>
  </si>
  <si>
    <t>Reported Earnings by companies in trailing 12 months</t>
  </si>
  <si>
    <t>Inputed</t>
  </si>
  <si>
    <t>Yardeni</t>
  </si>
  <si>
    <t>S&amp;P Cap IQ</t>
  </si>
  <si>
    <t>Updated cash flow, growth, annualized numbers</t>
  </si>
  <si>
    <t>Bottom up Estimates for Net Income (S&amp;P)</t>
  </si>
  <si>
    <t>S&amp;P Capital IQ</t>
  </si>
  <si>
    <t>84,88</t>
  </si>
  <si>
    <t>Dividends + Buybacks in last four quarters</t>
  </si>
  <si>
    <t>Multiplies average cash yield over last 10 years by index level at the start of most recent quarter</t>
  </si>
  <si>
    <t>Multiplies average cash yield over last 5 years by index level at the start of most recent quarter</t>
  </si>
  <si>
    <t>Multiplies Earnings in last 12 months by average payout ratio (including buybacks) over last 10 years</t>
  </si>
  <si>
    <t>Multiplies Earnings in last 12 months by average payout ratio (including buybacks) over last 5 years</t>
  </si>
  <si>
    <t>Multiplies average earnings over last 10 years by average payout ratio over same period</t>
  </si>
  <si>
    <t>Dividends + Buybacks - Stock Issuances in last four quarters</t>
  </si>
  <si>
    <t>2,87%</t>
  </si>
  <si>
    <t>Column2</t>
  </si>
  <si>
    <t>Base for normalized Cashflow</t>
  </si>
  <si>
    <t>individual companies for next two years</t>
  </si>
  <si>
    <t>Used estimated Net Income aggregated across</t>
  </si>
  <si>
    <t>Mark Wilson, Morgan Stanley</t>
  </si>
  <si>
    <t>Savita Subramaniam, BofA</t>
  </si>
  <si>
    <t>Darby, Jeffries</t>
  </si>
  <si>
    <t>Deshpande, Barclays</t>
  </si>
  <si>
    <t>Lakos-Bujas, JPM</t>
  </si>
  <si>
    <t>Belski, BMO</t>
  </si>
  <si>
    <t>Parker, UBS</t>
  </si>
  <si>
    <t>Chadha, DBk</t>
  </si>
  <si>
    <t>Golub, CSFB</t>
  </si>
  <si>
    <t>Forecasts on Yahoo! Finance (Dec 2018)</t>
  </si>
  <si>
    <t>Analyst Consensus</t>
  </si>
  <si>
    <t>Top down Estimates (Analyst Consensus on 3/18/19)</t>
  </si>
  <si>
    <t>On 5/31/19</t>
  </si>
  <si>
    <t>Top Down Estimates (Yardeni on 5/23/19)</t>
  </si>
  <si>
    <t>Bottom up Estimates (Thomson Reuters on 5/30/19)</t>
  </si>
  <si>
    <t>Updated growth estimates</t>
  </si>
  <si>
    <t>Updated July  1, 2019</t>
  </si>
  <si>
    <t>Updated July 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</si>
</sst>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m/d/yy;@"/>
    <numFmt numFmtId="167" formatCode="&quot;$&quot;#,##0.00;[Red]&quot;$&quot;#,##0.00"/>
    <numFmt numFmtId="168" formatCode="&quot;$&quot;#,##0;[Red]&quot;$&quot;#,##0"/>
    <numFmt numFmtId="169" formatCode="0.000000000"/>
    <numFmt numFmtId="170" formatCode="_([$$-409]* #,##0_);_([$$-409]* \(#,##0\);_([$$-409]* &quot;-&quot;??_);_(@_)"/>
    <numFmt numFmtId="171" formatCode="_(&quot;$&quot;* #,##0_);_(&quot;$&quot;* \(#,##0\);_(&quot;$&quot;* &quot;-&quot;??_);_(@_)"/>
    <numFmt numFmtId="172" formatCode="_(\ #,##0_);_(\(\ #,##0\)_);_(\ &quot; - &quot;_)"/>
    <numFmt numFmtId="173" formatCode="_(\ #,##0.0#_);_(\(\ #,##0.0#\)_);_(\ &quot; - &quot;_)"/>
  </numFmts>
  <fonts count="37">
    <font>
      <b/>
      <sz val="10"/>
      <name val="Geneva"/>
      <family val="2"/>
    </font>
    <font>
      <b/>
      <sz val="10"/>
      <name val="Geneva"/>
      <family val="2"/>
    </font>
    <font>
      <i/>
      <sz val="10"/>
      <name val="Geneva"/>
      <family val="2"/>
    </font>
    <font>
      <b/>
      <i/>
      <sz val="10"/>
      <name val="Geneva"/>
      <family val="2"/>
    </font>
    <font>
      <sz val="10"/>
      <name val="Geneva"/>
      <family val="2"/>
    </font>
    <font>
      <sz val="24"/>
      <name val="Geneva"/>
      <family val="2"/>
    </font>
    <font>
      <sz val="10"/>
      <name val="Times"/>
      <family val="1"/>
    </font>
    <font>
      <b/>
      <sz val="10"/>
      <name val="Times"/>
      <family val="1"/>
    </font>
    <font>
      <sz val="12"/>
      <name val="Times"/>
      <family val="1"/>
    </font>
    <font>
      <b/>
      <sz val="12"/>
      <name val="Times"/>
      <family val="1"/>
    </font>
    <font>
      <b/>
      <u/>
      <sz val="10"/>
      <color indexed="12"/>
      <name val="Geneva"/>
      <family val="2"/>
    </font>
    <font>
      <sz val="8"/>
      <name val="Verdana"/>
      <family val="2"/>
    </font>
    <font>
      <sz val="10"/>
      <color indexed="10"/>
      <name val="Times"/>
      <family val="1"/>
    </font>
    <font>
      <b/>
      <sz val="10"/>
      <name val="Geneva"/>
      <family val="2"/>
    </font>
    <font>
      <b/>
      <sz val="12"/>
      <name val="Geneva"/>
      <family val="2"/>
    </font>
    <font>
      <b/>
      <sz val="24"/>
      <name val="Geneva"/>
      <family val="2"/>
    </font>
    <font>
      <sz val="16"/>
      <name val="Geneva"/>
      <family val="2"/>
    </font>
    <font>
      <i/>
      <sz val="10"/>
      <name val="Times"/>
      <family val="1"/>
    </font>
    <font>
      <i/>
      <sz val="12"/>
      <name val="Times"/>
      <family val="1"/>
    </font>
    <font>
      <sz val="12"/>
      <color indexed="8"/>
      <name val="Arial"/>
      <family val="2"/>
    </font>
    <font>
      <sz val="10"/>
      <name val="Times Roman"/>
    </font>
    <font>
      <sz val="12"/>
      <color theme="1"/>
      <name val="Calibri"/>
      <family val="2"/>
      <scheme val="minor"/>
    </font>
    <font>
      <b/>
      <sz val="10"/>
      <color rgb="FFFF0000"/>
      <name val="Geneva"/>
      <family val="2"/>
    </font>
    <font>
      <sz val="12"/>
      <name val="Calibri"/>
      <family val="2"/>
      <scheme val="minor"/>
    </font>
    <font>
      <b/>
      <sz val="10"/>
      <color rgb="FFFF0000"/>
      <name val="Times"/>
      <family val="1"/>
    </font>
    <font>
      <sz val="10"/>
      <color rgb="FFFF0000"/>
      <name val="Times"/>
      <family val="1"/>
    </font>
    <font>
      <i/>
      <sz val="12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rgb="FF000000"/>
      <name val="Geneva"/>
      <family val="2"/>
    </font>
    <font>
      <sz val="9"/>
      <color rgb="FF000000"/>
      <name val="Genev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1"/>
      <name val="Geneva"/>
      <family val="2"/>
    </font>
    <font>
      <b/>
      <i/>
      <sz val="12"/>
      <name val="Geneva"/>
      <family val="2"/>
    </font>
    <font>
      <sz val="12"/>
      <name val="Geneva"/>
      <family val="2"/>
    </font>
    <font>
      <sz val="8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254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7" fillId="0" borderId="0" xfId="0" applyFont="1"/>
    <xf numFmtId="44" fontId="6" fillId="0" borderId="1" xfId="2" applyFont="1" applyBorder="1"/>
    <xf numFmtId="44" fontId="6" fillId="0" borderId="2" xfId="2" applyFont="1" applyBorder="1"/>
    <xf numFmtId="44" fontId="6" fillId="0" borderId="0" xfId="2" applyFont="1" applyBorder="1"/>
    <xf numFmtId="164" fontId="6" fillId="0" borderId="1" xfId="0" applyNumberFormat="1" applyFont="1" applyBorder="1"/>
    <xf numFmtId="164" fontId="6" fillId="0" borderId="1" xfId="2" applyNumberFormat="1" applyFont="1" applyBorder="1"/>
    <xf numFmtId="165" fontId="6" fillId="0" borderId="1" xfId="1" applyNumberFormat="1" applyFont="1" applyBorder="1" applyAlignment="1">
      <alignment horizontal="center"/>
    </xf>
    <xf numFmtId="0" fontId="9" fillId="0" borderId="0" xfId="0" applyFont="1"/>
    <xf numFmtId="0" fontId="6" fillId="0" borderId="3" xfId="0" applyFont="1" applyBorder="1"/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2" fillId="2" borderId="1" xfId="0" applyFont="1" applyFill="1" applyBorder="1"/>
    <xf numFmtId="10" fontId="6" fillId="2" borderId="1" xfId="0" applyNumberFormat="1" applyFont="1" applyFill="1" applyBorder="1"/>
    <xf numFmtId="10" fontId="12" fillId="2" borderId="1" xfId="0" applyNumberFormat="1" applyFont="1" applyFill="1" applyBorder="1"/>
    <xf numFmtId="10" fontId="6" fillId="2" borderId="1" xfId="4" applyNumberFormat="1" applyFont="1" applyFill="1" applyBorder="1"/>
    <xf numFmtId="10" fontId="6" fillId="3" borderId="1" xfId="0" applyNumberFormat="1" applyFont="1" applyFill="1" applyBorder="1"/>
    <xf numFmtId="0" fontId="0" fillId="0" borderId="0" xfId="0" applyBorder="1" applyAlignment="1">
      <alignment horizontal="center"/>
    </xf>
    <xf numFmtId="10" fontId="0" fillId="0" borderId="0" xfId="0" applyNumberFormat="1"/>
    <xf numFmtId="10" fontId="8" fillId="3" borderId="6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Alignment="1">
      <alignment horizontal="left"/>
    </xf>
    <xf numFmtId="10" fontId="7" fillId="0" borderId="0" xfId="0" applyNumberFormat="1" applyFont="1"/>
    <xf numFmtId="0" fontId="7" fillId="0" borderId="1" xfId="0" applyFont="1" applyBorder="1"/>
    <xf numFmtId="10" fontId="0" fillId="0" borderId="4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0" fillId="0" borderId="0" xfId="4" applyNumberFormat="1" applyFont="1"/>
    <xf numFmtId="2" fontId="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22" fillId="0" borderId="0" xfId="0" applyFont="1" applyAlignment="1">
      <alignment horizontal="left"/>
    </xf>
    <xf numFmtId="15" fontId="0" fillId="0" borderId="0" xfId="0" applyNumberFormat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Border="1"/>
    <xf numFmtId="0" fontId="15" fillId="0" borderId="0" xfId="0" applyFont="1" applyBorder="1"/>
    <xf numFmtId="0" fontId="15" fillId="0" borderId="0" xfId="0" applyFont="1"/>
    <xf numFmtId="9" fontId="6" fillId="0" borderId="0" xfId="0" applyNumberFormat="1" applyFont="1"/>
    <xf numFmtId="2" fontId="24" fillId="0" borderId="1" xfId="0" applyNumberFormat="1" applyFont="1" applyBorder="1"/>
    <xf numFmtId="0" fontId="8" fillId="0" borderId="0" xfId="0" applyFont="1"/>
    <xf numFmtId="10" fontId="24" fillId="0" borderId="1" xfId="4" applyNumberFormat="1" applyFont="1" applyBorder="1"/>
    <xf numFmtId="10" fontId="24" fillId="0" borderId="1" xfId="0" applyNumberFormat="1" applyFont="1" applyBorder="1"/>
    <xf numFmtId="10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7" fillId="0" borderId="0" xfId="0" applyFont="1"/>
    <xf numFmtId="10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15" fontId="0" fillId="0" borderId="0" xfId="0" applyNumberFormat="1"/>
    <xf numFmtId="9" fontId="0" fillId="0" borderId="0" xfId="0" applyNumberFormat="1"/>
    <xf numFmtId="1" fontId="0" fillId="0" borderId="0" xfId="0" applyNumberFormat="1"/>
    <xf numFmtId="0" fontId="4" fillId="0" borderId="0" xfId="0" applyFont="1"/>
    <xf numFmtId="0" fontId="0" fillId="0" borderId="0" xfId="0" applyFont="1"/>
    <xf numFmtId="10" fontId="6" fillId="2" borderId="1" xfId="0" applyNumberFormat="1" applyFont="1" applyFill="1" applyBorder="1" applyAlignment="1">
      <alignment horizontal="center"/>
    </xf>
    <xf numFmtId="10" fontId="25" fillId="0" borderId="1" xfId="0" applyNumberFormat="1" applyFont="1" applyBorder="1"/>
    <xf numFmtId="2" fontId="0" fillId="0" borderId="0" xfId="0" applyNumberFormat="1" applyAlignment="1">
      <alignment horizontal="center"/>
    </xf>
    <xf numFmtId="0" fontId="6" fillId="0" borderId="7" xfId="0" applyFont="1" applyBorder="1"/>
    <xf numFmtId="0" fontId="0" fillId="0" borderId="11" xfId="0" applyBorder="1" applyAlignment="1">
      <alignment horizontal="center"/>
    </xf>
    <xf numFmtId="0" fontId="10" fillId="0" borderId="0" xfId="3" applyAlignment="1" applyProtection="1"/>
    <xf numFmtId="1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10" fontId="0" fillId="0" borderId="0" xfId="4" applyNumberFormat="1" applyFont="1" applyFill="1" applyBorder="1" applyAlignment="1" applyProtection="1"/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 applyProtection="1">
      <alignment horizontal="left"/>
    </xf>
    <xf numFmtId="0" fontId="9" fillId="0" borderId="12" xfId="0" applyFont="1" applyBorder="1" applyAlignment="1">
      <alignment horizontal="centerContinuous"/>
    </xf>
    <xf numFmtId="0" fontId="9" fillId="0" borderId="13" xfId="0" applyFont="1" applyBorder="1" applyAlignment="1">
      <alignment horizontal="centerContinuous"/>
    </xf>
    <xf numFmtId="0" fontId="9" fillId="0" borderId="14" xfId="0" applyFont="1" applyBorder="1" applyAlignment="1">
      <alignment horizontal="centerContinuous"/>
    </xf>
    <xf numFmtId="0" fontId="26" fillId="0" borderId="1" xfId="0" applyFont="1" applyBorder="1" applyAlignment="1">
      <alignment horizontal="center"/>
    </xf>
    <xf numFmtId="10" fontId="23" fillId="0" borderId="1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0" fontId="23" fillId="0" borderId="0" xfId="0" applyNumberFormat="1" applyFont="1" applyBorder="1" applyAlignment="1">
      <alignment horizontal="center"/>
    </xf>
    <xf numFmtId="10" fontId="7" fillId="0" borderId="0" xfId="4" applyNumberFormat="1" applyFont="1"/>
    <xf numFmtId="2" fontId="6" fillId="3" borderId="1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wrapText="1"/>
    </xf>
    <xf numFmtId="0" fontId="4" fillId="0" borderId="0" xfId="0" applyFont="1" applyBorder="1" applyAlignment="1">
      <alignment horizontal="center"/>
    </xf>
    <xf numFmtId="17" fontId="0" fillId="0" borderId="0" xfId="0" applyNumberFormat="1"/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2" xfId="0" applyFill="1" applyBorder="1" applyAlignment="1">
      <alignment horizontal="center"/>
    </xf>
    <xf numFmtId="10" fontId="27" fillId="0" borderId="1" xfId="0" applyNumberFormat="1" applyFont="1" applyBorder="1" applyAlignment="1">
      <alignment horizontal="center" vertical="center"/>
    </xf>
    <xf numFmtId="10" fontId="27" fillId="0" borderId="1" xfId="4" applyNumberFormat="1" applyFont="1" applyBorder="1" applyAlignment="1">
      <alignment horizontal="center" vertical="center"/>
    </xf>
    <xf numFmtId="10" fontId="27" fillId="0" borderId="1" xfId="0" applyNumberFormat="1" applyFont="1" applyFill="1" applyBorder="1" applyAlignment="1">
      <alignment horizontal="center" vertical="center"/>
    </xf>
    <xf numFmtId="10" fontId="27" fillId="0" borderId="1" xfId="0" applyNumberFormat="1" applyFont="1" applyBorder="1" applyAlignment="1">
      <alignment horizontal="center"/>
    </xf>
    <xf numFmtId="10" fontId="27" fillId="0" borderId="1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0" xfId="0" applyFont="1"/>
    <xf numFmtId="15" fontId="14" fillId="0" borderId="0" xfId="0" applyNumberFormat="1" applyFont="1"/>
    <xf numFmtId="0" fontId="14" fillId="0" borderId="0" xfId="0" applyFont="1"/>
    <xf numFmtId="170" fontId="14" fillId="0" borderId="0" xfId="0" applyNumberFormat="1" applyFont="1"/>
    <xf numFmtId="168" fontId="14" fillId="0" borderId="0" xfId="0" applyNumberFormat="1" applyFont="1"/>
    <xf numFmtId="169" fontId="14" fillId="0" borderId="0" xfId="0" applyNumberFormat="1" applyFont="1"/>
    <xf numFmtId="2" fontId="14" fillId="0" borderId="0" xfId="0" applyNumberFormat="1" applyFont="1"/>
    <xf numFmtId="167" fontId="14" fillId="0" borderId="0" xfId="0" applyNumberFormat="1" applyFont="1"/>
    <xf numFmtId="10" fontId="14" fillId="0" borderId="0" xfId="4" applyNumberFormat="1" applyFont="1"/>
    <xf numFmtId="171" fontId="19" fillId="0" borderId="0" xfId="2" applyNumberFormat="1" applyFont="1" applyAlignment="1">
      <alignment horizontal="right"/>
    </xf>
    <xf numFmtId="171" fontId="14" fillId="0" borderId="0" xfId="2" applyNumberFormat="1" applyFont="1"/>
    <xf numFmtId="1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6" fontId="0" fillId="4" borderId="0" xfId="0" applyNumberFormat="1" applyFill="1" applyAlignment="1">
      <alignment horizontal="center"/>
    </xf>
    <xf numFmtId="172" fontId="19" fillId="0" borderId="0" xfId="0" applyNumberFormat="1" applyFont="1" applyAlignment="1">
      <alignment horizontal="right"/>
    </xf>
    <xf numFmtId="0" fontId="0" fillId="0" borderId="0" xfId="0" applyFill="1"/>
    <xf numFmtId="0" fontId="17" fillId="0" borderId="1" xfId="0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10" fontId="6" fillId="0" borderId="3" xfId="4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44" fontId="6" fillId="0" borderId="1" xfId="2" applyFont="1" applyBorder="1" applyAlignment="1">
      <alignment horizontal="center"/>
    </xf>
    <xf numFmtId="44" fontId="6" fillId="0" borderId="7" xfId="2" applyFont="1" applyBorder="1" applyAlignment="1">
      <alignment horizontal="center"/>
    </xf>
    <xf numFmtId="44" fontId="6" fillId="3" borderId="1" xfId="2" applyFont="1" applyFill="1" applyBorder="1" applyAlignment="1">
      <alignment horizontal="center"/>
    </xf>
    <xf numFmtId="44" fontId="6" fillId="0" borderId="0" xfId="2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5" fontId="0" fillId="5" borderId="0" xfId="0" applyNumberFormat="1" applyFill="1" applyAlignment="1">
      <alignment horizontal="center"/>
    </xf>
    <xf numFmtId="10" fontId="6" fillId="0" borderId="1" xfId="4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3" fontId="6" fillId="0" borderId="1" xfId="1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15" fontId="0" fillId="4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23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10" fontId="13" fillId="0" borderId="1" xfId="4" applyNumberFormat="1" applyFont="1" applyFill="1" applyBorder="1" applyAlignment="1">
      <alignment horizontal="center"/>
    </xf>
    <xf numFmtId="10" fontId="22" fillId="0" borderId="0" xfId="4" applyNumberFormat="1" applyFont="1" applyFill="1" applyBorder="1" applyAlignment="1" applyProtection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 wrapText="1"/>
    </xf>
    <xf numFmtId="0" fontId="0" fillId="2" borderId="1" xfId="0" applyFill="1" applyBorder="1"/>
    <xf numFmtId="2" fontId="0" fillId="2" borderId="1" xfId="0" applyNumberFormat="1" applyFill="1" applyBorder="1"/>
    <xf numFmtId="0" fontId="27" fillId="0" borderId="8" xfId="0" applyFont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8" xfId="0" applyNumberFormat="1" applyFont="1" applyBorder="1" applyAlignment="1">
      <alignment horizontal="center" vertical="center"/>
    </xf>
    <xf numFmtId="1" fontId="27" fillId="0" borderId="8" xfId="0" applyNumberFormat="1" applyFont="1" applyBorder="1" applyAlignment="1">
      <alignment horizontal="center" vertical="center"/>
    </xf>
    <xf numFmtId="1" fontId="27" fillId="0" borderId="8" xfId="0" applyNumberFormat="1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10" fontId="27" fillId="0" borderId="5" xfId="0" applyNumberFormat="1" applyFont="1" applyBorder="1" applyAlignment="1">
      <alignment horizontal="center" vertical="center"/>
    </xf>
    <xf numFmtId="10" fontId="27" fillId="0" borderId="5" xfId="0" applyNumberFormat="1" applyFont="1" applyBorder="1" applyAlignment="1">
      <alignment horizontal="center"/>
    </xf>
    <xf numFmtId="10" fontId="27" fillId="0" borderId="5" xfId="0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0" fontId="28" fillId="0" borderId="16" xfId="0" applyNumberFormat="1" applyFont="1" applyBorder="1" applyAlignment="1">
      <alignment horizontal="center" vertical="center"/>
    </xf>
    <xf numFmtId="0" fontId="27" fillId="0" borderId="17" xfId="0" applyFont="1" applyBorder="1" applyAlignment="1">
      <alignment horizontal="center"/>
    </xf>
    <xf numFmtId="10" fontId="27" fillId="0" borderId="7" xfId="0" applyNumberFormat="1" applyFont="1" applyBorder="1" applyAlignment="1">
      <alignment horizontal="center"/>
    </xf>
    <xf numFmtId="10" fontId="27" fillId="0" borderId="11" xfId="0" applyNumberFormat="1" applyFont="1" applyBorder="1" applyAlignment="1">
      <alignment horizontal="center"/>
    </xf>
    <xf numFmtId="10" fontId="27" fillId="0" borderId="7" xfId="4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2" fontId="0" fillId="0" borderId="1" xfId="0" applyNumberFormat="1" applyBorder="1"/>
    <xf numFmtId="0" fontId="6" fillId="0" borderId="0" xfId="0" applyFont="1" applyBorder="1"/>
    <xf numFmtId="10" fontId="25" fillId="0" borderId="0" xfId="0" applyNumberFormat="1" applyFont="1" applyBorder="1"/>
    <xf numFmtId="44" fontId="25" fillId="0" borderId="1" xfId="2" applyFont="1" applyBorder="1"/>
    <xf numFmtId="0" fontId="6" fillId="2" borderId="1" xfId="0" applyFont="1" applyFill="1" applyBorder="1"/>
    <xf numFmtId="2" fontId="20" fillId="2" borderId="1" xfId="0" applyNumberFormat="1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/>
    </xf>
    <xf numFmtId="10" fontId="21" fillId="6" borderId="1" xfId="0" applyNumberFormat="1" applyFont="1" applyFill="1" applyBorder="1" applyAlignment="1">
      <alignment horizontal="center"/>
    </xf>
    <xf numFmtId="10" fontId="21" fillId="6" borderId="21" xfId="0" applyNumberFormat="1" applyFont="1" applyFill="1" applyBorder="1" applyAlignment="1">
      <alignment horizontal="center"/>
    </xf>
    <xf numFmtId="44" fontId="21" fillId="6" borderId="1" xfId="2" applyNumberFormat="1" applyFont="1" applyFill="1" applyBorder="1" applyAlignment="1">
      <alignment horizontal="center"/>
    </xf>
    <xf numFmtId="0" fontId="21" fillId="0" borderId="21" xfId="0" applyFont="1" applyBorder="1" applyAlignment="1">
      <alignment horizontal="center"/>
    </xf>
    <xf numFmtId="10" fontId="21" fillId="0" borderId="1" xfId="0" applyNumberFormat="1" applyFont="1" applyBorder="1" applyAlignment="1">
      <alignment horizontal="center"/>
    </xf>
    <xf numFmtId="10" fontId="21" fillId="0" borderId="21" xfId="0" applyNumberFormat="1" applyFont="1" applyBorder="1" applyAlignment="1">
      <alignment horizontal="center"/>
    </xf>
    <xf numFmtId="44" fontId="21" fillId="0" borderId="1" xfId="2" applyFont="1" applyBorder="1" applyAlignment="1">
      <alignment horizontal="center"/>
    </xf>
    <xf numFmtId="44" fontId="23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4" applyNumberFormat="1" applyFont="1" applyAlignment="1">
      <alignment horizontal="center"/>
    </xf>
    <xf numFmtId="15" fontId="0" fillId="0" borderId="0" xfId="0" applyNumberForma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10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left"/>
    </xf>
    <xf numFmtId="2" fontId="1" fillId="7" borderId="1" xfId="0" applyNumberFormat="1" applyFont="1" applyFill="1" applyBorder="1" applyAlignment="1">
      <alignment horizontal="center"/>
    </xf>
    <xf numFmtId="10" fontId="1" fillId="7" borderId="1" xfId="0" applyNumberFormat="1" applyFont="1" applyFill="1" applyBorder="1" applyAlignment="1">
      <alignment horizontal="center"/>
    </xf>
    <xf numFmtId="10" fontId="3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0" fontId="13" fillId="7" borderId="1" xfId="4" applyNumberFormat="1" applyFont="1" applyFill="1" applyBorder="1" applyAlignment="1">
      <alignment horizontal="center"/>
    </xf>
    <xf numFmtId="10" fontId="1" fillId="7" borderId="0" xfId="0" applyNumberFormat="1" applyFont="1" applyFill="1" applyBorder="1" applyAlignment="1">
      <alignment horizontal="center"/>
    </xf>
    <xf numFmtId="2" fontId="1" fillId="7" borderId="0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Border="1" applyAlignment="1"/>
    <xf numFmtId="10" fontId="0" fillId="8" borderId="1" xfId="4" applyNumberFormat="1" applyFont="1" applyFill="1" applyBorder="1"/>
    <xf numFmtId="10" fontId="0" fillId="8" borderId="2" xfId="0" applyNumberFormat="1" applyFill="1" applyBorder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73" fontId="36" fillId="0" borderId="0" xfId="0" applyNumberFormat="1" applyFont="1" applyAlignment="1">
      <alignment horizontal="right"/>
    </xf>
  </cellXfs>
  <cellStyles count="11">
    <cellStyle name="Comma" xfId="1" builtinId="3"/>
    <cellStyle name="Currency" xfId="2" builtinId="4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3" builtinId="8"/>
    <cellStyle name="Normal" xfId="0" builtinId="0"/>
    <cellStyle name="Percent" xfId="4" builtinId="5"/>
  </cellStyles>
  <dxfs count="27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0" formatCode="d\-mmm\-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698500</xdr:colOff>
      <xdr:row>27</xdr:row>
      <xdr:rowOff>0</xdr:rowOff>
    </xdr:from>
    <xdr:to>
      <xdr:col>7</xdr:col>
      <xdr:colOff>876300</xdr:colOff>
      <xdr:row>29</xdr:row>
      <xdr:rowOff>22860</xdr:rowOff>
    </xdr:to>
    <xdr:sp macro="" textlink="">
      <xdr:nvSpPr>
        <xdr:cNvPr id="1680" name="Rectangle 1">
          <a:extLst>
            <a:ext uri="{FF2B5EF4-FFF2-40B4-BE49-F238E27FC236}">
              <a16:creationId xmlns:a16="http://schemas.microsoft.com/office/drawing/2014/main" id="{3C977FC5-F8BC-B941-AC5F-A533DCEFEEAE}"/>
            </a:ext>
          </a:extLst>
        </xdr:cNvPr>
        <xdr:cNvSpPr>
          <a:spLocks noChangeArrowheads="1"/>
        </xdr:cNvSpPr>
      </xdr:nvSpPr>
      <xdr:spPr bwMode="auto">
        <a:xfrm>
          <a:off x="12115800" y="4864100"/>
          <a:ext cx="1778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10</xdr:col>
      <xdr:colOff>939800</xdr:colOff>
      <xdr:row>17</xdr:row>
      <xdr:rowOff>139700</xdr:rowOff>
    </xdr:from>
    <xdr:to>
      <xdr:col>13</xdr:col>
      <xdr:colOff>711200</xdr:colOff>
      <xdr:row>32</xdr:row>
      <xdr:rowOff>12700</xdr:rowOff>
    </xdr:to>
    <xdr:pic>
      <xdr:nvPicPr>
        <xdr:cNvPr id="18123" name="Picture 1">
          <a:extLst>
            <a:ext uri="{FF2B5EF4-FFF2-40B4-BE49-F238E27FC236}">
              <a16:creationId xmlns:a16="http://schemas.microsoft.com/office/drawing/2014/main" id="{F5D125F5-52DE-644A-ACE0-8CC2A82CE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7500" y="3708400"/>
          <a:ext cx="2628900" cy="269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4749800</xdr:colOff>
      <xdr:row>48</xdr:row>
      <xdr:rowOff>12700</xdr:rowOff>
    </xdr:from>
    <xdr:to>
      <xdr:col>4</xdr:col>
      <xdr:colOff>63500</xdr:colOff>
      <xdr:row>60</xdr:row>
      <xdr:rowOff>127000</xdr:rowOff>
    </xdr:to>
    <xdr:pic>
      <xdr:nvPicPr>
        <xdr:cNvPr id="18124" name="Picture 1">
          <a:extLst>
            <a:ext uri="{FF2B5EF4-FFF2-40B4-BE49-F238E27FC236}">
              <a16:creationId xmlns:a16="http://schemas.microsoft.com/office/drawing/2014/main" id="{8B1D68DB-2932-2147-B363-62C370A9A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800" y="9410700"/>
          <a:ext cx="3657600" cy="224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50801</xdr:colOff>
      <xdr:row>18</xdr:row>
      <xdr:rowOff>139700</xdr:rowOff>
    </xdr:from>
    <xdr:to>
      <xdr:col>5</xdr:col>
      <xdr:colOff>673101</xdr:colOff>
      <xdr:row>40</xdr:row>
      <xdr:rowOff>25183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4AEEA0-7767-4045-A5D6-B2FE395C7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1" y="3416300"/>
          <a:ext cx="6819900" cy="3797083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1295400</xdr:colOff>
      <xdr:row>24</xdr:row>
      <xdr:rowOff>165100</xdr:rowOff>
    </xdr:from>
    <xdr:to>
      <xdr:col>12</xdr:col>
      <xdr:colOff>584200</xdr:colOff>
      <xdr:row>46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3184F9-4626-6E48-92BC-2245A3FEF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0200" y="4508500"/>
          <a:ext cx="6032500" cy="382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1" displayName="List1" ref="A1:I24" totalsRowShown="0" headerRowDxfId="26">
  <autoFilter ref="A1:I24" xr:uid="{00000000-0009-0000-0100-000001000000}"/>
  <tableColumns count="9">
    <tableColumn id="1" xr3:uid="{00000000-0010-0000-0000-000001000000}" name="Year"/>
    <tableColumn id="2" xr3:uid="{00000000-0010-0000-0000-000002000000}" name="Dividend Yield"/>
    <tableColumn id="3" xr3:uid="{00000000-0010-0000-0000-000003000000}" name="Buybacks/Index"/>
    <tableColumn id="4" xr3:uid="{00000000-0010-0000-0000-000004000000}" name="Gross Cash Yield"/>
    <tableColumn id="7" xr3:uid="{00000000-0010-0000-0000-000007000000}" name="Payout" dataDxfId="25"/>
    <tableColumn id="8" xr3:uid="{00000000-0010-0000-0000-000008000000}" name="Return on Equity" dataDxfId="24"/>
    <tableColumn id="9" xr3:uid="{00000000-0010-0000-0000-000009000000}" name="Net Profit Margin" dataDxfId="23"/>
    <tableColumn id="10" xr3:uid="{00000000-0010-0000-0000-00000A000000}" name="Column1" dataDxfId="22"/>
    <tableColumn id="5" xr3:uid="{7DF5D73E-55E3-8645-8627-1D880972964D}" name="Column2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02000000}" name="Table168" displayName="Table168" ref="A1:E60" totalsRowShown="0" headerRowDxfId="20" headerRowBorderDxfId="19" tableBorderDxfId="18" totalsRowBorderDxfId="17">
  <autoFilter ref="A1:E60" xr:uid="{00000000-0009-0000-0100-0000A8000000}"/>
  <tableColumns count="5">
    <tableColumn id="1" xr3:uid="{00000000-0010-0000-0200-000001000000}" name="Year" dataDxfId="16"/>
    <tableColumn id="2" xr3:uid="{00000000-0010-0000-0200-000002000000}" name="Earnings Yield" dataDxfId="15"/>
    <tableColumn id="3" xr3:uid="{00000000-0010-0000-0200-000003000000}" name="Dividend Yield" dataDxfId="14" dataCellStyle="Percent"/>
    <tableColumn id="4" xr3:uid="{00000000-0010-0000-0200-000004000000}" name="T.Bond Rate" dataDxfId="13"/>
    <tableColumn id="5" xr3:uid="{00000000-0010-0000-0200-000005000000}" name="Implied ERP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00000000-000C-0000-FFFF-FFFF01000000}" name="Table167" displayName="Table167" ref="A1:L132" totalsRowShown="0" headerRowDxfId="11">
  <autoFilter ref="A1:L132" xr:uid="{00000000-0009-0000-0100-0000A7000000}"/>
  <tableColumns count="12">
    <tableColumn id="1" xr3:uid="{00000000-0010-0000-0100-000001000000}" name="Start of month" dataDxfId="10"/>
    <tableColumn id="2" xr3:uid="{00000000-0010-0000-0100-000002000000}" name="S&amp;P 500"/>
    <tableColumn id="3" xr3:uid="{00000000-0010-0000-0100-000003000000}" name="T.Bond Rate" dataDxfId="9"/>
    <tableColumn id="4" xr3:uid="{00000000-0010-0000-0100-000004000000}" name="Ten-year average CF" dataDxfId="8"/>
    <tableColumn id="5" xr3:uid="{00000000-0010-0000-0100-000005000000}" name="CF (Trailing 12 month)" dataDxfId="7"/>
    <tableColumn id="6" xr3:uid="{00000000-0010-0000-0100-000006000000}" name="Normalized CF" dataDxfId="6"/>
    <tableColumn id="7" xr3:uid="{00000000-0010-0000-0100-000007000000}" name="Expected growth rate" dataDxfId="5"/>
    <tableColumn id="8" xr3:uid="{00000000-0010-0000-0100-000008000000}" name="ERP (T12 m with sustainable payout)" dataDxfId="4"/>
    <tableColumn id="9" xr3:uid="{00000000-0010-0000-0100-000009000000}" name="ERP (T12m)" dataDxfId="3"/>
    <tableColumn id="10" xr3:uid="{00000000-0010-0000-0100-00000A000000}" name="ERP (Smoothed)" dataDxfId="2"/>
    <tableColumn id="11" xr3:uid="{00000000-0010-0000-0100-00000B000000}" name="ERP (Normalized)" dataDxfId="1"/>
    <tableColumn id="12" xr3:uid="{00000000-0010-0000-0100-00000C000000}" name="ERP (Net Cash Yield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us.spindices.com/indices/equity/sp-500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www.trpropresearch.com/" TargetMode="External"/><Relationship Id="rId1" Type="http://schemas.openxmlformats.org/officeDocument/2006/relationships/hyperlink" Target="http://www.factset.com/websitefiles/PDFs/earningsinsight/earningsinsight_12.19.14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www.yarden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35" zoomScale="125" workbookViewId="0">
      <selection activeCell="B5" sqref="B5"/>
    </sheetView>
  </sheetViews>
  <sheetFormatPr baseColWidth="10" defaultRowHeight="14"/>
  <cols>
    <col min="1" max="1" width="54.140625" bestFit="1" customWidth="1"/>
    <col min="2" max="2" width="14.5703125" customWidth="1"/>
    <col min="3" max="6" width="12.5703125" customWidth="1"/>
    <col min="7" max="7" width="9.42578125" customWidth="1"/>
    <col min="8" max="8" width="14.5703125" bestFit="1" customWidth="1"/>
    <col min="13" max="13" width="10.7109375" style="77"/>
  </cols>
  <sheetData>
    <row r="1" spans="1:13" s="1" customFormat="1" ht="33">
      <c r="A1" s="246" t="s">
        <v>0</v>
      </c>
      <c r="B1" s="246"/>
      <c r="C1" s="246"/>
      <c r="D1" s="246"/>
      <c r="E1" s="246"/>
      <c r="F1" s="246"/>
      <c r="G1" s="246"/>
      <c r="H1" s="246"/>
      <c r="I1" s="246"/>
      <c r="J1" s="246"/>
      <c r="M1" s="76"/>
    </row>
    <row r="2" spans="1:13" s="62" customFormat="1" ht="33">
      <c r="A2" s="60" t="s">
        <v>51</v>
      </c>
      <c r="B2" s="61"/>
      <c r="D2" s="99"/>
      <c r="H2" s="77"/>
    </row>
    <row r="3" spans="1:13" s="62" customFormat="1" ht="17" customHeight="1">
      <c r="A3" s="197" t="s">
        <v>192</v>
      </c>
      <c r="B3" s="201" t="s">
        <v>191</v>
      </c>
      <c r="D3" s="99" t="s">
        <v>188</v>
      </c>
      <c r="H3" s="77"/>
    </row>
    <row r="4" spans="1:13" s="4" customFormat="1">
      <c r="A4" s="2" t="s">
        <v>40</v>
      </c>
      <c r="B4" s="27">
        <v>2941.76</v>
      </c>
      <c r="D4" s="2" t="s">
        <v>17</v>
      </c>
      <c r="G4" s="64">
        <f>'Buyback &amp; Dividend computation'!G44</f>
        <v>153.46813414634147</v>
      </c>
      <c r="H4" s="40" t="s">
        <v>38</v>
      </c>
      <c r="I4" s="70" t="s">
        <v>210</v>
      </c>
    </row>
    <row r="5" spans="1:13" s="4" customFormat="1">
      <c r="A5" s="2" t="s">
        <v>52</v>
      </c>
      <c r="B5" s="69" t="s">
        <v>38</v>
      </c>
      <c r="D5" s="2" t="s">
        <v>28</v>
      </c>
      <c r="G5" s="64">
        <f>'Buyback &amp; Dividend computation'!D20*'Buyback &amp; Dividend computation'!D23</f>
        <v>143.31723025866881</v>
      </c>
      <c r="H5" s="40" t="s">
        <v>36</v>
      </c>
      <c r="I5" s="70" t="s">
        <v>211</v>
      </c>
    </row>
    <row r="6" spans="1:13" s="4" customFormat="1">
      <c r="A6" s="2" t="s">
        <v>26</v>
      </c>
      <c r="B6" s="31">
        <f>IF(B5="C",G4/B4,IF(B5="A10",G5/B4,IF(B5="A5",G6/B4,IF(B5="P10",G7/B4,IF(B5="p5",G8/B4,IF(B5="NC",G10/B4,G9/B4))))))</f>
        <v>5.2168815316797242E-2</v>
      </c>
      <c r="C6" s="2"/>
      <c r="D6" s="63" t="s">
        <v>30</v>
      </c>
      <c r="G6" s="64">
        <f>'Buyback &amp; Dividend computation'!D21*'Buyback &amp; Dividend computation'!D23</f>
        <v>148.19790427294751</v>
      </c>
      <c r="H6" s="40" t="s">
        <v>39</v>
      </c>
      <c r="I6" s="70" t="s">
        <v>212</v>
      </c>
    </row>
    <row r="7" spans="1:13" s="4" customFormat="1">
      <c r="A7" s="2" t="s">
        <v>68</v>
      </c>
      <c r="B7" s="68" t="s">
        <v>65</v>
      </c>
      <c r="C7" s="2"/>
      <c r="D7" s="2" t="s">
        <v>53</v>
      </c>
      <c r="G7" s="64">
        <f>'Buyback &amp; Dividend computation'!E20*'Buyback &amp; Dividend computation'!C44</f>
        <v>130.73398703090766</v>
      </c>
      <c r="H7" s="40" t="s">
        <v>55</v>
      </c>
      <c r="I7" s="70" t="s">
        <v>213</v>
      </c>
    </row>
    <row r="8" spans="1:13" s="4" customFormat="1">
      <c r="A8" s="2" t="s">
        <v>69</v>
      </c>
      <c r="B8" s="31">
        <f>IF(B7="H",G12,IF(B7="BU",G13,IF(B7="TD",G14,IF(B7="FC",G15,G16))))</f>
        <v>3.439150165119953E-2</v>
      </c>
      <c r="D8" s="2" t="s">
        <v>54</v>
      </c>
      <c r="G8" s="64">
        <f>'Buyback &amp; Dividend computation'!E21*'Buyback &amp; Dividend computation'!C44</f>
        <v>148.45684327074531</v>
      </c>
      <c r="H8" s="40" t="s">
        <v>56</v>
      </c>
      <c r="I8" s="70" t="s">
        <v>214</v>
      </c>
    </row>
    <row r="9" spans="1:13" s="4" customFormat="1">
      <c r="A9" s="2" t="s">
        <v>70</v>
      </c>
      <c r="B9" s="29">
        <v>0.02</v>
      </c>
      <c r="D9" s="2" t="s">
        <v>103</v>
      </c>
      <c r="G9" s="64">
        <f>'Buyback &amp; Dividend computation'!E20*AVERAGE('Buyback &amp; Dividend computation'!Q34:Q44)</f>
        <v>98.000805951911971</v>
      </c>
      <c r="H9" s="40" t="s">
        <v>95</v>
      </c>
      <c r="I9" s="70" t="s">
        <v>215</v>
      </c>
    </row>
    <row r="10" spans="1:13" s="4" customFormat="1">
      <c r="A10" s="2" t="s">
        <v>89</v>
      </c>
      <c r="B10" s="78" t="s">
        <v>87</v>
      </c>
      <c r="D10" s="2" t="s">
        <v>138</v>
      </c>
      <c r="G10" s="64">
        <f>'Buyback &amp; Dividend computation'!H44</f>
        <v>144.51286590546636</v>
      </c>
      <c r="H10" s="40" t="s">
        <v>139</v>
      </c>
      <c r="I10" s="70" t="s">
        <v>216</v>
      </c>
    </row>
    <row r="11" spans="1:13" s="4" customFormat="1" ht="16">
      <c r="A11" s="2" t="s">
        <v>88</v>
      </c>
      <c r="B11" s="30">
        <f>IF(B10="HUS",G19,IF(B10="HG",G20,IF(B10="ERP10",G21,IF(B10="ERPLong",G22,G23))))</f>
        <v>5.5669999999999997E-2</v>
      </c>
      <c r="D11" s="99" t="s">
        <v>57</v>
      </c>
      <c r="E11" s="2"/>
      <c r="F11" s="2"/>
      <c r="G11" s="2"/>
      <c r="H11" s="2"/>
    </row>
    <row r="12" spans="1:13" s="2" customFormat="1">
      <c r="A12" s="2" t="s">
        <v>126</v>
      </c>
      <c r="B12" s="28">
        <f>B9</f>
        <v>0.02</v>
      </c>
      <c r="D12" s="2" t="s">
        <v>58</v>
      </c>
      <c r="E12" s="4"/>
      <c r="F12" s="4"/>
      <c r="G12" s="66">
        <f>('Buyback &amp; Dividend computation'!C44/'Buyback &amp; Dividend computation'!C33)^(1/10)-1</f>
        <v>0.11971343112882238</v>
      </c>
      <c r="H12" s="40" t="s">
        <v>63</v>
      </c>
    </row>
    <row r="13" spans="1:13" s="4" customFormat="1">
      <c r="A13" s="2" t="s">
        <v>175</v>
      </c>
      <c r="B13" s="69" t="s">
        <v>177</v>
      </c>
      <c r="D13" s="2" t="s">
        <v>59</v>
      </c>
      <c r="G13" s="67">
        <f>'Expected growth rate'!L9</f>
        <v>6.4740994758475168E-2</v>
      </c>
      <c r="H13" s="40" t="s">
        <v>64</v>
      </c>
    </row>
    <row r="14" spans="1:13" s="4" customFormat="1">
      <c r="A14" s="4" t="s">
        <v>93</v>
      </c>
      <c r="D14" s="2" t="s">
        <v>60</v>
      </c>
      <c r="G14" s="67">
        <f>'Expected growth rate'!B9</f>
        <v>3.439150165119953E-2</v>
      </c>
      <c r="H14" s="40" t="s">
        <v>65</v>
      </c>
    </row>
    <row r="15" spans="1:13" s="4" customFormat="1">
      <c r="A15" s="2" t="s">
        <v>194</v>
      </c>
      <c r="D15" s="2" t="s">
        <v>61</v>
      </c>
      <c r="G15" s="66">
        <f>(1-((B6*B4)/B30))*'Buyback &amp; Dividend computation'!$F18</f>
        <v>-9.5623020216484983E-5</v>
      </c>
      <c r="H15" s="40" t="s">
        <v>66</v>
      </c>
    </row>
    <row r="16" spans="1:13" s="4" customFormat="1">
      <c r="A16" s="2" t="s">
        <v>195</v>
      </c>
      <c r="D16" s="2" t="s">
        <v>62</v>
      </c>
      <c r="G16" s="66">
        <f>(1-((B6*B4)/B30))*'Buyback &amp; Dividend computation'!$F20</f>
        <v>-9.2225679160983927E-5</v>
      </c>
      <c r="H16" s="40" t="s">
        <v>67</v>
      </c>
    </row>
    <row r="17" spans="1:13" s="4" customFormat="1">
      <c r="A17" s="2" t="s">
        <v>196</v>
      </c>
    </row>
    <row r="18" spans="1:13" s="4" customFormat="1" ht="16">
      <c r="A18" s="2" t="s">
        <v>180</v>
      </c>
      <c r="D18" s="99" t="s">
        <v>92</v>
      </c>
    </row>
    <row r="19" spans="1:13" s="4" customFormat="1">
      <c r="A19" s="70" t="s">
        <v>94</v>
      </c>
      <c r="D19" s="2" t="s">
        <v>71</v>
      </c>
      <c r="G19" s="79">
        <f>'Historical ERP'!J92</f>
        <v>4.7690416117554868E-2</v>
      </c>
      <c r="H19" s="40" t="s">
        <v>85</v>
      </c>
      <c r="I19" s="96"/>
    </row>
    <row r="20" spans="1:13" s="4" customFormat="1" ht="16">
      <c r="A20" s="2" t="s">
        <v>197</v>
      </c>
      <c r="D20" s="2" t="s">
        <v>72</v>
      </c>
      <c r="E20" s="11"/>
      <c r="F20" s="11"/>
      <c r="G20" s="79">
        <v>3.2000000000000001E-2</v>
      </c>
      <c r="H20" s="40" t="s">
        <v>86</v>
      </c>
    </row>
    <row r="21" spans="1:13" s="11" customFormat="1" ht="16">
      <c r="A21" s="2" t="s">
        <v>98</v>
      </c>
      <c r="B21" s="4"/>
      <c r="C21" s="96"/>
      <c r="D21" s="2" t="s">
        <v>73</v>
      </c>
      <c r="E21" s="4"/>
      <c r="F21" s="4"/>
      <c r="G21" s="79">
        <f>AVERAGE('Implied ERP- Annual since 1960'!E51:E60)</f>
        <v>5.5669999999999997E-2</v>
      </c>
      <c r="H21" s="40" t="s">
        <v>87</v>
      </c>
    </row>
    <row r="22" spans="1:13" s="4" customFormat="1">
      <c r="A22" s="2" t="s">
        <v>198</v>
      </c>
      <c r="D22" s="2" t="s">
        <v>74</v>
      </c>
      <c r="G22" s="79">
        <f>AVERAGE('Implied ERP- Annual since 1960'!E3:E60)</f>
        <v>4.1994827586206901E-2</v>
      </c>
      <c r="H22" s="40" t="s">
        <v>129</v>
      </c>
    </row>
    <row r="23" spans="1:13" s="4" customFormat="1">
      <c r="A23" s="2" t="s">
        <v>199</v>
      </c>
      <c r="D23" s="2" t="s">
        <v>127</v>
      </c>
      <c r="G23" s="79">
        <f>MAX('Implied ERP- Annual since 1960'!E3:E60)</f>
        <v>6.6900000000000001E-2</v>
      </c>
      <c r="H23" s="4" t="s">
        <v>128</v>
      </c>
    </row>
    <row r="24" spans="1:13" s="4" customFormat="1" ht="16">
      <c r="A24" s="2"/>
      <c r="D24" s="99" t="s">
        <v>189</v>
      </c>
      <c r="G24" s="198"/>
    </row>
    <row r="25" spans="1:13" s="4" customFormat="1">
      <c r="A25" s="2"/>
      <c r="D25" s="2" t="s">
        <v>202</v>
      </c>
      <c r="G25" s="199">
        <f>'Buyback &amp; Dividend computation'!C44</f>
        <v>153.37755239385726</v>
      </c>
      <c r="H25" s="4" t="s">
        <v>191</v>
      </c>
    </row>
    <row r="26" spans="1:13" s="4" customFormat="1">
      <c r="D26" s="2" t="s">
        <v>190</v>
      </c>
      <c r="G26" s="200">
        <v>140.41999999999999</v>
      </c>
      <c r="H26" s="4" t="s">
        <v>203</v>
      </c>
    </row>
    <row r="27" spans="1:13" s="4" customFormat="1"/>
    <row r="28" spans="1:13" s="4" customFormat="1" ht="16">
      <c r="A28" s="247" t="s">
        <v>90</v>
      </c>
      <c r="B28" s="248"/>
      <c r="C28" s="248"/>
      <c r="D28" s="248"/>
      <c r="E28" s="248"/>
      <c r="F28" s="248"/>
      <c r="G28" s="248"/>
      <c r="H28" s="11"/>
    </row>
    <row r="29" spans="1:13" s="4" customFormat="1">
      <c r="A29" s="12"/>
      <c r="B29" s="133" t="s">
        <v>173</v>
      </c>
      <c r="C29" s="12">
        <v>1</v>
      </c>
      <c r="D29" s="12">
        <v>2</v>
      </c>
      <c r="E29" s="12">
        <v>3</v>
      </c>
      <c r="F29" s="12">
        <v>4</v>
      </c>
      <c r="G29" s="12">
        <v>5</v>
      </c>
      <c r="H29" s="133" t="s">
        <v>174</v>
      </c>
    </row>
    <row r="30" spans="1:13" s="4" customFormat="1">
      <c r="A30" s="12" t="s">
        <v>171</v>
      </c>
      <c r="B30" s="134">
        <f>IF(B3="Reported",G25,G26)</f>
        <v>153.37755239385726</v>
      </c>
      <c r="C30" s="134">
        <f>B30*(1+'Impl premium calculator'!$B$8)^'Impl premium calculator'!C29</f>
        <v>158.65243674026755</v>
      </c>
      <c r="D30" s="134">
        <f>B30*(1+'Impl premium calculator'!$B$8)^'Impl premium calculator'!D29</f>
        <v>164.10873228038727</v>
      </c>
      <c r="E30" s="134">
        <f>B30*(1+'Impl premium calculator'!$B$8)^'Impl premium calculator'!E29</f>
        <v>169.75267801758449</v>
      </c>
      <c r="F30" s="134">
        <f>B30*(1+'Impl premium calculator'!$B$8)^'Impl premium calculator'!F29</f>
        <v>175.5907275239218</v>
      </c>
      <c r="G30" s="134">
        <f>B30*(1+'Impl premium calculator'!$B$8)^'Impl premium calculator'!G29</f>
        <v>181.62955631949609</v>
      </c>
      <c r="H30" s="136">
        <f>G30*(1+B9)</f>
        <v>185.262147445886</v>
      </c>
    </row>
    <row r="31" spans="1:13" s="4" customFormat="1">
      <c r="A31" s="12" t="s">
        <v>172</v>
      </c>
      <c r="B31" s="135">
        <f>B32/B30</f>
        <v>1.000590580245091</v>
      </c>
      <c r="C31" s="135">
        <f>IF($B$13="Yes",B31-($B$31-$H$31)/5,$B$31)</f>
        <v>1.000590580245091</v>
      </c>
      <c r="D31" s="135">
        <f>IF($B$13="Yes",C31-($B$31-$H$31)/5,$B$31)</f>
        <v>1.000590580245091</v>
      </c>
      <c r="E31" s="135">
        <f>IF($B$13="Yes",D31-($B$31-$H$31)/5,$B$31)</f>
        <v>1.000590580245091</v>
      </c>
      <c r="F31" s="135">
        <f>IF($B$13="Yes",E31-($B$31-$H$31)/5,$B$31)</f>
        <v>1.000590580245091</v>
      </c>
      <c r="G31" s="135">
        <f>IF($B$13="Yes",F31-($B$31-$H$31)/5,$B$31)</f>
        <v>1.000590580245091</v>
      </c>
      <c r="H31" s="148">
        <f>IF($B$13="Yes",1-B12/'Buyback &amp; Dividend computation'!N44,$B$31)</f>
        <v>1.000590580245091</v>
      </c>
      <c r="I31" s="70"/>
    </row>
    <row r="32" spans="1:13" s="4" customFormat="1" ht="16">
      <c r="A32" s="3" t="s">
        <v>201</v>
      </c>
      <c r="B32" s="136">
        <f>IF(B5="C",G4,IF(B5="A10",G5,IF(B5="A5",G6,IF(B5="P10",G7,IF(B5="P5",G8,IF(B5="NORM",G9,G10))))))</f>
        <v>153.46813414634147</v>
      </c>
      <c r="C32" s="140">
        <f>C30*C31</f>
        <v>158.7461337352419</v>
      </c>
      <c r="D32" s="140">
        <f>D30*D31</f>
        <v>164.20565165571898</v>
      </c>
      <c r="E32" s="140">
        <f>E30*E31</f>
        <v>169.85293059577296</v>
      </c>
      <c r="F32" s="140">
        <f>F30*F31</f>
        <v>175.69442793881856</v>
      </c>
      <c r="G32" s="140">
        <f>G30*G31</f>
        <v>181.73682314738301</v>
      </c>
      <c r="H32" s="136">
        <f>H31*H30</f>
        <v>185.37155961033068</v>
      </c>
      <c r="J32" s="11"/>
      <c r="K32" s="11"/>
      <c r="L32" s="11"/>
      <c r="M32" s="11"/>
    </row>
    <row r="33" spans="1:14" s="11" customFormat="1" ht="15" customHeight="1">
      <c r="A33" s="3" t="s">
        <v>1</v>
      </c>
      <c r="B33" s="137"/>
      <c r="C33" s="140"/>
      <c r="D33" s="140"/>
      <c r="E33" s="140"/>
      <c r="F33" s="140"/>
      <c r="G33" s="140">
        <f>H32/(B9+B11-B12)</f>
        <v>3329.8286260163586</v>
      </c>
      <c r="H33" s="149"/>
      <c r="I33" s="4"/>
      <c r="J33" s="4"/>
      <c r="K33" s="4"/>
      <c r="L33" s="4"/>
      <c r="M33" s="4"/>
      <c r="N33" s="4"/>
    </row>
    <row r="34" spans="1:14" s="4" customFormat="1">
      <c r="A34" s="81" t="s">
        <v>2</v>
      </c>
      <c r="B34" s="138"/>
      <c r="C34" s="141">
        <f>C32/(1+$B$9+$B$11)^C29</f>
        <v>147.57884270756077</v>
      </c>
      <c r="D34" s="140">
        <f>D32/(1+$B$9+$B$11)^D29</f>
        <v>141.91555097773471</v>
      </c>
      <c r="E34" s="140">
        <f>E32/(1+$B$9+$B$11)^E29</f>
        <v>136.46958628902578</v>
      </c>
      <c r="F34" s="140">
        <f>F32/(1+$B$9+$B$11)^F29</f>
        <v>131.23260878450017</v>
      </c>
      <c r="G34" s="140">
        <f>(G32+G33)/(1+$B$9+$B$11)^G29</f>
        <v>2438.403004602183</v>
      </c>
      <c r="H34" s="149"/>
    </row>
    <row r="35" spans="1:14" s="4" customFormat="1">
      <c r="A35" s="3" t="s">
        <v>3</v>
      </c>
      <c r="B35" s="137"/>
      <c r="C35" s="142">
        <f>SUM(C34:G34)</f>
        <v>2995.5995933610043</v>
      </c>
      <c r="D35" s="143"/>
      <c r="E35" s="143"/>
      <c r="F35" s="143"/>
      <c r="G35" s="143"/>
      <c r="H35" s="139"/>
    </row>
    <row r="36" spans="1:14" s="4" customFormat="1">
      <c r="A36" s="3" t="s">
        <v>99</v>
      </c>
      <c r="B36" s="137"/>
      <c r="C36" s="97">
        <f>C35/'Buyback &amp; Dividend computation'!C44</f>
        <v>19.530886668921557</v>
      </c>
    </row>
    <row r="37" spans="1:14" s="4" customFormat="1" ht="15" thickBot="1">
      <c r="A37" s="81" t="s">
        <v>102</v>
      </c>
      <c r="B37" s="138"/>
      <c r="C37" s="98">
        <f>C35/AVERAGE('Buyback &amp; Dividend computation'!Q32:Q41)</f>
        <v>30.269291602631707</v>
      </c>
      <c r="L37" s="39"/>
    </row>
    <row r="38" spans="1:14" s="4" customFormat="1" ht="20" customHeight="1" thickBot="1">
      <c r="A38" s="243" t="s">
        <v>91</v>
      </c>
      <c r="B38" s="244"/>
      <c r="C38" s="244"/>
      <c r="D38" s="244"/>
      <c r="E38" s="244"/>
      <c r="F38" s="245"/>
      <c r="G38" s="11"/>
      <c r="H38" s="11"/>
    </row>
    <row r="39" spans="1:14" s="4" customFormat="1" ht="17" thickBot="1">
      <c r="A39" s="2" t="s">
        <v>4</v>
      </c>
      <c r="C39" s="34">
        <v>5.6682585026087015E-2</v>
      </c>
      <c r="D39" s="4" t="s">
        <v>181</v>
      </c>
    </row>
    <row r="40" spans="1:14" s="4" customFormat="1"/>
    <row r="41" spans="1:14" s="4" customFormat="1">
      <c r="A41" s="8"/>
      <c r="B41" s="150" t="str">
        <f>B29</f>
        <v>Last 12 months</v>
      </c>
      <c r="C41" s="10">
        <v>1</v>
      </c>
      <c r="D41" s="10">
        <v>2</v>
      </c>
      <c r="E41" s="10">
        <v>3</v>
      </c>
      <c r="F41" s="10">
        <v>4</v>
      </c>
      <c r="G41" s="10">
        <v>5</v>
      </c>
      <c r="H41" s="133" t="str">
        <f>H29</f>
        <v>Terminal Year</v>
      </c>
      <c r="J41"/>
      <c r="K41"/>
      <c r="L41"/>
      <c r="M41"/>
      <c r="N41" s="77"/>
    </row>
    <row r="42" spans="1:14" s="4" customFormat="1">
      <c r="A42" s="12" t="s">
        <v>171</v>
      </c>
      <c r="B42" s="151">
        <f>B30</f>
        <v>153.37755239385726</v>
      </c>
      <c r="C42" s="152">
        <f t="shared" ref="C42:G43" si="0">C30</f>
        <v>158.65243674026755</v>
      </c>
      <c r="D42" s="152">
        <f t="shared" si="0"/>
        <v>164.10873228038727</v>
      </c>
      <c r="E42" s="152">
        <f t="shared" si="0"/>
        <v>169.75267801758449</v>
      </c>
      <c r="F42" s="152">
        <f t="shared" si="0"/>
        <v>175.5907275239218</v>
      </c>
      <c r="G42" s="152">
        <f t="shared" si="0"/>
        <v>181.62955631949609</v>
      </c>
      <c r="H42" s="136">
        <f>H30</f>
        <v>185.262147445886</v>
      </c>
      <c r="J42"/>
      <c r="K42"/>
      <c r="L42"/>
      <c r="M42"/>
      <c r="N42" s="77"/>
    </row>
    <row r="43" spans="1:14" s="4" customFormat="1">
      <c r="A43" s="12" t="s">
        <v>172</v>
      </c>
      <c r="B43" s="151">
        <f>B31</f>
        <v>1.000590580245091</v>
      </c>
      <c r="C43" s="148">
        <f t="shared" si="0"/>
        <v>1.000590580245091</v>
      </c>
      <c r="D43" s="148">
        <f t="shared" si="0"/>
        <v>1.000590580245091</v>
      </c>
      <c r="E43" s="148">
        <f t="shared" si="0"/>
        <v>1.000590580245091</v>
      </c>
      <c r="F43" s="148">
        <f t="shared" si="0"/>
        <v>1.000590580245091</v>
      </c>
      <c r="G43" s="148">
        <f t="shared" si="0"/>
        <v>1.000590580245091</v>
      </c>
      <c r="H43" s="136">
        <f>H31</f>
        <v>1.000590580245091</v>
      </c>
      <c r="J43"/>
      <c r="K43"/>
      <c r="L43"/>
      <c r="M43"/>
      <c r="N43" s="77"/>
    </row>
    <row r="44" spans="1:14">
      <c r="A44" s="3" t="s">
        <v>201</v>
      </c>
      <c r="B44" s="151">
        <f>B32</f>
        <v>153.46813414634147</v>
      </c>
      <c r="C44" s="9">
        <f>C42*C43</f>
        <v>158.7461337352419</v>
      </c>
      <c r="D44" s="9">
        <f>D42*D43</f>
        <v>164.20565165571898</v>
      </c>
      <c r="E44" s="9">
        <f>E42*E43</f>
        <v>169.85293059577296</v>
      </c>
      <c r="F44" s="9">
        <f>F42*F43</f>
        <v>175.69442793881856</v>
      </c>
      <c r="G44" s="9">
        <f>G42*G43</f>
        <v>181.73682314738301</v>
      </c>
      <c r="H44" s="136">
        <f>H32</f>
        <v>185.37155961033068</v>
      </c>
      <c r="I44" s="4"/>
      <c r="M44"/>
      <c r="N44" s="77"/>
    </row>
    <row r="45" spans="1:14">
      <c r="A45" s="3" t="s">
        <v>1</v>
      </c>
      <c r="B45" s="3"/>
      <c r="C45" s="5"/>
      <c r="D45" s="5"/>
      <c r="E45" s="5"/>
      <c r="F45" s="5"/>
      <c r="G45" s="5">
        <f>H44/(B9+C39-B12)</f>
        <v>3270.3441370046403</v>
      </c>
      <c r="H45" s="40"/>
      <c r="I45" s="4"/>
      <c r="M45"/>
      <c r="N45" s="77"/>
    </row>
    <row r="46" spans="1:14" ht="15" thickBot="1">
      <c r="A46" s="3" t="s">
        <v>2</v>
      </c>
      <c r="B46" s="3"/>
      <c r="C46" s="5">
        <f>C44/(1+$B$9+$C$39)^C41</f>
        <v>147.44004959585709</v>
      </c>
      <c r="D46" s="5">
        <f>D44/(1+$B$9+$C$39)^D41</f>
        <v>141.64874255980536</v>
      </c>
      <c r="E46" s="5">
        <f>E44/(1+$B$9+$C$39)^E41</f>
        <v>136.08491263921687</v>
      </c>
      <c r="F46" s="5">
        <f>F44/(1+$B$9+$C$39)^F41</f>
        <v>130.73962474608172</v>
      </c>
      <c r="G46" s="5">
        <f>(G44+G45)/(1+$B$9+C39)^G41</f>
        <v>2385.8466706162781</v>
      </c>
      <c r="H46" s="40"/>
      <c r="I46" s="4"/>
      <c r="M46"/>
      <c r="N46" s="77"/>
    </row>
    <row r="47" spans="1:14" ht="15" thickBot="1">
      <c r="A47" s="3" t="s">
        <v>3</v>
      </c>
      <c r="B47" s="6">
        <f>SUM(C46:G46)</f>
        <v>2941.7600001572391</v>
      </c>
      <c r="C47" s="7"/>
      <c r="D47" s="7"/>
      <c r="E47" s="7"/>
      <c r="F47" s="7"/>
      <c r="G47" s="4"/>
      <c r="H47" s="4"/>
    </row>
    <row r="48" spans="1:14">
      <c r="A48" s="4"/>
      <c r="B48" s="4"/>
      <c r="C48" s="4"/>
      <c r="D48" s="4"/>
      <c r="E48" s="4"/>
      <c r="F48" s="4"/>
      <c r="G48" s="4"/>
      <c r="H48" s="4"/>
    </row>
  </sheetData>
  <mergeCells count="3">
    <mergeCell ref="A38:F38"/>
    <mergeCell ref="A1:J1"/>
    <mergeCell ref="A28:G28"/>
  </mergeCells>
  <phoneticPr fontId="11" type="noConversion"/>
  <dataValidations count="4">
    <dataValidation type="list" allowBlank="1" showInputMessage="1" showErrorMessage="1" sqref="B7" xr:uid="{00000000-0002-0000-0000-000000000000}">
      <formula1>$H$12:$H$16</formula1>
    </dataValidation>
    <dataValidation type="list" allowBlank="1" showInputMessage="1" showErrorMessage="1" sqref="B5" xr:uid="{00000000-0002-0000-0000-000001000000}">
      <formula1>$H$4:$H$10</formula1>
    </dataValidation>
    <dataValidation type="list" allowBlank="1" showInputMessage="1" showErrorMessage="1" sqref="B10" xr:uid="{00000000-0002-0000-0000-000002000000}">
      <formula1>$H$19:$H$23</formula1>
    </dataValidation>
    <dataValidation type="list" allowBlank="1" showInputMessage="1" showErrorMessage="1" sqref="B3" xr:uid="{00000000-0002-0000-0000-000003000000}">
      <formula1>$H$25:$H$26</formula1>
    </dataValidation>
  </dataValidations>
  <printOptions gridLines="1" gridLinesSet="0"/>
  <pageMargins left="0.75" right="0.75" top="1" bottom="1" header="0.5" footer="0.5"/>
  <pageSetup scale="80" orientation="landscape" horizontalDpi="4294967292" verticalDpi="4294967292"/>
  <headerFooter alignWithMargins="0">
    <oddHeader>&amp;A</oddHeader>
    <oddFooter>Page &amp;P</oddFooter>
  </headerFooter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Sheet9!$A$2:$A$3</xm:f>
          </x14:formula1>
          <xm:sqref>B13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3"/>
  <sheetViews>
    <sheetView topLeftCell="A19" workbookViewId="0">
      <selection activeCell="B61" sqref="B61"/>
    </sheetView>
  </sheetViews>
  <sheetFormatPr baseColWidth="10" defaultRowHeight="14"/>
  <cols>
    <col min="1" max="1" width="15.42578125" style="13" bestFit="1" customWidth="1"/>
    <col min="2" max="2" width="15.85546875" style="13" bestFit="1" customWidth="1"/>
    <col min="3" max="5" width="10.7109375" style="13"/>
    <col min="6" max="6" width="11.7109375" style="13" bestFit="1" customWidth="1"/>
    <col min="7" max="16384" width="10.7109375" style="13"/>
  </cols>
  <sheetData>
    <row r="1" spans="1:10" ht="30">
      <c r="A1" s="17" t="s">
        <v>7</v>
      </c>
      <c r="B1" s="13" t="s">
        <v>5</v>
      </c>
      <c r="C1" s="13" t="s">
        <v>6</v>
      </c>
      <c r="D1" s="53" t="s">
        <v>142</v>
      </c>
      <c r="E1" s="18" t="s">
        <v>46</v>
      </c>
      <c r="F1" s="18" t="s">
        <v>49</v>
      </c>
      <c r="G1" s="18" t="s">
        <v>50</v>
      </c>
      <c r="H1" t="s">
        <v>193</v>
      </c>
      <c r="I1" s="223" t="s">
        <v>218</v>
      </c>
    </row>
    <row r="2" spans="1:10">
      <c r="A2" s="18">
        <v>2001</v>
      </c>
      <c r="B2" s="14">
        <f t="shared" ref="B2:B14" si="0">I26</f>
        <v>1.3709726589378883E-2</v>
      </c>
      <c r="C2" s="14">
        <f t="shared" ref="C2:C14" si="1">J26</f>
        <v>1.2490273410621118E-2</v>
      </c>
      <c r="D2" s="55">
        <f t="shared" ref="D2:D14" si="2">K26</f>
        <v>2.6200000000000001E-2</v>
      </c>
      <c r="E2" s="58">
        <f>(D26+E26)/C26</f>
        <v>0.77425889317889307</v>
      </c>
      <c r="F2" s="58">
        <f t="shared" ref="F2:F14" si="3">C26/M26</f>
        <v>0.11924493554327809</v>
      </c>
      <c r="G2" s="58">
        <f t="shared" ref="G2:G15" si="4">C26/O26</f>
        <v>5.2722288568016501E-2</v>
      </c>
      <c r="H2"/>
      <c r="I2" s="107"/>
      <c r="J2" s="38"/>
    </row>
    <row r="3" spans="1:10">
      <c r="A3" s="18">
        <v>2002</v>
      </c>
      <c r="B3" s="14">
        <f t="shared" si="0"/>
        <v>1.8140074106067151E-2</v>
      </c>
      <c r="C3" s="14">
        <f t="shared" si="1"/>
        <v>1.5759925893932849E-2</v>
      </c>
      <c r="D3" s="55">
        <f t="shared" si="2"/>
        <v>3.39E-2</v>
      </c>
      <c r="E3" s="58">
        <f t="shared" ref="E3:E13" si="5">(D27+E27)/C27</f>
        <v>0.64782576020851435</v>
      </c>
      <c r="F3" s="58">
        <f t="shared" si="3"/>
        <v>0.13606407187398409</v>
      </c>
      <c r="G3" s="58">
        <f t="shared" si="4"/>
        <v>6.8248862271898483E-2</v>
      </c>
      <c r="H3"/>
      <c r="I3" s="105"/>
      <c r="J3" s="38"/>
    </row>
    <row r="4" spans="1:10">
      <c r="A4" s="18">
        <v>2003</v>
      </c>
      <c r="B4" s="14">
        <f t="shared" si="0"/>
        <v>1.6080438164959392E-2</v>
      </c>
      <c r="C4" s="14">
        <f t="shared" si="1"/>
        <v>1.2319561835040609E-2</v>
      </c>
      <c r="D4" s="55">
        <f t="shared" si="2"/>
        <v>2.8400000000000002E-2</v>
      </c>
      <c r="E4" s="58">
        <f t="shared" si="5"/>
        <v>0.57740435180106064</v>
      </c>
      <c r="F4" s="58">
        <f t="shared" si="3"/>
        <v>0.1679049490359818</v>
      </c>
      <c r="G4" s="58">
        <f t="shared" si="4"/>
        <v>7.694039194721515E-2</v>
      </c>
      <c r="H4"/>
    </row>
    <row r="5" spans="1:10">
      <c r="A5" s="18">
        <v>2004</v>
      </c>
      <c r="B5" s="14">
        <f t="shared" si="0"/>
        <v>1.568585385173939E-2</v>
      </c>
      <c r="C5" s="14">
        <f t="shared" si="1"/>
        <v>1.7814146148260612E-2</v>
      </c>
      <c r="D5" s="55">
        <f t="shared" si="2"/>
        <v>3.3500000000000002E-2</v>
      </c>
      <c r="E5" s="58">
        <f t="shared" si="5"/>
        <v>0.59987174940898347</v>
      </c>
      <c r="F5" s="58">
        <f t="shared" si="3"/>
        <v>0.18432878503145683</v>
      </c>
      <c r="G5" s="58">
        <f t="shared" si="4"/>
        <v>8.5869799662509363E-2</v>
      </c>
      <c r="H5"/>
    </row>
    <row r="6" spans="1:10">
      <c r="A6" s="18">
        <v>2005</v>
      </c>
      <c r="B6" s="14">
        <f t="shared" si="0"/>
        <v>1.7899999999999999E-2</v>
      </c>
      <c r="C6" s="14">
        <f t="shared" si="1"/>
        <v>3.1099999999999999E-2</v>
      </c>
      <c r="D6" s="55">
        <f t="shared" si="2"/>
        <v>4.9000000000000002E-2</v>
      </c>
      <c r="E6" s="58">
        <f t="shared" si="5"/>
        <v>0.80008122956180494</v>
      </c>
      <c r="F6" s="58">
        <f t="shared" si="3"/>
        <v>0.18432790837854129</v>
      </c>
      <c r="G6" s="58">
        <f t="shared" si="4"/>
        <v>8.7439381462164886E-2</v>
      </c>
      <c r="H6"/>
    </row>
    <row r="7" spans="1:10">
      <c r="A7" s="18">
        <v>2006</v>
      </c>
      <c r="B7" s="14">
        <f t="shared" si="0"/>
        <v>1.765653232775552E-2</v>
      </c>
      <c r="C7" s="14">
        <f t="shared" si="1"/>
        <v>3.3924895906984054E-2</v>
      </c>
      <c r="D7" s="55">
        <f t="shared" si="2"/>
        <v>5.16E-2</v>
      </c>
      <c r="E7" s="58">
        <f t="shared" si="5"/>
        <v>0.83399384023405299</v>
      </c>
      <c r="F7" s="58">
        <f t="shared" si="3"/>
        <v>0.19361673950470137</v>
      </c>
      <c r="G7" s="58">
        <f t="shared" si="4"/>
        <v>9.209352132786007E-2</v>
      </c>
      <c r="H7"/>
    </row>
    <row r="8" spans="1:10">
      <c r="A8" s="19">
        <v>2007</v>
      </c>
      <c r="B8" s="14">
        <f t="shared" si="0"/>
        <v>1.9163040099471559E-2</v>
      </c>
      <c r="C8" s="14">
        <f t="shared" si="1"/>
        <v>4.5781784271059993E-2</v>
      </c>
      <c r="D8" s="55">
        <f t="shared" si="2"/>
        <v>6.4944824370531548E-2</v>
      </c>
      <c r="E8" s="58">
        <f t="shared" si="5"/>
        <v>1.1553474959136625</v>
      </c>
      <c r="F8" s="58">
        <f t="shared" si="3"/>
        <v>0.1636432125934297</v>
      </c>
      <c r="G8" s="58">
        <f t="shared" si="4"/>
        <v>8.0520544737971683E-2</v>
      </c>
      <c r="H8"/>
    </row>
    <row r="9" spans="1:10">
      <c r="A9" s="13">
        <v>2008</v>
      </c>
      <c r="B9" s="14">
        <f t="shared" si="0"/>
        <v>3.1493886907794193E-2</v>
      </c>
      <c r="C9" s="14">
        <f t="shared" si="1"/>
        <v>4.3255221599592462E-2</v>
      </c>
      <c r="D9" s="55">
        <f t="shared" si="2"/>
        <v>7.4749108507386655E-2</v>
      </c>
      <c r="E9" s="58">
        <f t="shared" si="5"/>
        <v>1.3637069735264997</v>
      </c>
      <c r="F9" s="58">
        <f t="shared" si="3"/>
        <v>9.3487414792575385E-2</v>
      </c>
      <c r="G9" s="58">
        <f t="shared" si="4"/>
        <v>4.7493429004470192E-2</v>
      </c>
      <c r="H9"/>
    </row>
    <row r="10" spans="1:10">
      <c r="A10" s="13">
        <v>2009</v>
      </c>
      <c r="B10" s="14">
        <f t="shared" si="0"/>
        <v>1.9702860596293312E-2</v>
      </c>
      <c r="C10" s="14">
        <f t="shared" si="1"/>
        <v>1.3864826752618856E-2</v>
      </c>
      <c r="D10" s="55">
        <f t="shared" si="2"/>
        <v>3.3567687348912169E-2</v>
      </c>
      <c r="E10" s="58">
        <f t="shared" si="5"/>
        <v>0.65824782613501698</v>
      </c>
      <c r="F10" s="58">
        <f t="shared" si="3"/>
        <v>0.12597204067616369</v>
      </c>
      <c r="G10" s="58">
        <f t="shared" si="4"/>
        <v>6.2593571114046676E-2</v>
      </c>
      <c r="H10"/>
    </row>
    <row r="11" spans="1:10">
      <c r="A11" s="13">
        <v>2010</v>
      </c>
      <c r="B11" s="14">
        <f t="shared" si="0"/>
        <v>1.8007874015748031E-2</v>
      </c>
      <c r="C11" s="14">
        <f t="shared" si="1"/>
        <v>2.6143482064741905E-2</v>
      </c>
      <c r="D11" s="55">
        <f t="shared" si="2"/>
        <v>4.4151356080489937E-2</v>
      </c>
      <c r="E11" s="58">
        <f t="shared" si="5"/>
        <v>0.66284483062035782</v>
      </c>
      <c r="F11" s="58">
        <f t="shared" si="3"/>
        <v>0.16310993418746833</v>
      </c>
      <c r="G11" s="58">
        <f t="shared" si="4"/>
        <v>8.7014781190597371E-2</v>
      </c>
      <c r="H11"/>
    </row>
    <row r="12" spans="1:10">
      <c r="A12" s="13">
        <v>2011</v>
      </c>
      <c r="B12" s="14">
        <f t="shared" si="0"/>
        <v>2.1097935880544576E-2</v>
      </c>
      <c r="C12" s="14">
        <f t="shared" si="1"/>
        <v>3.5580149319279761E-2</v>
      </c>
      <c r="D12" s="55">
        <f t="shared" si="2"/>
        <v>5.6678085199824341E-2</v>
      </c>
      <c r="E12" s="58">
        <f t="shared" si="5"/>
        <v>0.73909539555473958</v>
      </c>
      <c r="F12" s="58">
        <f t="shared" si="3"/>
        <v>0.1665227751493594</v>
      </c>
      <c r="G12" s="58">
        <f t="shared" si="4"/>
        <v>9.1600733261780157E-2</v>
      </c>
      <c r="H12"/>
    </row>
    <row r="13" spans="1:10">
      <c r="A13" s="13">
        <v>2012</v>
      </c>
      <c r="B13" s="41">
        <f t="shared" si="0"/>
        <v>2.1911526514700005E-2</v>
      </c>
      <c r="C13" s="42">
        <f t="shared" si="1"/>
        <v>3.1306702244545591E-2</v>
      </c>
      <c r="D13" s="43">
        <f t="shared" si="2"/>
        <v>5.3218228759245596E-2</v>
      </c>
      <c r="E13" s="58">
        <f t="shared" si="5"/>
        <v>0.78392176899554311</v>
      </c>
      <c r="F13" s="58">
        <f t="shared" si="3"/>
        <v>0.1579084711485142</v>
      </c>
      <c r="G13" s="58">
        <f t="shared" si="4"/>
        <v>8.863297234453528E-2</v>
      </c>
      <c r="H13"/>
    </row>
    <row r="14" spans="1:10">
      <c r="A14" s="13">
        <v>2013</v>
      </c>
      <c r="B14" s="41">
        <f t="shared" si="0"/>
        <v>1.888160315090134E-2</v>
      </c>
      <c r="C14" s="41">
        <f t="shared" si="1"/>
        <v>2.8798502456231469E-2</v>
      </c>
      <c r="D14" s="43">
        <f t="shared" si="2"/>
        <v>4.768010560713281E-2</v>
      </c>
      <c r="E14" s="58">
        <f t="shared" ref="E14:E18" si="6">(D38+E38)/C38</f>
        <v>0.83997331300038114</v>
      </c>
      <c r="F14" s="58">
        <f t="shared" si="3"/>
        <v>0.15730842466677661</v>
      </c>
      <c r="G14" s="58">
        <f t="shared" si="4"/>
        <v>9.3946150195646533E-2</v>
      </c>
      <c r="H14"/>
    </row>
    <row r="15" spans="1:10">
      <c r="A15" s="13">
        <v>2014</v>
      </c>
      <c r="B15" s="41">
        <f t="shared" ref="B15:D16" si="7">I39</f>
        <v>1.9206906001644285E-2</v>
      </c>
      <c r="C15" s="41">
        <f t="shared" si="7"/>
        <v>3.0324472458207727E-2</v>
      </c>
      <c r="D15" s="43">
        <f t="shared" si="7"/>
        <v>4.9531378459852012E-2</v>
      </c>
      <c r="E15" s="58">
        <f t="shared" si="6"/>
        <v>0.87792833256705682</v>
      </c>
      <c r="F15" s="58">
        <f>C39/M39</f>
        <v>0.16227089852481</v>
      </c>
      <c r="G15" s="58">
        <f t="shared" si="4"/>
        <v>9.9852147302547878E-2</v>
      </c>
      <c r="H15"/>
    </row>
    <row r="16" spans="1:10">
      <c r="A16" s="13">
        <v>2015</v>
      </c>
      <c r="B16" s="41">
        <f t="shared" si="7"/>
        <v>2.1238392516414375E-2</v>
      </c>
      <c r="C16" s="41">
        <f t="shared" si="7"/>
        <v>3.1771969822988931E-2</v>
      </c>
      <c r="D16" s="41">
        <f t="shared" si="7"/>
        <v>5.3010362339403302E-2</v>
      </c>
      <c r="E16" s="58">
        <f t="shared" si="6"/>
        <v>1.0783240445859872</v>
      </c>
      <c r="F16" s="58">
        <f>C40/M40</f>
        <v>0.13821943435677342</v>
      </c>
      <c r="G16" s="58">
        <f>C40/O40</f>
        <v>8.9146771002457562E-2</v>
      </c>
      <c r="H16"/>
    </row>
    <row r="17" spans="1:19">
      <c r="A17" s="13">
        <v>2016</v>
      </c>
      <c r="B17" s="41">
        <f t="shared" ref="B17:D17" si="8">I41</f>
        <v>2.0412538748090511E-2</v>
      </c>
      <c r="C17" s="41">
        <f t="shared" si="8"/>
        <v>2.7836092227155374E-2</v>
      </c>
      <c r="D17" s="43">
        <f t="shared" si="8"/>
        <v>4.8248630975245885E-2</v>
      </c>
      <c r="E17" s="58">
        <f t="shared" si="6"/>
        <v>1.0165631469979297</v>
      </c>
      <c r="F17" s="58">
        <f>C41/M41</f>
        <v>0.14353834308176527</v>
      </c>
      <c r="G17" s="58">
        <f>C41/O41</f>
        <v>9.2345395765981858E-2</v>
      </c>
      <c r="H17"/>
      <c r="I17" s="38"/>
    </row>
    <row r="18" spans="1:19">
      <c r="A18" s="13">
        <v>2017</v>
      </c>
      <c r="B18" s="41">
        <f t="shared" ref="B18:D18" si="9">I42</f>
        <v>1.830109851474224E-2</v>
      </c>
      <c r="C18" s="41">
        <f t="shared" si="9"/>
        <v>2.2759489977969862E-2</v>
      </c>
      <c r="D18" s="43">
        <f t="shared" si="9"/>
        <v>4.1060588492712102E-2</v>
      </c>
      <c r="E18" s="58">
        <f t="shared" si="6"/>
        <v>0.88169624929724522</v>
      </c>
      <c r="F18" s="58">
        <f>C42/M42</f>
        <v>0.16191367898152123</v>
      </c>
      <c r="G18" s="58">
        <f>C42/O42</f>
        <v>0.10109859772485527</v>
      </c>
      <c r="H18"/>
      <c r="I18" s="38"/>
    </row>
    <row r="19" spans="1:19" s="223" customFormat="1" ht="15" thickBot="1">
      <c r="A19" s="223">
        <v>2018</v>
      </c>
      <c r="B19" s="41">
        <f>I43</f>
        <v>2.1696551449029659E-2</v>
      </c>
      <c r="C19" s="41">
        <f>J43</f>
        <v>3.8338951273510585E-2</v>
      </c>
      <c r="D19" s="43">
        <f>K43</f>
        <v>6.003550272254024E-2</v>
      </c>
      <c r="E19" s="58">
        <f>(D43+E43)/C43</f>
        <v>0.98507658070428061</v>
      </c>
      <c r="F19" s="58">
        <f>C43/M43</f>
        <v>0.18484731161980353</v>
      </c>
      <c r="G19" s="58">
        <f>C43/O43</f>
        <v>0.11522826177133849</v>
      </c>
      <c r="H19"/>
      <c r="I19" s="38"/>
    </row>
    <row r="20" spans="1:19" ht="15" thickBot="1">
      <c r="A20" s="16" t="s">
        <v>27</v>
      </c>
      <c r="B20" s="15"/>
      <c r="C20" s="54"/>
      <c r="D20" s="56">
        <f>AVERAGE(D10:D19)</f>
        <v>4.8718192598535846E-2</v>
      </c>
      <c r="E20" s="56">
        <f t="shared" ref="E20:G20" si="10">AVERAGE(E10:E19)</f>
        <v>0.85236714884585374</v>
      </c>
      <c r="F20" s="56">
        <f t="shared" si="10"/>
        <v>0.15616113123929556</v>
      </c>
      <c r="G20" s="56">
        <f t="shared" si="10"/>
        <v>9.2145938167378719E-2</v>
      </c>
      <c r="H20"/>
    </row>
    <row r="21" spans="1:19" ht="15" thickBot="1">
      <c r="A21" s="19" t="s">
        <v>29</v>
      </c>
      <c r="B21" s="15"/>
      <c r="C21" s="15"/>
      <c r="D21" s="57">
        <f>AVERAGE(D15:D19)</f>
        <v>5.0377292597950721E-2</v>
      </c>
      <c r="E21" s="57">
        <f t="shared" ref="E21:G21" si="11">AVERAGE(E15:E19)</f>
        <v>0.96791767083050007</v>
      </c>
      <c r="F21" s="57">
        <f t="shared" si="11"/>
        <v>0.15815793331293468</v>
      </c>
      <c r="G21" s="57">
        <f t="shared" si="11"/>
        <v>9.9534234713436212E-2</v>
      </c>
      <c r="H21"/>
    </row>
    <row r="22" spans="1:19" ht="15" thickBot="1">
      <c r="A22" s="32"/>
      <c r="B22" s="32"/>
      <c r="C22" s="32"/>
      <c r="D22" s="32"/>
    </row>
    <row r="23" spans="1:19" ht="15" thickBot="1">
      <c r="A23" s="47" t="s">
        <v>37</v>
      </c>
      <c r="B23" s="32"/>
      <c r="C23" s="32"/>
      <c r="D23" s="109">
        <v>2941.76</v>
      </c>
      <c r="E23" s="38" t="s">
        <v>219</v>
      </c>
      <c r="J23" s="48" t="s">
        <v>43</v>
      </c>
      <c r="M23" s="13" t="s">
        <v>44</v>
      </c>
      <c r="N23" s="49">
        <v>42185</v>
      </c>
    </row>
    <row r="24" spans="1:19">
      <c r="A24" s="32"/>
      <c r="B24" s="32"/>
      <c r="C24" s="32"/>
      <c r="D24" s="32"/>
    </row>
    <row r="25" spans="1:19" s="129" customFormat="1" ht="45">
      <c r="A25" s="128" t="s">
        <v>8</v>
      </c>
      <c r="B25" s="128" t="s">
        <v>14</v>
      </c>
      <c r="C25" s="128" t="s">
        <v>45</v>
      </c>
      <c r="D25" s="128" t="s">
        <v>11</v>
      </c>
      <c r="E25" s="128" t="s">
        <v>12</v>
      </c>
      <c r="F25" s="128" t="s">
        <v>141</v>
      </c>
      <c r="G25" s="128" t="s">
        <v>13</v>
      </c>
      <c r="H25" s="128" t="s">
        <v>169</v>
      </c>
      <c r="I25" s="128" t="s">
        <v>9</v>
      </c>
      <c r="J25" s="128" t="s">
        <v>10</v>
      </c>
      <c r="K25" s="128" t="s">
        <v>142</v>
      </c>
      <c r="L25" s="128" t="s">
        <v>143</v>
      </c>
      <c r="M25" s="128" t="s">
        <v>47</v>
      </c>
      <c r="N25" s="128" t="s">
        <v>49</v>
      </c>
      <c r="O25" s="128" t="s">
        <v>48</v>
      </c>
      <c r="P25" s="129" t="s">
        <v>96</v>
      </c>
      <c r="Q25" s="129" t="s">
        <v>97</v>
      </c>
    </row>
    <row r="26" spans="1:19" ht="16">
      <c r="A26" s="18">
        <v>2001</v>
      </c>
      <c r="B26" s="20">
        <v>1148.0899999999999</v>
      </c>
      <c r="C26" s="50">
        <v>38.85</v>
      </c>
      <c r="D26" s="21">
        <f t="shared" ref="D26:D32" si="12">I26*B26</f>
        <v>15.74</v>
      </c>
      <c r="E26" s="21">
        <f t="shared" ref="E26:E32" si="13">J26*B26</f>
        <v>14.339957999999999</v>
      </c>
      <c r="F26" s="21"/>
      <c r="G26" s="21">
        <f t="shared" ref="G26:G37" si="14">D26+E26</f>
        <v>30.079957999999998</v>
      </c>
      <c r="H26" s="21"/>
      <c r="I26" s="14">
        <v>1.3709726589378883E-2</v>
      </c>
      <c r="J26" s="14">
        <v>1.2490273410621118E-2</v>
      </c>
      <c r="K26" s="14">
        <v>2.6200000000000001E-2</v>
      </c>
      <c r="L26" s="14"/>
      <c r="M26" s="18">
        <v>325.8</v>
      </c>
      <c r="N26" s="58">
        <f>C26/M26</f>
        <v>0.11924493554327809</v>
      </c>
      <c r="O26" s="18">
        <v>736.88</v>
      </c>
      <c r="P26" s="213">
        <v>1.6036700000000001E-2</v>
      </c>
      <c r="Q26" s="80">
        <f>C26*(1+P27)*(1+P28)*(1+P29)*(1+P30)*(1+P31)*(1+P32)*(1+P33)*(1+P34)*(1+P35)*(1+P36)*(1+P37)*(1+P38)*(1+P39)*(1+P40)*(1+P41)*(1+P42)*(1+P44)</f>
        <v>55.478385900756535</v>
      </c>
      <c r="S26"/>
    </row>
    <row r="27" spans="1:19" ht="16">
      <c r="A27" s="18">
        <v>2002</v>
      </c>
      <c r="B27" s="20">
        <v>879.82</v>
      </c>
      <c r="C27" s="51">
        <v>46.04</v>
      </c>
      <c r="D27" s="21">
        <f t="shared" si="12"/>
        <v>15.96</v>
      </c>
      <c r="E27" s="21">
        <f t="shared" si="13"/>
        <v>13.865898</v>
      </c>
      <c r="F27" s="21"/>
      <c r="G27" s="21">
        <f t="shared" si="14"/>
        <v>29.825898000000002</v>
      </c>
      <c r="H27" s="21"/>
      <c r="I27" s="14">
        <v>1.8140074106067151E-2</v>
      </c>
      <c r="J27" s="14">
        <v>1.5759925893932849E-2</v>
      </c>
      <c r="K27" s="14">
        <v>3.39E-2</v>
      </c>
      <c r="L27" s="14"/>
      <c r="M27" s="18">
        <v>338.37</v>
      </c>
      <c r="N27" s="58">
        <f t="shared" ref="N27:N44" si="15">C27/M27</f>
        <v>0.13606407187398409</v>
      </c>
      <c r="O27" s="18">
        <v>674.59</v>
      </c>
      <c r="P27" s="213">
        <v>2.48027E-2</v>
      </c>
      <c r="Q27" s="80">
        <f>C27*(1+P28)*(1+P29)*(1+P30)*(1+P31)*(1+P32)*(1+P33)*(1+P34)*(1+P35)*(1+P36)*(1+P37)*(1+P38)*(1+P39)*(1+P40)*(1+P41)*(1+P42)*(1+P44)</f>
        <v>64.154606866150459</v>
      </c>
      <c r="S27"/>
    </row>
    <row r="28" spans="1:19" ht="16">
      <c r="A28" s="18">
        <v>2003</v>
      </c>
      <c r="B28" s="20">
        <v>1111.9100000000001</v>
      </c>
      <c r="C28" s="51">
        <v>54.69</v>
      </c>
      <c r="D28" s="21">
        <f t="shared" si="12"/>
        <v>17.88</v>
      </c>
      <c r="E28" s="21">
        <f t="shared" si="13"/>
        <v>13.698244000000004</v>
      </c>
      <c r="F28" s="21"/>
      <c r="G28" s="21">
        <f t="shared" si="14"/>
        <v>31.578244000000005</v>
      </c>
      <c r="H28" s="21"/>
      <c r="I28" s="14">
        <v>1.6080438164959392E-2</v>
      </c>
      <c r="J28" s="14">
        <v>1.2319561835040609E-2</v>
      </c>
      <c r="K28" s="14">
        <v>2.8400000000000002E-2</v>
      </c>
      <c r="L28" s="14"/>
      <c r="M28" s="18">
        <v>325.72000000000003</v>
      </c>
      <c r="N28" s="58">
        <f t="shared" si="15"/>
        <v>0.1679049490359818</v>
      </c>
      <c r="O28" s="18">
        <v>710.81</v>
      </c>
      <c r="P28" s="213">
        <v>2.0352000000000002E-2</v>
      </c>
      <c r="Q28" s="80">
        <f>C28*(1+P29)*(1+P30)*(1+P31)*(1+P32)*(1+P33)*(1+P34)*(1+P35)*(1+P36)*(1+P37)*(1+P38)*(1+P39)*(1+P40)*(1+P41)*(1+P42)*(1+P44)</f>
        <v>74.687932294679101</v>
      </c>
      <c r="S28"/>
    </row>
    <row r="29" spans="1:19" ht="16">
      <c r="A29" s="18">
        <v>2004</v>
      </c>
      <c r="B29" s="20">
        <v>1211.92</v>
      </c>
      <c r="C29" s="51">
        <v>67.680000000000007</v>
      </c>
      <c r="D29" s="21">
        <f t="shared" si="12"/>
        <v>19.010000000000002</v>
      </c>
      <c r="E29" s="21">
        <f t="shared" si="13"/>
        <v>21.589320000000001</v>
      </c>
      <c r="F29" s="21"/>
      <c r="G29" s="21">
        <f t="shared" si="14"/>
        <v>40.599320000000006</v>
      </c>
      <c r="H29" s="21"/>
      <c r="I29" s="14">
        <v>1.568585385173939E-2</v>
      </c>
      <c r="J29" s="14">
        <v>1.7814146148260612E-2</v>
      </c>
      <c r="K29" s="14">
        <v>3.3500000000000002E-2</v>
      </c>
      <c r="L29" s="14"/>
      <c r="M29" s="18">
        <v>367.17</v>
      </c>
      <c r="N29" s="58">
        <f t="shared" si="15"/>
        <v>0.18432878503145683</v>
      </c>
      <c r="O29" s="18">
        <v>788.17</v>
      </c>
      <c r="P29" s="213">
        <v>3.34232E-2</v>
      </c>
      <c r="Q29" s="80">
        <f>C29*(1+P30)*(1+P31)*(1+P32)*(1+P33)*(1+P34)*(1+P35)*(1+P36)*(1+P37)*(1+P38)*(1+P39)*(1+P40)*(1+P41)*(1+P42)*(1+P44)</f>
        <v>89.438530683166235</v>
      </c>
      <c r="S29"/>
    </row>
    <row r="30" spans="1:19" ht="16">
      <c r="A30" s="18">
        <v>2005</v>
      </c>
      <c r="B30" s="20">
        <v>1248.29</v>
      </c>
      <c r="C30" s="51">
        <v>76.45</v>
      </c>
      <c r="D30" s="21">
        <f t="shared" si="12"/>
        <v>22.344390999999998</v>
      </c>
      <c r="E30" s="21">
        <f t="shared" si="13"/>
        <v>38.821818999999998</v>
      </c>
      <c r="F30" s="21"/>
      <c r="G30" s="21">
        <f t="shared" si="14"/>
        <v>61.166209999999992</v>
      </c>
      <c r="H30" s="21"/>
      <c r="I30" s="14">
        <v>1.7899999999999999E-2</v>
      </c>
      <c r="J30" s="14">
        <v>3.1099999999999999E-2</v>
      </c>
      <c r="K30" s="14">
        <v>4.9000000000000002E-2</v>
      </c>
      <c r="L30" s="14"/>
      <c r="M30" s="18">
        <v>414.75</v>
      </c>
      <c r="N30" s="58">
        <f t="shared" si="15"/>
        <v>0.18432790837854129</v>
      </c>
      <c r="O30" s="18">
        <v>874.32</v>
      </c>
      <c r="P30" s="213">
        <v>3.3385499999999999E-2</v>
      </c>
      <c r="Q30" s="80">
        <f>C30*(1+P31)*(1+P32)*(1+P33)*(1+P34)*(1+P35)*(1+P36)*(1+P37)*(1+P38)*(1+P39)*(1+P40)*(1+P41)*(1+P42)*(1+P44)</f>
        <v>97.764105766210122</v>
      </c>
      <c r="S30"/>
    </row>
    <row r="31" spans="1:19" ht="16">
      <c r="A31" s="18">
        <v>2006</v>
      </c>
      <c r="B31" s="20">
        <v>1418.3</v>
      </c>
      <c r="C31" s="51">
        <v>87.72</v>
      </c>
      <c r="D31" s="21">
        <f t="shared" si="12"/>
        <v>25.042259800455653</v>
      </c>
      <c r="E31" s="21">
        <f t="shared" si="13"/>
        <v>48.115679864875482</v>
      </c>
      <c r="F31" s="21"/>
      <c r="G31" s="21">
        <f t="shared" si="14"/>
        <v>73.157939665331128</v>
      </c>
      <c r="H31" s="21"/>
      <c r="I31" s="14">
        <v>1.765653232775552E-2</v>
      </c>
      <c r="J31" s="14">
        <v>3.3924895906984054E-2</v>
      </c>
      <c r="K31" s="14">
        <v>5.16E-2</v>
      </c>
      <c r="L31" s="14"/>
      <c r="M31" s="18">
        <v>453.06</v>
      </c>
      <c r="N31" s="58">
        <f t="shared" si="15"/>
        <v>0.19361673950470137</v>
      </c>
      <c r="O31" s="18">
        <v>952.51</v>
      </c>
      <c r="P31" s="213">
        <v>2.52398E-2</v>
      </c>
      <c r="Q31" s="80">
        <f>C31*(1+P32)*(1+P33)*(1+P34)*(1+P35)*(1+P36)*(1+P37)*(1+P38)*(1+P39)*(1+P40)*(1+P41)*(1+P42)*(1+P44)</f>
        <v>109.41455748166167</v>
      </c>
      <c r="S31"/>
    </row>
    <row r="32" spans="1:19" ht="16">
      <c r="A32" s="18">
        <v>2007</v>
      </c>
      <c r="B32" s="25">
        <v>1468.36</v>
      </c>
      <c r="C32" s="51">
        <v>82.54</v>
      </c>
      <c r="D32" s="21">
        <f t="shared" si="12"/>
        <v>28.138241560460056</v>
      </c>
      <c r="E32" s="21">
        <f t="shared" si="13"/>
        <v>67.224140752253646</v>
      </c>
      <c r="F32" s="21"/>
      <c r="G32" s="21">
        <f t="shared" si="14"/>
        <v>95.362382312713706</v>
      </c>
      <c r="H32" s="21"/>
      <c r="I32" s="14">
        <v>1.9163040099471559E-2</v>
      </c>
      <c r="J32" s="14">
        <v>4.5781784271059993E-2</v>
      </c>
      <c r="K32" s="14">
        <f>G32/B32</f>
        <v>6.4944824370531548E-2</v>
      </c>
      <c r="L32" s="14"/>
      <c r="M32" s="18">
        <v>504.39</v>
      </c>
      <c r="N32" s="58">
        <f t="shared" si="15"/>
        <v>0.1636432125934297</v>
      </c>
      <c r="O32" s="18">
        <v>1025.08</v>
      </c>
      <c r="P32" s="213">
        <v>4.1088100000000002E-2</v>
      </c>
      <c r="Q32" s="80">
        <f>C32*(1+P33)*(1+P34)*(1+P35)*(1+P36)*(1+P37)*(1+P38)*(1+P39)*(1+P40)*(1+P41)*(1+P42)*(1+P44)</f>
        <v>98.890248310425093</v>
      </c>
      <c r="S32"/>
    </row>
    <row r="33" spans="1:22" ht="16">
      <c r="A33" s="18">
        <v>2008</v>
      </c>
      <c r="B33" s="22">
        <v>903.25</v>
      </c>
      <c r="C33" s="50">
        <v>49.51</v>
      </c>
      <c r="D33" s="21">
        <f>F57*E57</f>
        <v>28.446853349465105</v>
      </c>
      <c r="E33" s="21">
        <f>G57*E57</f>
        <v>39.070278909831892</v>
      </c>
      <c r="F33" s="21"/>
      <c r="G33" s="21">
        <f t="shared" si="14"/>
        <v>67.517132259297</v>
      </c>
      <c r="H33" s="21"/>
      <c r="I33" s="14">
        <f t="shared" ref="I33:I38" si="16">D33/B33</f>
        <v>3.1493886907794193E-2</v>
      </c>
      <c r="J33" s="14">
        <f t="shared" ref="J33:J38" si="17">E33/B33</f>
        <v>4.3255221599592462E-2</v>
      </c>
      <c r="K33" s="14">
        <f t="shared" ref="K33:K38" si="18">I33+J33</f>
        <v>7.4749108507386655E-2</v>
      </c>
      <c r="L33" s="14"/>
      <c r="M33" s="18">
        <v>529.59</v>
      </c>
      <c r="N33" s="58">
        <f t="shared" si="15"/>
        <v>9.3487414792575385E-2</v>
      </c>
      <c r="O33" s="18">
        <v>1042.46</v>
      </c>
      <c r="P33" s="213">
        <v>-2.2230000000000001E-4</v>
      </c>
      <c r="Q33" s="80">
        <f>C33*(1+P34)*(1+P35)*(1+P36)*(1+P37)*(1+P38)*(1+P39)*(1+P40)*(1+P41)*(1+P42)*(1+P44)</f>
        <v>59.330564927849103</v>
      </c>
      <c r="S33"/>
    </row>
    <row r="34" spans="1:22" ht="16">
      <c r="A34" s="18">
        <v>2009</v>
      </c>
      <c r="B34" s="22">
        <v>1115</v>
      </c>
      <c r="C34" s="52">
        <v>56.86</v>
      </c>
      <c r="D34" s="21">
        <f>F56*E56</f>
        <v>21.968689564867041</v>
      </c>
      <c r="E34" s="21">
        <f>G56*E56</f>
        <v>15.459281829170026</v>
      </c>
      <c r="F34" s="21"/>
      <c r="G34" s="21">
        <f t="shared" si="14"/>
        <v>37.427971394037066</v>
      </c>
      <c r="H34" s="21"/>
      <c r="I34" s="14">
        <f t="shared" si="16"/>
        <v>1.9702860596293312E-2</v>
      </c>
      <c r="J34" s="14">
        <f t="shared" si="17"/>
        <v>1.3864826752618856E-2</v>
      </c>
      <c r="K34" s="14">
        <f t="shared" si="18"/>
        <v>3.3567687348912169E-2</v>
      </c>
      <c r="L34" s="14"/>
      <c r="M34" s="18">
        <v>451.37</v>
      </c>
      <c r="N34" s="58">
        <f t="shared" si="15"/>
        <v>0.12597204067616369</v>
      </c>
      <c r="O34" s="18">
        <v>908.4</v>
      </c>
      <c r="P34" s="213">
        <v>2.8141199999999998E-2</v>
      </c>
      <c r="Q34" s="80">
        <f>C34*(1+P35)*(1+P36)*(1+P37)*(1+P38)*(1+P39)*(1+P40)*(1+P41)*(1+P42)*(1+P44)</f>
        <v>66.273460781271027</v>
      </c>
      <c r="S34"/>
    </row>
    <row r="35" spans="1:22" ht="16">
      <c r="A35" s="18">
        <v>2010</v>
      </c>
      <c r="B35" s="23">
        <v>1257.6400000000001</v>
      </c>
      <c r="C35" s="52">
        <v>83.77</v>
      </c>
      <c r="D35" s="23">
        <f>F55*E55</f>
        <v>22.647422677165356</v>
      </c>
      <c r="E35" s="23">
        <f>G55*E55</f>
        <v>32.879088783902013</v>
      </c>
      <c r="F35" s="23"/>
      <c r="G35" s="21">
        <f t="shared" si="14"/>
        <v>55.526511461067372</v>
      </c>
      <c r="H35" s="21"/>
      <c r="I35" s="14">
        <f t="shared" si="16"/>
        <v>1.8007874015748031E-2</v>
      </c>
      <c r="J35" s="14">
        <f t="shared" si="17"/>
        <v>2.6143482064741905E-2</v>
      </c>
      <c r="K35" s="14">
        <f t="shared" si="18"/>
        <v>4.4151356080489937E-2</v>
      </c>
      <c r="L35" s="14"/>
      <c r="M35" s="18">
        <v>513.58000000000004</v>
      </c>
      <c r="N35" s="58">
        <f t="shared" si="15"/>
        <v>0.16310993418746833</v>
      </c>
      <c r="O35" s="18">
        <v>962.71</v>
      </c>
      <c r="P35" s="213">
        <v>1.4377899999999999E-2</v>
      </c>
      <c r="Q35" s="80">
        <f>C35*(1+P36)*(1+P37)*(1+P38)*(1+P39)*(1+P40)*(1+P41)*(1+P42)*(1+P44)</f>
        <v>96.25460834551312</v>
      </c>
      <c r="S35"/>
    </row>
    <row r="36" spans="1:22" ht="16">
      <c r="A36" s="18">
        <v>2011</v>
      </c>
      <c r="B36" s="23">
        <v>1257.5999999999999</v>
      </c>
      <c r="C36" s="50">
        <v>96.44</v>
      </c>
      <c r="D36" s="23">
        <f>F54*E54</f>
        <v>26.532764163372857</v>
      </c>
      <c r="E36" s="23">
        <f>G54*E54</f>
        <v>44.74559578392622</v>
      </c>
      <c r="F36" s="23"/>
      <c r="G36" s="23">
        <f t="shared" si="14"/>
        <v>71.27835994729908</v>
      </c>
      <c r="H36" s="23"/>
      <c r="I36" s="14">
        <f t="shared" si="16"/>
        <v>2.1097935880544576E-2</v>
      </c>
      <c r="J36" s="14">
        <f t="shared" si="17"/>
        <v>3.5580149319279761E-2</v>
      </c>
      <c r="K36" s="14">
        <f t="shared" si="18"/>
        <v>5.6678085199824341E-2</v>
      </c>
      <c r="L36" s="14"/>
      <c r="M36" s="18">
        <v>579.14</v>
      </c>
      <c r="N36" s="58">
        <f t="shared" si="15"/>
        <v>0.1665227751493594</v>
      </c>
      <c r="O36" s="18">
        <v>1052.83</v>
      </c>
      <c r="P36" s="213">
        <v>3.0620699999999997E-2</v>
      </c>
      <c r="Q36" s="80">
        <f>C36*(1+P37)*(1+P38)*(1+P39)*(1+P40)*(1+P41)*(1+P42)*(1+P44)</f>
        <v>107.52052009819951</v>
      </c>
      <c r="S36"/>
    </row>
    <row r="37" spans="1:22" ht="16">
      <c r="A37" s="18">
        <v>2012</v>
      </c>
      <c r="B37" s="25">
        <v>1426.19</v>
      </c>
      <c r="C37" s="52">
        <v>96.82</v>
      </c>
      <c r="D37" s="46">
        <v>31.25</v>
      </c>
      <c r="E37" s="46">
        <f>G53*E53</f>
        <v>44.649305674148479</v>
      </c>
      <c r="F37" s="46"/>
      <c r="G37" s="46">
        <f t="shared" si="14"/>
        <v>75.899305674148479</v>
      </c>
      <c r="H37" s="46"/>
      <c r="I37" s="44">
        <f t="shared" si="16"/>
        <v>2.1911526514700005E-2</v>
      </c>
      <c r="J37" s="44">
        <f t="shared" si="17"/>
        <v>3.1306702244545591E-2</v>
      </c>
      <c r="K37" s="44">
        <f t="shared" si="18"/>
        <v>5.3218228759245596E-2</v>
      </c>
      <c r="L37" s="44"/>
      <c r="M37" s="18">
        <v>613.14</v>
      </c>
      <c r="N37" s="58">
        <f t="shared" si="15"/>
        <v>0.1579084711485142</v>
      </c>
      <c r="O37" s="18">
        <v>1092.3699999999999</v>
      </c>
      <c r="P37" s="213">
        <v>1.7819499999999999E-2</v>
      </c>
      <c r="Q37" s="80">
        <f>C37*(1+P38)*(1+P39)*(1+P40)*(1+P41)*(1+P42)*(1+P44)</f>
        <v>106.05434498025151</v>
      </c>
      <c r="S37"/>
    </row>
    <row r="38" spans="1:22" ht="16">
      <c r="A38" s="18">
        <v>2013</v>
      </c>
      <c r="B38" s="25">
        <v>1848.36</v>
      </c>
      <c r="C38" s="52">
        <v>104.92</v>
      </c>
      <c r="D38" s="46">
        <v>34.9</v>
      </c>
      <c r="E38" s="46">
        <v>53.23</v>
      </c>
      <c r="F38" s="46"/>
      <c r="G38" s="46">
        <v>88.13</v>
      </c>
      <c r="H38" s="46"/>
      <c r="I38" s="44">
        <f t="shared" si="16"/>
        <v>1.888160315090134E-2</v>
      </c>
      <c r="J38" s="44">
        <f t="shared" si="17"/>
        <v>2.8798502456231469E-2</v>
      </c>
      <c r="K38" s="44">
        <f t="shared" si="18"/>
        <v>4.768010560713281E-2</v>
      </c>
      <c r="L38" s="44"/>
      <c r="M38" s="18">
        <v>666.97</v>
      </c>
      <c r="N38" s="58">
        <f t="shared" si="15"/>
        <v>0.15730842466677661</v>
      </c>
      <c r="O38" s="18">
        <v>1116.81</v>
      </c>
      <c r="P38" s="213">
        <v>1.5458000000000001E-2</v>
      </c>
      <c r="Q38" s="80">
        <f>C38*(1+P39)*(1+P40)*(1+P41)*(1+P42)*(1+P44)</f>
        <v>113.17739776721876</v>
      </c>
      <c r="S38"/>
    </row>
    <row r="39" spans="1:22" s="171" customFormat="1" ht="16">
      <c r="A39" s="162">
        <v>2014</v>
      </c>
      <c r="B39" s="163">
        <v>2058.9</v>
      </c>
      <c r="C39" s="164">
        <v>116.16</v>
      </c>
      <c r="D39" s="165">
        <f>F51*E51</f>
        <v>39.545098766785422</v>
      </c>
      <c r="E39" s="165">
        <f>G51*E51</f>
        <v>62.435056344203893</v>
      </c>
      <c r="F39" s="165">
        <v>9.58</v>
      </c>
      <c r="G39" s="165">
        <v>101.98</v>
      </c>
      <c r="H39" s="166">
        <f>G39-F39</f>
        <v>92.4</v>
      </c>
      <c r="I39" s="167">
        <f t="shared" ref="I39:I44" si="19">D39/B39</f>
        <v>1.9206906001644285E-2</v>
      </c>
      <c r="J39" s="167">
        <f t="shared" ref="J39:J44" si="20">E39/B39</f>
        <v>3.0324472458207727E-2</v>
      </c>
      <c r="K39" s="167">
        <f t="shared" ref="K39:K44" si="21">I39+J39</f>
        <v>4.9531378459852012E-2</v>
      </c>
      <c r="L39" s="167">
        <f t="shared" ref="L39:L44" si="22">H39/B39</f>
        <v>4.4878333090485209E-2</v>
      </c>
      <c r="M39" s="162">
        <v>715.84</v>
      </c>
      <c r="N39" s="168">
        <f t="shared" si="15"/>
        <v>0.16227089852481</v>
      </c>
      <c r="O39" s="162">
        <v>1163.32</v>
      </c>
      <c r="P39" s="213">
        <v>6.8852999999999996E-3</v>
      </c>
      <c r="Q39" s="172">
        <f>C39*(1+P40)*(1+P41)*(1+P42)*(1+P44)</f>
        <v>124.4451642360395</v>
      </c>
      <c r="R39" s="169"/>
      <c r="S39" s="170"/>
      <c r="U39" s="132"/>
    </row>
    <row r="40" spans="1:22" s="171" customFormat="1">
      <c r="A40" s="162">
        <v>2015</v>
      </c>
      <c r="B40" s="165">
        <v>2043.94</v>
      </c>
      <c r="C40" s="165">
        <v>100.48</v>
      </c>
      <c r="D40" s="165">
        <v>43.41</v>
      </c>
      <c r="E40" s="165">
        <v>64.94</v>
      </c>
      <c r="F40" s="165">
        <v>9.43</v>
      </c>
      <c r="G40" s="165">
        <f t="shared" ref="G40:G45" si="23">D40+E40</f>
        <v>108.35</v>
      </c>
      <c r="H40" s="165">
        <f>G40-F40</f>
        <v>98.919999999999987</v>
      </c>
      <c r="I40" s="167">
        <f t="shared" si="19"/>
        <v>2.1238392516414375E-2</v>
      </c>
      <c r="J40" s="167">
        <f t="shared" si="20"/>
        <v>3.1771969822988931E-2</v>
      </c>
      <c r="K40" s="167">
        <f t="shared" si="21"/>
        <v>5.3010362339403302E-2</v>
      </c>
      <c r="L40" s="167">
        <f t="shared" si="22"/>
        <v>4.8396723974284954E-2</v>
      </c>
      <c r="M40" s="162">
        <v>726.96</v>
      </c>
      <c r="N40" s="168">
        <f t="shared" si="15"/>
        <v>0.13821943435677342</v>
      </c>
      <c r="O40" s="162">
        <v>1127.1300000000001</v>
      </c>
      <c r="P40" s="213">
        <v>6.6690999999999999E-3</v>
      </c>
      <c r="Q40" s="172">
        <f>C40*(1+P41)*(1+P42)*(1+P44)</f>
        <v>106.93363011231166</v>
      </c>
      <c r="R40" s="169"/>
      <c r="S40" s="170"/>
      <c r="U40" s="132"/>
    </row>
    <row r="41" spans="1:22" s="171" customFormat="1">
      <c r="A41" s="162">
        <v>2016</v>
      </c>
      <c r="B41" s="165">
        <v>2238.8200000000002</v>
      </c>
      <c r="C41" s="166">
        <v>106.26</v>
      </c>
      <c r="D41" s="166">
        <v>45.7</v>
      </c>
      <c r="E41" s="166">
        <v>62.32</v>
      </c>
      <c r="F41" s="166">
        <f>F44</f>
        <v>8.9552682408751174</v>
      </c>
      <c r="G41" s="166">
        <f t="shared" si="23"/>
        <v>108.02000000000001</v>
      </c>
      <c r="H41" s="166">
        <v>98.66</v>
      </c>
      <c r="I41" s="224">
        <f t="shared" si="19"/>
        <v>2.0412538748090511E-2</v>
      </c>
      <c r="J41" s="224">
        <f t="shared" si="20"/>
        <v>2.7836092227155374E-2</v>
      </c>
      <c r="K41" s="224">
        <f t="shared" si="21"/>
        <v>4.8248630975245885E-2</v>
      </c>
      <c r="L41" s="167">
        <f t="shared" si="22"/>
        <v>4.40678571747617E-2</v>
      </c>
      <c r="M41" s="225">
        <v>740.29</v>
      </c>
      <c r="N41" s="168">
        <f>C41/M41</f>
        <v>0.14353834308176527</v>
      </c>
      <c r="O41" s="225">
        <v>1150.68</v>
      </c>
      <c r="P41" s="213">
        <v>2.0899999999999998E-2</v>
      </c>
      <c r="Q41" s="172">
        <f>C41*(1+P42)*(1+P44)</f>
        <v>110.76977959739999</v>
      </c>
      <c r="R41" s="169"/>
      <c r="S41" s="170"/>
      <c r="U41" s="132"/>
    </row>
    <row r="42" spans="1:22" s="171" customFormat="1">
      <c r="A42" s="162">
        <v>2017</v>
      </c>
      <c r="B42" s="165">
        <v>2673.61</v>
      </c>
      <c r="C42" s="166">
        <v>124.51</v>
      </c>
      <c r="D42" s="166">
        <v>48.93</v>
      </c>
      <c r="E42" s="166">
        <v>60.85</v>
      </c>
      <c r="F42" s="166">
        <v>9.41</v>
      </c>
      <c r="G42" s="166">
        <f t="shared" si="23"/>
        <v>109.78</v>
      </c>
      <c r="H42" s="166">
        <v>100.62</v>
      </c>
      <c r="I42" s="224">
        <f t="shared" si="19"/>
        <v>1.830109851474224E-2</v>
      </c>
      <c r="J42" s="224">
        <f t="shared" si="20"/>
        <v>2.2759489977969862E-2</v>
      </c>
      <c r="K42" s="224">
        <f t="shared" si="21"/>
        <v>4.1060588492712102E-2</v>
      </c>
      <c r="L42" s="167">
        <f t="shared" si="22"/>
        <v>3.7634509146808999E-2</v>
      </c>
      <c r="M42" s="225">
        <v>768.99</v>
      </c>
      <c r="N42" s="168">
        <f>C42/M42</f>
        <v>0.16191367898152123</v>
      </c>
      <c r="O42" s="225">
        <v>1231.57</v>
      </c>
      <c r="P42" s="213">
        <v>2.0899999999999998E-2</v>
      </c>
      <c r="Q42" s="172">
        <f>C42*(1+P44)</f>
        <v>127.13716099999999</v>
      </c>
      <c r="R42" s="169"/>
      <c r="S42" s="170"/>
      <c r="U42" s="132"/>
    </row>
    <row r="43" spans="1:22" s="171" customFormat="1">
      <c r="A43" s="162">
        <v>2018</v>
      </c>
      <c r="B43" s="165">
        <v>2506.85</v>
      </c>
      <c r="C43" s="227">
        <v>152.78</v>
      </c>
      <c r="D43" s="227">
        <v>54.39</v>
      </c>
      <c r="E43" s="227">
        <v>96.11</v>
      </c>
      <c r="F43" s="166">
        <v>8.81</v>
      </c>
      <c r="G43" s="166">
        <f t="shared" si="23"/>
        <v>150.5</v>
      </c>
      <c r="H43" s="166">
        <f>G43-F43</f>
        <v>141.69</v>
      </c>
      <c r="I43" s="224">
        <f t="shared" si="19"/>
        <v>2.1696551449029659E-2</v>
      </c>
      <c r="J43" s="224">
        <f t="shared" si="20"/>
        <v>3.8338951273510585E-2</v>
      </c>
      <c r="K43" s="224">
        <f t="shared" si="21"/>
        <v>6.003550272254024E-2</v>
      </c>
      <c r="L43" s="167">
        <f t="shared" si="22"/>
        <v>5.652113209805134E-2</v>
      </c>
      <c r="M43" s="225">
        <v>826.52</v>
      </c>
      <c r="N43" s="168">
        <f>C43/M43</f>
        <v>0.18484731161980353</v>
      </c>
      <c r="O43" s="225">
        <v>1325.89</v>
      </c>
      <c r="P43" s="213">
        <v>2.1100000000000001E-2</v>
      </c>
      <c r="Q43" s="172">
        <f>C43</f>
        <v>152.78</v>
      </c>
      <c r="R43" s="169"/>
      <c r="S43" s="170"/>
      <c r="U43" s="132"/>
    </row>
    <row r="44" spans="1:22" s="145" customFormat="1">
      <c r="A44" s="226" t="s">
        <v>147</v>
      </c>
      <c r="B44" s="227">
        <f>D23</f>
        <v>2941.76</v>
      </c>
      <c r="C44" s="227">
        <f>B69*B61</f>
        <v>153.37755239385726</v>
      </c>
      <c r="D44" s="227">
        <f>C69*E47</f>
        <v>55.357369419483675</v>
      </c>
      <c r="E44" s="227">
        <f>D69*E47</f>
        <v>98.110764726857795</v>
      </c>
      <c r="F44" s="227">
        <f>F45</f>
        <v>8.9552682408751174</v>
      </c>
      <c r="G44" s="227">
        <f t="shared" si="23"/>
        <v>153.46813414634147</v>
      </c>
      <c r="H44" s="227">
        <f>G44-F44</f>
        <v>144.51286590546636</v>
      </c>
      <c r="I44" s="228">
        <f t="shared" si="19"/>
        <v>1.8817772156628571E-2</v>
      </c>
      <c r="J44" s="228">
        <f t="shared" si="20"/>
        <v>3.3351043160168667E-2</v>
      </c>
      <c r="K44" s="228">
        <f t="shared" si="21"/>
        <v>5.2168815316797235E-2</v>
      </c>
      <c r="L44" s="229">
        <f t="shared" si="22"/>
        <v>4.9124628081647158E-2</v>
      </c>
      <c r="M44" s="230">
        <v>826.52</v>
      </c>
      <c r="N44" s="231">
        <f t="shared" si="15"/>
        <v>0.18557028552709826</v>
      </c>
      <c r="O44" s="230">
        <f>O43</f>
        <v>1325.89</v>
      </c>
      <c r="P44" s="232">
        <v>2.1100000000000001E-2</v>
      </c>
      <c r="Q44" s="233">
        <f>C44</f>
        <v>153.37755239385726</v>
      </c>
      <c r="R44" s="144" t="s">
        <v>43</v>
      </c>
      <c r="U44" s="146" t="s">
        <v>44</v>
      </c>
      <c r="V44" s="147">
        <v>41729</v>
      </c>
    </row>
    <row r="45" spans="1:22" s="107" customFormat="1">
      <c r="A45" s="156" t="s">
        <v>162</v>
      </c>
      <c r="B45" s="157"/>
      <c r="C45" s="158">
        <f>B73*F73</f>
        <v>135.4871619789163</v>
      </c>
      <c r="D45" s="158">
        <f>C73*F73</f>
        <v>48.287473617094648</v>
      </c>
      <c r="E45" s="158">
        <f>D73*F73</f>
        <v>92.649067923503708</v>
      </c>
      <c r="F45" s="158">
        <f>E73*F73</f>
        <v>8.9552682408751174</v>
      </c>
      <c r="G45" s="159">
        <f t="shared" si="23"/>
        <v>140.93654154059834</v>
      </c>
      <c r="H45" s="159">
        <f>G45-F45</f>
        <v>131.98127329972323</v>
      </c>
      <c r="Q45" s="160" t="s">
        <v>148</v>
      </c>
      <c r="T45" s="107" t="s">
        <v>44</v>
      </c>
      <c r="U45" s="161">
        <v>41729</v>
      </c>
    </row>
    <row r="46" spans="1:22">
      <c r="C46" s="13" t="s">
        <v>35</v>
      </c>
      <c r="D46" s="13" t="s">
        <v>33</v>
      </c>
      <c r="E46" s="13" t="s">
        <v>34</v>
      </c>
      <c r="F46" s="13" t="s">
        <v>16</v>
      </c>
      <c r="G46" s="13" t="s">
        <v>12</v>
      </c>
      <c r="M46" s="80"/>
    </row>
    <row r="47" spans="1:22" s="240" customFormat="1">
      <c r="B47" s="115">
        <v>42003</v>
      </c>
      <c r="C47" s="18">
        <v>21033</v>
      </c>
      <c r="D47" s="18">
        <v>2506.85</v>
      </c>
      <c r="E47" s="18">
        <f>D47/C47</f>
        <v>0.11918651642656777</v>
      </c>
      <c r="F47" s="18">
        <v>456.31</v>
      </c>
      <c r="G47" s="18">
        <v>806.41</v>
      </c>
      <c r="M47" s="80"/>
    </row>
    <row r="48" spans="1:22">
      <c r="B48" s="173">
        <v>2017</v>
      </c>
      <c r="C48" s="18">
        <v>22821</v>
      </c>
      <c r="D48" s="18">
        <v>2673.61</v>
      </c>
      <c r="E48" s="18">
        <f>D48/C48</f>
        <v>0.11715568993470926</v>
      </c>
      <c r="F48" s="18">
        <v>419.77</v>
      </c>
      <c r="G48" s="18">
        <v>519.4</v>
      </c>
      <c r="H48" s="38"/>
      <c r="M48" s="80"/>
    </row>
    <row r="49" spans="1:13">
      <c r="B49" s="173">
        <v>2016</v>
      </c>
      <c r="C49" s="174">
        <v>19268</v>
      </c>
      <c r="D49" s="174">
        <v>2238.8200000000002</v>
      </c>
      <c r="E49" s="18">
        <f>D49/C49</f>
        <v>0.11619368901806104</v>
      </c>
      <c r="F49" s="21">
        <v>397.21</v>
      </c>
      <c r="G49" s="21">
        <v>536.38</v>
      </c>
      <c r="H49" s="38"/>
      <c r="M49" s="80"/>
    </row>
    <row r="50" spans="1:13">
      <c r="B50" s="173">
        <v>2015</v>
      </c>
      <c r="C50" s="174">
        <v>17956</v>
      </c>
      <c r="D50" s="174">
        <v>2043.94</v>
      </c>
      <c r="E50" s="18">
        <f>D50/C50</f>
        <v>0.11383047449320562</v>
      </c>
      <c r="F50" s="21">
        <v>382.46</v>
      </c>
      <c r="G50" s="21">
        <v>572.16</v>
      </c>
      <c r="M50" s="80"/>
    </row>
    <row r="51" spans="1:13">
      <c r="B51" s="173">
        <v>2014</v>
      </c>
      <c r="C51" s="18">
        <v>18245</v>
      </c>
      <c r="D51" s="18">
        <v>2058.9</v>
      </c>
      <c r="E51" s="18">
        <f t="shared" ref="E51:E59" si="24">D51/C51</f>
        <v>0.11284735543984654</v>
      </c>
      <c r="F51" s="21">
        <f>81.96+86.65+89.02+92.8</f>
        <v>350.43</v>
      </c>
      <c r="G51" s="21">
        <f>159.28+116.17+145.19+132.63</f>
        <v>553.27</v>
      </c>
    </row>
    <row r="52" spans="1:13">
      <c r="B52" s="18">
        <v>2013</v>
      </c>
      <c r="C52" s="18">
        <v>16495</v>
      </c>
      <c r="D52" s="18">
        <v>1848.36</v>
      </c>
      <c r="E52" s="18">
        <f t="shared" si="24"/>
        <v>0.11205577447711428</v>
      </c>
      <c r="F52" s="21">
        <f>70.86+76.67+79.26+84.98</f>
        <v>311.77000000000004</v>
      </c>
      <c r="G52" s="21">
        <f>99.97+118.05+128.16+129.41</f>
        <v>475.58999999999992</v>
      </c>
    </row>
    <row r="53" spans="1:13">
      <c r="B53" s="18">
        <v>2012</v>
      </c>
      <c r="C53" s="18">
        <v>12742</v>
      </c>
      <c r="D53" s="18">
        <v>1426.19</v>
      </c>
      <c r="E53" s="18">
        <f t="shared" si="24"/>
        <v>0.11192826871762675</v>
      </c>
      <c r="F53" s="21">
        <f>64.07+67.31+69.48+79.83</f>
        <v>280.69</v>
      </c>
      <c r="G53" s="21">
        <f>84.29+111.75+103.72+99.15</f>
        <v>398.90999999999997</v>
      </c>
    </row>
    <row r="54" spans="1:13">
      <c r="B54" s="18">
        <v>2011</v>
      </c>
      <c r="C54" s="18">
        <v>11385</v>
      </c>
      <c r="D54" s="18">
        <v>1257.5999999999999</v>
      </c>
      <c r="E54" s="18">
        <f t="shared" si="24"/>
        <v>0.11046113306982872</v>
      </c>
      <c r="F54" s="21">
        <f>56.08+59.03+59.2+65.89</f>
        <v>240.2</v>
      </c>
      <c r="G54" s="21">
        <f>89.84+109.24+118.41+87.59</f>
        <v>405.08000000000004</v>
      </c>
    </row>
    <row r="55" spans="1:13">
      <c r="B55" s="18">
        <v>2010</v>
      </c>
      <c r="C55" s="18">
        <v>11430</v>
      </c>
      <c r="D55" s="21">
        <f>B35</f>
        <v>1257.6400000000001</v>
      </c>
      <c r="E55" s="18">
        <f t="shared" si="24"/>
        <v>0.11002974628171479</v>
      </c>
      <c r="F55" s="21">
        <v>205.83</v>
      </c>
      <c r="G55" s="21">
        <v>298.82</v>
      </c>
    </row>
    <row r="56" spans="1:13">
      <c r="B56" s="18">
        <v>2009</v>
      </c>
      <c r="C56" s="18">
        <v>9928</v>
      </c>
      <c r="D56" s="21">
        <f>B34</f>
        <v>1115</v>
      </c>
      <c r="E56" s="18">
        <f t="shared" si="24"/>
        <v>0.11230862207896858</v>
      </c>
      <c r="F56" s="18">
        <f>51.73+47.63+47.21+49.04</f>
        <v>195.60999999999999</v>
      </c>
      <c r="G56" s="18">
        <f>30.78+24.2+34.85+47.82</f>
        <v>137.65</v>
      </c>
      <c r="K56"/>
    </row>
    <row r="57" spans="1:13">
      <c r="B57" s="18">
        <v>2008</v>
      </c>
      <c r="C57" s="18">
        <v>7852</v>
      </c>
      <c r="D57" s="21">
        <f>B33</f>
        <v>903.25</v>
      </c>
      <c r="E57" s="18">
        <f t="shared" si="24"/>
        <v>0.11503438614365767</v>
      </c>
      <c r="F57" s="18">
        <f>62.19+61.44+61.94+61.72</f>
        <v>247.29</v>
      </c>
      <c r="G57" s="18">
        <f>48.12+89.71+87.91+113.9</f>
        <v>339.64</v>
      </c>
      <c r="K57"/>
    </row>
    <row r="58" spans="1:13">
      <c r="B58" s="18">
        <v>2007</v>
      </c>
      <c r="C58" s="18">
        <v>12868</v>
      </c>
      <c r="D58" s="21">
        <f>B32</f>
        <v>1468.36</v>
      </c>
      <c r="E58" s="18">
        <f t="shared" si="24"/>
        <v>0.11410941871308672</v>
      </c>
      <c r="F58" s="18">
        <f>58.53+59.76+61.21+67.09</f>
        <v>246.59</v>
      </c>
      <c r="G58" s="18">
        <f>117.7+157.76+171.95+141.71</f>
        <v>589.12</v>
      </c>
      <c r="K58"/>
    </row>
    <row r="59" spans="1:13">
      <c r="B59" s="35">
        <v>2006</v>
      </c>
      <c r="C59" s="35">
        <v>12729</v>
      </c>
      <c r="D59" s="37">
        <f>B31</f>
        <v>1418.3</v>
      </c>
      <c r="E59" s="18">
        <f t="shared" si="24"/>
        <v>0.11142273548589834</v>
      </c>
      <c r="F59" s="35"/>
      <c r="G59" s="35"/>
      <c r="K59"/>
    </row>
    <row r="60" spans="1:13" ht="15" thickBot="1">
      <c r="B60" s="35" t="s">
        <v>15</v>
      </c>
      <c r="C60" s="35"/>
      <c r="D60" s="35"/>
      <c r="E60" s="82"/>
      <c r="F60" s="43"/>
      <c r="G60" s="43"/>
      <c r="K60"/>
    </row>
    <row r="61" spans="1:13" ht="15" thickBot="1">
      <c r="A61" s="13" t="s">
        <v>32</v>
      </c>
      <c r="B61" s="36">
        <f>E47</f>
        <v>0.11918651642656777</v>
      </c>
      <c r="K61"/>
    </row>
    <row r="62" spans="1:13">
      <c r="K62"/>
    </row>
    <row r="63" spans="1:13">
      <c r="A63" s="104" t="s">
        <v>145</v>
      </c>
      <c r="K63"/>
    </row>
    <row r="64" spans="1:13">
      <c r="A64" s="26" t="s">
        <v>20</v>
      </c>
      <c r="B64" s="24" t="s">
        <v>45</v>
      </c>
      <c r="C64" s="24" t="s">
        <v>18</v>
      </c>
      <c r="D64" s="24" t="s">
        <v>19</v>
      </c>
      <c r="E64" s="18" t="s">
        <v>140</v>
      </c>
      <c r="K64"/>
    </row>
    <row r="65" spans="1:12">
      <c r="A65" s="26" t="s">
        <v>24</v>
      </c>
      <c r="B65" s="80">
        <v>316.48</v>
      </c>
      <c r="C65" s="80">
        <v>117.33</v>
      </c>
      <c r="D65" s="80">
        <v>205.81</v>
      </c>
      <c r="E65" s="101"/>
      <c r="F65" s="38" t="s">
        <v>238</v>
      </c>
      <c r="L65"/>
    </row>
    <row r="66" spans="1:12">
      <c r="A66" s="26" t="s">
        <v>23</v>
      </c>
      <c r="B66" s="80">
        <v>293.82</v>
      </c>
      <c r="C66" s="80">
        <v>119.81</v>
      </c>
      <c r="D66" s="80">
        <v>222.98</v>
      </c>
      <c r="K66"/>
    </row>
    <row r="67" spans="1:12">
      <c r="A67" s="26" t="s">
        <v>22</v>
      </c>
      <c r="B67" s="80">
        <v>349.04</v>
      </c>
      <c r="C67" s="80">
        <v>115.72</v>
      </c>
      <c r="D67" s="80">
        <v>203.76</v>
      </c>
      <c r="K67"/>
    </row>
    <row r="68" spans="1:12">
      <c r="A68" s="26" t="s">
        <v>21</v>
      </c>
      <c r="B68" s="80">
        <v>327.52999999999997</v>
      </c>
      <c r="C68" s="80">
        <v>111.6</v>
      </c>
      <c r="D68" s="80">
        <v>190.62</v>
      </c>
      <c r="K68"/>
    </row>
    <row r="69" spans="1:12">
      <c r="A69" s="26" t="s">
        <v>25</v>
      </c>
      <c r="B69" s="25">
        <f>SUM(B65:B68)</f>
        <v>1286.8699999999999</v>
      </c>
      <c r="C69" s="25">
        <f>SUM(C65:C68)</f>
        <v>464.46000000000004</v>
      </c>
      <c r="D69" s="25">
        <f>SUM(D65:D68)</f>
        <v>823.17</v>
      </c>
      <c r="E69" s="18">
        <f>E73</f>
        <v>80.096000000000004</v>
      </c>
    </row>
    <row r="71" spans="1:12" customFormat="1">
      <c r="A71" s="103" t="s">
        <v>167</v>
      </c>
    </row>
    <row r="72" spans="1:12" customFormat="1">
      <c r="A72" s="102" t="s">
        <v>146</v>
      </c>
      <c r="B72" t="s">
        <v>45</v>
      </c>
      <c r="C72" t="s">
        <v>18</v>
      </c>
      <c r="D72" t="s">
        <v>19</v>
      </c>
      <c r="E72" t="s">
        <v>140</v>
      </c>
      <c r="F72" t="s">
        <v>168</v>
      </c>
    </row>
    <row r="73" spans="1:12">
      <c r="A73" s="130">
        <v>42185</v>
      </c>
      <c r="B73" s="107">
        <f>'S&amp;P 500 Monthly Data (Cap IQ)'!G49/1000</f>
        <v>1211.7983999999999</v>
      </c>
      <c r="C73" s="107">
        <f>'S&amp;P 500 Monthly Data (Cap IQ)'!D49/1000</f>
        <v>431.88360000000006</v>
      </c>
      <c r="D73" s="106">
        <f>'S&amp;P 500 Monthly Data (Cap IQ)'!E49/1000</f>
        <v>828.65409999999997</v>
      </c>
      <c r="E73" s="107">
        <f>'S&amp;P 500 Monthly Data (Cap IQ)'!F49/1000</f>
        <v>80.096000000000004</v>
      </c>
      <c r="F73" s="108">
        <f>'S&amp;P 500 Monthly Data (Cap IQ)'!J49*1000</f>
        <v>0.11180668498895222</v>
      </c>
      <c r="H73" s="13" t="s">
        <v>239</v>
      </c>
    </row>
  </sheetData>
  <phoneticPr fontId="11" type="noConversion"/>
  <dataValidations count="1">
    <dataValidation allowBlank="1" showInputMessage="1" showErrorMessage="1" sqref="C2:C15 C20:C24" xr:uid="{00000000-0002-0000-0100-000000000000}"/>
  </dataValidation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0"/>
  <sheetViews>
    <sheetView topLeftCell="A28" workbookViewId="0">
      <selection activeCell="B60" sqref="B60"/>
    </sheetView>
  </sheetViews>
  <sheetFormatPr baseColWidth="10" defaultRowHeight="14"/>
  <cols>
    <col min="2" max="3" width="11.5703125" customWidth="1"/>
  </cols>
  <sheetData>
    <row r="1" spans="1:5" s="70" customFormat="1">
      <c r="A1" s="187" t="s">
        <v>7</v>
      </c>
      <c r="B1" s="188" t="s">
        <v>75</v>
      </c>
      <c r="C1" s="188" t="s">
        <v>5</v>
      </c>
      <c r="D1" s="188" t="s">
        <v>76</v>
      </c>
      <c r="E1" s="189" t="s">
        <v>77</v>
      </c>
    </row>
    <row r="2" spans="1:5" s="71" customFormat="1">
      <c r="A2" s="178">
        <v>1960</v>
      </c>
      <c r="B2" s="110">
        <v>5.3400000000000003E-2</v>
      </c>
      <c r="C2" s="110">
        <v>3.4099999999999998E-2</v>
      </c>
      <c r="D2" s="111">
        <v>2.76E-2</v>
      </c>
      <c r="E2" s="184"/>
    </row>
    <row r="3" spans="1:5" s="71" customFormat="1">
      <c r="A3" s="178">
        <v>1961</v>
      </c>
      <c r="B3" s="110">
        <v>4.7100000000000003E-2</v>
      </c>
      <c r="C3" s="110">
        <v>2.8500000000000001E-2</v>
      </c>
      <c r="D3" s="111">
        <v>2.35E-2</v>
      </c>
      <c r="E3" s="184">
        <v>2.92E-2</v>
      </c>
    </row>
    <row r="4" spans="1:5" s="71" customFormat="1">
      <c r="A4" s="178">
        <v>1962</v>
      </c>
      <c r="B4" s="110">
        <v>5.8099999999999999E-2</v>
      </c>
      <c r="C4" s="110">
        <v>3.4000000000000002E-2</v>
      </c>
      <c r="D4" s="110">
        <v>3.85E-2</v>
      </c>
      <c r="E4" s="184">
        <v>3.56E-2</v>
      </c>
    </row>
    <row r="5" spans="1:5" s="71" customFormat="1">
      <c r="A5" s="178">
        <v>1963</v>
      </c>
      <c r="B5" s="110">
        <v>5.5100000000000003E-2</v>
      </c>
      <c r="C5" s="110">
        <v>3.1300000000000001E-2</v>
      </c>
      <c r="D5" s="110">
        <v>4.1399999999999999E-2</v>
      </c>
      <c r="E5" s="184">
        <v>3.3799999999999997E-2</v>
      </c>
    </row>
    <row r="6" spans="1:5" s="71" customFormat="1">
      <c r="A6" s="178">
        <v>1964</v>
      </c>
      <c r="B6" s="110">
        <v>5.62E-2</v>
      </c>
      <c r="C6" s="110">
        <v>3.0499999999999999E-2</v>
      </c>
      <c r="D6" s="110">
        <v>4.2099999999999999E-2</v>
      </c>
      <c r="E6" s="184">
        <v>3.3099999999999997E-2</v>
      </c>
    </row>
    <row r="7" spans="1:5" s="71" customFormat="1">
      <c r="A7" s="178">
        <v>1965</v>
      </c>
      <c r="B7" s="110">
        <v>5.7299999999999997E-2</v>
      </c>
      <c r="C7" s="110">
        <v>3.0599999999999999E-2</v>
      </c>
      <c r="D7" s="110">
        <v>4.65E-2</v>
      </c>
      <c r="E7" s="184">
        <v>3.32E-2</v>
      </c>
    </row>
    <row r="8" spans="1:5" s="71" customFormat="1">
      <c r="A8" s="178">
        <v>1966</v>
      </c>
      <c r="B8" s="110">
        <v>6.7400000000000002E-2</v>
      </c>
      <c r="C8" s="110">
        <v>3.5900000000000001E-2</v>
      </c>
      <c r="D8" s="110">
        <v>4.6399999999999997E-2</v>
      </c>
      <c r="E8" s="184">
        <v>3.6799999999999999E-2</v>
      </c>
    </row>
    <row r="9" spans="1:5" s="71" customFormat="1">
      <c r="A9" s="178">
        <v>1967</v>
      </c>
      <c r="B9" s="110">
        <v>5.6599999999999998E-2</v>
      </c>
      <c r="C9" s="110">
        <v>3.09E-2</v>
      </c>
      <c r="D9" s="110">
        <v>5.7000000000000002E-2</v>
      </c>
      <c r="E9" s="184">
        <v>3.2000000000000001E-2</v>
      </c>
    </row>
    <row r="10" spans="1:5" s="71" customFormat="1">
      <c r="A10" s="178">
        <v>1968</v>
      </c>
      <c r="B10" s="110">
        <v>5.5100000000000003E-2</v>
      </c>
      <c r="C10" s="110">
        <v>2.93E-2</v>
      </c>
      <c r="D10" s="110">
        <v>6.1600000000000002E-2</v>
      </c>
      <c r="E10" s="184">
        <v>0.03</v>
      </c>
    </row>
    <row r="11" spans="1:5" s="71" customFormat="1">
      <c r="A11" s="178">
        <v>1969</v>
      </c>
      <c r="B11" s="110">
        <v>6.6299999999999998E-2</v>
      </c>
      <c r="C11" s="110">
        <v>3.5200000000000002E-2</v>
      </c>
      <c r="D11" s="110">
        <v>7.8799999999999995E-2</v>
      </c>
      <c r="E11" s="184">
        <v>3.7400000000000003E-2</v>
      </c>
    </row>
    <row r="12" spans="1:5" s="71" customFormat="1">
      <c r="A12" s="178">
        <v>1970</v>
      </c>
      <c r="B12" s="110">
        <v>5.9799999999999999E-2</v>
      </c>
      <c r="C12" s="110">
        <v>3.4599999999999999E-2</v>
      </c>
      <c r="D12" s="110">
        <v>6.5000000000000002E-2</v>
      </c>
      <c r="E12" s="184">
        <v>3.4099999999999998E-2</v>
      </c>
    </row>
    <row r="13" spans="1:5" s="71" customFormat="1">
      <c r="A13" s="178">
        <v>1971</v>
      </c>
      <c r="B13" s="110">
        <v>5.4600000000000003E-2</v>
      </c>
      <c r="C13" s="110">
        <v>3.1E-2</v>
      </c>
      <c r="D13" s="110">
        <v>5.8900000000000001E-2</v>
      </c>
      <c r="E13" s="184">
        <v>3.09E-2</v>
      </c>
    </row>
    <row r="14" spans="1:5" s="71" customFormat="1">
      <c r="A14" s="178">
        <v>1972</v>
      </c>
      <c r="B14" s="110">
        <v>5.2299999999999999E-2</v>
      </c>
      <c r="C14" s="110">
        <v>2.7E-2</v>
      </c>
      <c r="D14" s="110">
        <v>6.4100000000000004E-2</v>
      </c>
      <c r="E14" s="184">
        <v>2.7199999999999998E-2</v>
      </c>
    </row>
    <row r="15" spans="1:5" s="71" customFormat="1">
      <c r="A15" s="178">
        <v>1973</v>
      </c>
      <c r="B15" s="110">
        <v>8.1600000000000006E-2</v>
      </c>
      <c r="C15" s="110">
        <v>3.6999999999999998E-2</v>
      </c>
      <c r="D15" s="110">
        <v>6.9000000000000006E-2</v>
      </c>
      <c r="E15" s="184">
        <v>4.2999999999999997E-2</v>
      </c>
    </row>
    <row r="16" spans="1:5" s="71" customFormat="1">
      <c r="A16" s="178">
        <v>1974</v>
      </c>
      <c r="B16" s="110">
        <v>0.13639999999999999</v>
      </c>
      <c r="C16" s="110">
        <v>5.4300000000000001E-2</v>
      </c>
      <c r="D16" s="110">
        <v>7.3999999999999996E-2</v>
      </c>
      <c r="E16" s="184">
        <v>5.5899999999999998E-2</v>
      </c>
    </row>
    <row r="17" spans="1:5" s="71" customFormat="1">
      <c r="A17" s="178">
        <v>1975</v>
      </c>
      <c r="B17" s="110">
        <v>8.5500000000000007E-2</v>
      </c>
      <c r="C17" s="110">
        <v>4.1399999999999999E-2</v>
      </c>
      <c r="D17" s="110">
        <v>7.7600000000000002E-2</v>
      </c>
      <c r="E17" s="184">
        <v>4.1300000000000003E-2</v>
      </c>
    </row>
    <row r="18" spans="1:5" s="71" customFormat="1">
      <c r="A18" s="178">
        <v>1976</v>
      </c>
      <c r="B18" s="110">
        <v>9.0700000000000003E-2</v>
      </c>
      <c r="C18" s="110">
        <v>3.9300000000000002E-2</v>
      </c>
      <c r="D18" s="110">
        <v>6.8099999999999994E-2</v>
      </c>
      <c r="E18" s="184">
        <v>4.5499999999999999E-2</v>
      </c>
    </row>
    <row r="19" spans="1:5" s="71" customFormat="1">
      <c r="A19" s="178">
        <v>1977</v>
      </c>
      <c r="B19" s="110">
        <v>0.1143</v>
      </c>
      <c r="C19" s="110">
        <v>5.11E-2</v>
      </c>
      <c r="D19" s="110">
        <v>7.7799999999999994E-2</v>
      </c>
      <c r="E19" s="184">
        <v>5.9200000000000003E-2</v>
      </c>
    </row>
    <row r="20" spans="1:5" s="71" customFormat="1">
      <c r="A20" s="178">
        <v>1978</v>
      </c>
      <c r="B20" s="110">
        <v>0.1211</v>
      </c>
      <c r="C20" s="110">
        <v>5.3900000000000003E-2</v>
      </c>
      <c r="D20" s="110">
        <v>9.1499999999999998E-2</v>
      </c>
      <c r="E20" s="184">
        <v>5.7200000000000001E-2</v>
      </c>
    </row>
    <row r="21" spans="1:5" s="71" customFormat="1">
      <c r="A21" s="178">
        <v>1979</v>
      </c>
      <c r="B21" s="110">
        <v>0.1348</v>
      </c>
      <c r="C21" s="110">
        <v>5.5300000000000002E-2</v>
      </c>
      <c r="D21" s="110">
        <v>0.1033</v>
      </c>
      <c r="E21" s="184">
        <v>6.4500000000000002E-2</v>
      </c>
    </row>
    <row r="22" spans="1:5" s="71" customFormat="1">
      <c r="A22" s="178">
        <v>1980</v>
      </c>
      <c r="B22" s="110">
        <v>0.1104</v>
      </c>
      <c r="C22" s="110">
        <v>4.7399999999999998E-2</v>
      </c>
      <c r="D22" s="110">
        <v>0.12429999999999999</v>
      </c>
      <c r="E22" s="184">
        <v>5.0299999999999997E-2</v>
      </c>
    </row>
    <row r="23" spans="1:5" s="71" customFormat="1">
      <c r="A23" s="178">
        <v>1981</v>
      </c>
      <c r="B23" s="110">
        <v>0.1239</v>
      </c>
      <c r="C23" s="110">
        <v>5.57E-2</v>
      </c>
      <c r="D23" s="110">
        <v>0.13980000000000001</v>
      </c>
      <c r="E23" s="184">
        <v>5.7299999999999997E-2</v>
      </c>
    </row>
    <row r="24" spans="1:5" s="71" customFormat="1">
      <c r="A24" s="178">
        <v>1982</v>
      </c>
      <c r="B24" s="110">
        <v>9.8299999999999998E-2</v>
      </c>
      <c r="C24" s="110">
        <v>4.9299999999999997E-2</v>
      </c>
      <c r="D24" s="110">
        <v>0.1047</v>
      </c>
      <c r="E24" s="184">
        <v>4.9000000000000002E-2</v>
      </c>
    </row>
    <row r="25" spans="1:5" s="71" customFormat="1">
      <c r="A25" s="178">
        <v>1983</v>
      </c>
      <c r="B25" s="110">
        <v>8.0600000000000005E-2</v>
      </c>
      <c r="C25" s="110">
        <v>4.3200000000000002E-2</v>
      </c>
      <c r="D25" s="110">
        <v>0.11799999999999999</v>
      </c>
      <c r="E25" s="184">
        <v>4.3099999999999999E-2</v>
      </c>
    </row>
    <row r="26" spans="1:5" s="71" customFormat="1">
      <c r="A26" s="178">
        <v>1984</v>
      </c>
      <c r="B26" s="110">
        <v>0.1007</v>
      </c>
      <c r="C26" s="110">
        <v>4.6800000000000001E-2</v>
      </c>
      <c r="D26" s="110">
        <v>0.11509999999999999</v>
      </c>
      <c r="E26" s="184">
        <v>5.11E-2</v>
      </c>
    </row>
    <row r="27" spans="1:5" s="71" customFormat="1">
      <c r="A27" s="178">
        <v>1985</v>
      </c>
      <c r="B27" s="110">
        <v>7.4200000000000002E-2</v>
      </c>
      <c r="C27" s="110">
        <v>3.8800000000000001E-2</v>
      </c>
      <c r="D27" s="110">
        <v>8.9899999999999994E-2</v>
      </c>
      <c r="E27" s="184">
        <v>3.8399999999999997E-2</v>
      </c>
    </row>
    <row r="28" spans="1:5" s="71" customFormat="1">
      <c r="A28" s="178">
        <v>1986</v>
      </c>
      <c r="B28" s="110">
        <v>5.96E-2</v>
      </c>
      <c r="C28" s="110">
        <v>3.3799999999999997E-2</v>
      </c>
      <c r="D28" s="110">
        <v>7.22E-2</v>
      </c>
      <c r="E28" s="184">
        <v>3.5799999999999998E-2</v>
      </c>
    </row>
    <row r="29" spans="1:5" s="71" customFormat="1">
      <c r="A29" s="178">
        <v>1987</v>
      </c>
      <c r="B29" s="110">
        <v>6.4899999999999999E-2</v>
      </c>
      <c r="C29" s="110">
        <v>3.7100000000000001E-2</v>
      </c>
      <c r="D29" s="110">
        <v>8.8599999999999998E-2</v>
      </c>
      <c r="E29" s="184">
        <v>3.9899999999999998E-2</v>
      </c>
    </row>
    <row r="30" spans="1:5" s="71" customFormat="1">
      <c r="A30" s="178">
        <v>1988</v>
      </c>
      <c r="B30" s="110">
        <v>8.2000000000000003E-2</v>
      </c>
      <c r="C30" s="110">
        <v>3.6799999999999999E-2</v>
      </c>
      <c r="D30" s="110">
        <v>9.1399999999999995E-2</v>
      </c>
      <c r="E30" s="184">
        <v>3.7699999999999997E-2</v>
      </c>
    </row>
    <row r="31" spans="1:5" s="71" customFormat="1">
      <c r="A31" s="178">
        <v>1989</v>
      </c>
      <c r="B31" s="110">
        <v>6.8000000000000005E-2</v>
      </c>
      <c r="C31" s="110">
        <v>3.32E-2</v>
      </c>
      <c r="D31" s="110">
        <v>7.9299999999999995E-2</v>
      </c>
      <c r="E31" s="184">
        <v>3.5099999999999999E-2</v>
      </c>
    </row>
    <row r="32" spans="1:5" s="71" customFormat="1">
      <c r="A32" s="178">
        <v>1990</v>
      </c>
      <c r="B32" s="110">
        <v>6.5799999999999997E-2</v>
      </c>
      <c r="C32" s="110">
        <v>3.7400000000000003E-2</v>
      </c>
      <c r="D32" s="110">
        <v>8.0699999999999994E-2</v>
      </c>
      <c r="E32" s="184">
        <v>3.8899999999999997E-2</v>
      </c>
    </row>
    <row r="33" spans="1:5" s="71" customFormat="1">
      <c r="A33" s="178">
        <v>1991</v>
      </c>
      <c r="B33" s="110">
        <v>4.58E-2</v>
      </c>
      <c r="C33" s="110">
        <v>3.1099999999999999E-2</v>
      </c>
      <c r="D33" s="110">
        <v>6.7000000000000004E-2</v>
      </c>
      <c r="E33" s="184">
        <v>3.4799999999999998E-2</v>
      </c>
    </row>
    <row r="34" spans="1:5" s="71" customFormat="1">
      <c r="A34" s="178">
        <v>1992</v>
      </c>
      <c r="B34" s="110">
        <v>4.1599999999999998E-2</v>
      </c>
      <c r="C34" s="110">
        <v>2.9000000000000001E-2</v>
      </c>
      <c r="D34" s="110">
        <v>6.6799999999999998E-2</v>
      </c>
      <c r="E34" s="184">
        <v>3.5499999999999997E-2</v>
      </c>
    </row>
    <row r="35" spans="1:5" s="71" customFormat="1">
      <c r="A35" s="178">
        <v>1993</v>
      </c>
      <c r="B35" s="110">
        <v>4.2500000000000003E-2</v>
      </c>
      <c r="C35" s="110">
        <v>2.7199999999999998E-2</v>
      </c>
      <c r="D35" s="110">
        <v>5.79E-2</v>
      </c>
      <c r="E35" s="184">
        <v>3.1699999999999999E-2</v>
      </c>
    </row>
    <row r="36" spans="1:5" s="71" customFormat="1">
      <c r="A36" s="178">
        <v>1994</v>
      </c>
      <c r="B36" s="110">
        <v>5.8900000000000001E-2</v>
      </c>
      <c r="C36" s="110">
        <v>2.9100000000000001E-2</v>
      </c>
      <c r="D36" s="110">
        <v>7.8200000000000006E-2</v>
      </c>
      <c r="E36" s="184">
        <v>3.5499999999999997E-2</v>
      </c>
    </row>
    <row r="37" spans="1:5" s="71" customFormat="1">
      <c r="A37" s="178">
        <v>1995</v>
      </c>
      <c r="B37" s="110">
        <v>5.74E-2</v>
      </c>
      <c r="C37" s="110">
        <v>2.3E-2</v>
      </c>
      <c r="D37" s="110">
        <v>5.57E-2</v>
      </c>
      <c r="E37" s="184">
        <v>3.2899999999999999E-2</v>
      </c>
    </row>
    <row r="38" spans="1:5" s="71" customFormat="1">
      <c r="A38" s="178">
        <v>1996</v>
      </c>
      <c r="B38" s="110">
        <v>4.8300000000000003E-2</v>
      </c>
      <c r="C38" s="110">
        <v>2.01E-2</v>
      </c>
      <c r="D38" s="110">
        <v>6.4100000000000004E-2</v>
      </c>
      <c r="E38" s="184">
        <v>3.2000000000000001E-2</v>
      </c>
    </row>
    <row r="39" spans="1:5" s="59" customFormat="1">
      <c r="A39" s="178">
        <v>1997</v>
      </c>
      <c r="B39" s="111">
        <v>4.0766408479412965E-2</v>
      </c>
      <c r="C39" s="110">
        <v>1.5994971301381864E-2</v>
      </c>
      <c r="D39" s="110">
        <v>5.74E-2</v>
      </c>
      <c r="E39" s="184">
        <v>2.7300000000000001E-2</v>
      </c>
    </row>
    <row r="40" spans="1:5" s="59" customFormat="1">
      <c r="A40" s="178">
        <v>1998</v>
      </c>
      <c r="B40" s="111">
        <v>3.110419906687403E-2</v>
      </c>
      <c r="C40" s="111">
        <v>1.3178981964319126E-2</v>
      </c>
      <c r="D40" s="110">
        <v>4.65E-2</v>
      </c>
      <c r="E40" s="184">
        <v>2.2599999999999999E-2</v>
      </c>
    </row>
    <row r="41" spans="1:5" s="59" customFormat="1">
      <c r="A41" s="178">
        <v>1999</v>
      </c>
      <c r="B41" s="110">
        <v>3.0740854595757761E-2</v>
      </c>
      <c r="C41" s="110">
        <v>1.1374404356705241E-2</v>
      </c>
      <c r="D41" s="110">
        <v>6.4399999999999999E-2</v>
      </c>
      <c r="E41" s="184">
        <v>2.0500000000000001E-2</v>
      </c>
    </row>
    <row r="42" spans="1:5" s="59" customFormat="1">
      <c r="A42" s="178">
        <v>2000</v>
      </c>
      <c r="B42" s="110">
        <v>3.9385584875935409E-2</v>
      </c>
      <c r="C42" s="110">
        <v>1.2321969696969698E-2</v>
      </c>
      <c r="D42" s="110">
        <v>5.11E-2</v>
      </c>
      <c r="E42" s="184">
        <v>2.87E-2</v>
      </c>
    </row>
    <row r="43" spans="1:5" s="59" customFormat="1">
      <c r="A43" s="179">
        <v>2001</v>
      </c>
      <c r="B43" s="110">
        <v>3.8524854323267341E-2</v>
      </c>
      <c r="C43" s="110">
        <v>1.3710597601233353E-2</v>
      </c>
      <c r="D43" s="110">
        <v>5.0500000000000003E-2</v>
      </c>
      <c r="E43" s="184">
        <v>3.6200000000000003E-2</v>
      </c>
    </row>
    <row r="44" spans="1:5" s="72" customFormat="1">
      <c r="A44" s="179">
        <v>2002</v>
      </c>
      <c r="B44" s="110">
        <v>5.232888545384283E-2</v>
      </c>
      <c r="C44" s="110">
        <v>1.8276465640699232E-2</v>
      </c>
      <c r="D44" s="110">
        <v>3.8100000000000002E-2</v>
      </c>
      <c r="E44" s="184">
        <v>4.1000000000000002E-2</v>
      </c>
    </row>
    <row r="45" spans="1:5" s="59" customFormat="1">
      <c r="A45" s="179">
        <v>2003</v>
      </c>
      <c r="B45" s="110">
        <v>4.87E-2</v>
      </c>
      <c r="C45" s="110">
        <v>1.61E-2</v>
      </c>
      <c r="D45" s="110">
        <v>4.2500000000000003E-2</v>
      </c>
      <c r="E45" s="184">
        <v>3.6900000000000002E-2</v>
      </c>
    </row>
    <row r="46" spans="1:5" s="2" customFormat="1">
      <c r="A46" s="179">
        <v>2004</v>
      </c>
      <c r="B46" s="110">
        <v>5.584527031487227E-2</v>
      </c>
      <c r="C46" s="110">
        <v>1.6013433229916166E-2</v>
      </c>
      <c r="D46" s="110">
        <v>4.2200000000000001E-2</v>
      </c>
      <c r="E46" s="184">
        <v>3.6499999999999998E-2</v>
      </c>
    </row>
    <row r="47" spans="1:5" s="71" customFormat="1">
      <c r="A47" s="179">
        <v>2005</v>
      </c>
      <c r="B47" s="110">
        <v>5.4699999999999999E-2</v>
      </c>
      <c r="C47" s="110">
        <v>1.792852622387426E-2</v>
      </c>
      <c r="D47" s="110">
        <v>4.3900000000000002E-2</v>
      </c>
      <c r="E47" s="184">
        <v>4.0800000000000003E-2</v>
      </c>
    </row>
    <row r="48" spans="1:5" s="71" customFormat="1">
      <c r="A48" s="179">
        <v>2006</v>
      </c>
      <c r="B48" s="110">
        <v>6.1848692096171477E-2</v>
      </c>
      <c r="C48" s="110">
        <v>1.766198970598604E-2</v>
      </c>
      <c r="D48" s="110">
        <v>4.7E-2</v>
      </c>
      <c r="E48" s="184">
        <v>4.1599999999999998E-2</v>
      </c>
    </row>
    <row r="49" spans="1:5" s="71" customFormat="1">
      <c r="A49" s="179">
        <v>2007</v>
      </c>
      <c r="B49" s="110">
        <v>5.6212372987550746E-2</v>
      </c>
      <c r="C49" s="112">
        <v>1.8885014574082652E-2</v>
      </c>
      <c r="D49" s="110">
        <v>4.02E-2</v>
      </c>
      <c r="E49" s="184">
        <v>4.3700000000000003E-2</v>
      </c>
    </row>
    <row r="50" spans="1:5" s="71" customFormat="1">
      <c r="A50" s="180">
        <v>2008</v>
      </c>
      <c r="B50" s="110">
        <v>7.2394132300027683E-2</v>
      </c>
      <c r="C50" s="110">
        <v>3.1054525325214504E-2</v>
      </c>
      <c r="D50" s="110">
        <v>2.2100000000000002E-2</v>
      </c>
      <c r="E50" s="184">
        <v>6.4299999999999996E-2</v>
      </c>
    </row>
    <row r="51" spans="1:5" s="71" customFormat="1">
      <c r="A51" s="181">
        <v>2009</v>
      </c>
      <c r="B51" s="110">
        <v>5.3492960272621293E-2</v>
      </c>
      <c r="C51" s="110">
        <v>2.000717424446238E-2</v>
      </c>
      <c r="D51" s="110">
        <v>3.8399999999999997E-2</v>
      </c>
      <c r="E51" s="184">
        <v>4.36E-2</v>
      </c>
    </row>
    <row r="52" spans="1:5" s="71" customFormat="1">
      <c r="A52" s="181">
        <v>2010</v>
      </c>
      <c r="B52" s="110">
        <v>6.6521421074393294E-2</v>
      </c>
      <c r="C52" s="110">
        <v>1.8383639197226551E-2</v>
      </c>
      <c r="D52" s="110">
        <v>3.2899999999999999E-2</v>
      </c>
      <c r="E52" s="184">
        <v>5.1999999999999998E-2</v>
      </c>
    </row>
    <row r="53" spans="1:5" s="71" customFormat="1">
      <c r="A53" s="182">
        <v>2011</v>
      </c>
      <c r="B53" s="110">
        <v>7.7170801526717556E-2</v>
      </c>
      <c r="C53" s="110">
        <v>2.069020356234097E-2</v>
      </c>
      <c r="D53" s="113">
        <v>1.8800000000000001E-2</v>
      </c>
      <c r="E53" s="185">
        <v>6.0100000000000001E-2</v>
      </c>
    </row>
    <row r="54" spans="1:5" s="71" customFormat="1">
      <c r="A54" s="182">
        <v>2012</v>
      </c>
      <c r="B54" s="113">
        <v>7.1848771902761899E-2</v>
      </c>
      <c r="C54" s="113">
        <v>2.134357974743898E-2</v>
      </c>
      <c r="D54" s="113">
        <v>1.7600000000000001E-2</v>
      </c>
      <c r="E54" s="185">
        <v>5.7799999999999997E-2</v>
      </c>
    </row>
    <row r="55" spans="1:5" s="2" customFormat="1">
      <c r="A55" s="183">
        <v>2013</v>
      </c>
      <c r="B55" s="114">
        <v>5.813261485857734E-2</v>
      </c>
      <c r="C55" s="114">
        <v>1.9599999999999999E-2</v>
      </c>
      <c r="D55" s="112">
        <v>3.04E-2</v>
      </c>
      <c r="E55" s="186">
        <v>4.9599999999999998E-2</v>
      </c>
    </row>
    <row r="56" spans="1:5">
      <c r="A56" s="183">
        <v>2014</v>
      </c>
      <c r="B56" s="113">
        <v>5.4888532711642138E-2</v>
      </c>
      <c r="C56" s="112">
        <v>1.9155859925202776E-2</v>
      </c>
      <c r="D56" s="112">
        <v>2.1700000000000001E-2</v>
      </c>
      <c r="E56" s="186">
        <v>5.7799999999999997E-2</v>
      </c>
    </row>
    <row r="57" spans="1:5" s="153" customFormat="1">
      <c r="A57" s="190">
        <v>2015</v>
      </c>
      <c r="B57" s="191">
        <v>5.2017182500464783E-2</v>
      </c>
      <c r="C57" s="191">
        <v>2.1116079728367758E-2</v>
      </c>
      <c r="D57" s="191">
        <v>2.2700000000000001E-2</v>
      </c>
      <c r="E57" s="192">
        <v>6.1199999999999997E-2</v>
      </c>
    </row>
    <row r="58" spans="1:5">
      <c r="A58" s="190">
        <v>2016</v>
      </c>
      <c r="B58" s="191">
        <v>4.8599999999999997E-2</v>
      </c>
      <c r="C58" s="193">
        <v>2.01E-2</v>
      </c>
      <c r="D58" s="191">
        <v>2.4500000000000001E-2</v>
      </c>
      <c r="E58" s="192">
        <v>5.6899999999999999E-2</v>
      </c>
    </row>
    <row r="59" spans="1:5">
      <c r="A59" s="190">
        <v>2017</v>
      </c>
      <c r="B59" s="191">
        <v>4.4200000000000003E-2</v>
      </c>
      <c r="C59" s="193">
        <v>1.7999999999999999E-2</v>
      </c>
      <c r="D59" s="191">
        <v>2.41E-2</v>
      </c>
      <c r="E59" s="192">
        <v>5.0799999999999998E-2</v>
      </c>
    </row>
    <row r="60" spans="1:5">
      <c r="A60" s="190">
        <v>2018</v>
      </c>
      <c r="B60" s="191">
        <v>5.9200000000000003E-2</v>
      </c>
      <c r="C60" s="193">
        <v>2.0799999999999999E-2</v>
      </c>
      <c r="D60" s="191">
        <v>2.6800000000000001E-2</v>
      </c>
      <c r="E60" s="192">
        <v>6.6900000000000001E-2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2"/>
  <sheetViews>
    <sheetView topLeftCell="A103" workbookViewId="0">
      <selection activeCell="L133" sqref="L133"/>
    </sheetView>
  </sheetViews>
  <sheetFormatPr baseColWidth="10" defaultRowHeight="14"/>
  <cols>
    <col min="1" max="1" width="13.42578125" customWidth="1"/>
    <col min="3" max="3" width="11.5703125" style="13" customWidth="1"/>
    <col min="4" max="4" width="17.42578125" style="13" customWidth="1"/>
    <col min="5" max="5" width="18.85546875" style="155" customWidth="1"/>
    <col min="6" max="6" width="12.85546875" customWidth="1"/>
    <col min="7" max="7" width="18.140625" customWidth="1"/>
    <col min="8" max="8" width="28.7109375" style="13" customWidth="1"/>
    <col min="9" max="9" width="11.42578125" customWidth="1"/>
    <col min="10" max="10" width="14.42578125" customWidth="1"/>
    <col min="11" max="11" width="15" customWidth="1"/>
    <col min="12" max="12" width="17.28515625" customWidth="1"/>
  </cols>
  <sheetData>
    <row r="1" spans="1:13" s="100" customFormat="1" ht="15">
      <c r="A1" s="100" t="s">
        <v>78</v>
      </c>
      <c r="B1" s="100" t="s">
        <v>79</v>
      </c>
      <c r="C1" s="53" t="s">
        <v>80</v>
      </c>
      <c r="D1" s="53" t="s">
        <v>130</v>
      </c>
      <c r="E1" s="175" t="s">
        <v>81</v>
      </c>
      <c r="F1" s="53" t="s">
        <v>164</v>
      </c>
      <c r="G1" s="100" t="s">
        <v>82</v>
      </c>
      <c r="H1" s="53" t="s">
        <v>179</v>
      </c>
      <c r="I1" s="100" t="s">
        <v>83</v>
      </c>
      <c r="J1" s="100" t="s">
        <v>84</v>
      </c>
      <c r="K1" s="100" t="s">
        <v>165</v>
      </c>
      <c r="L1" s="100" t="s">
        <v>144</v>
      </c>
      <c r="M1" t="s">
        <v>131</v>
      </c>
    </row>
    <row r="2" spans="1:13">
      <c r="A2" s="73">
        <v>38230</v>
      </c>
      <c r="B2">
        <v>1252</v>
      </c>
      <c r="C2" s="127">
        <v>3.7199999999999997E-2</v>
      </c>
      <c r="E2" s="80"/>
      <c r="F2" s="13"/>
      <c r="I2" s="33">
        <v>4.2200000000000001E-2</v>
      </c>
    </row>
    <row r="3" spans="1:13">
      <c r="A3" s="73">
        <v>38260</v>
      </c>
      <c r="B3">
        <v>1166</v>
      </c>
      <c r="C3" s="127">
        <v>3.8300000000000001E-2</v>
      </c>
      <c r="E3" s="80"/>
      <c r="F3" s="13"/>
      <c r="I3" s="33">
        <v>4.5100000000000001E-2</v>
      </c>
    </row>
    <row r="4" spans="1:13">
      <c r="A4" s="73">
        <v>38291</v>
      </c>
      <c r="B4">
        <v>969</v>
      </c>
      <c r="C4" s="127">
        <v>3.95E-2</v>
      </c>
      <c r="E4" s="80"/>
      <c r="F4" s="13"/>
      <c r="I4" s="33">
        <v>5.8999999999999997E-2</v>
      </c>
    </row>
    <row r="5" spans="1:13">
      <c r="A5" s="73">
        <v>38321</v>
      </c>
      <c r="B5">
        <v>896</v>
      </c>
      <c r="C5" s="127">
        <v>2.92E-2</v>
      </c>
      <c r="E5" s="80"/>
      <c r="F5" s="13"/>
      <c r="I5" s="33">
        <v>6.6000000000000003E-2</v>
      </c>
    </row>
    <row r="6" spans="1:13">
      <c r="A6" s="73">
        <v>38352</v>
      </c>
      <c r="B6">
        <v>903</v>
      </c>
      <c r="C6" s="127">
        <v>2.2100000000000002E-2</v>
      </c>
      <c r="E6" s="80">
        <v>52.58</v>
      </c>
      <c r="F6" s="13"/>
      <c r="G6" s="74">
        <v>0.04</v>
      </c>
      <c r="H6" s="154"/>
      <c r="I6" s="33">
        <v>6.4299999999999996E-2</v>
      </c>
    </row>
    <row r="7" spans="1:13">
      <c r="A7" s="73">
        <v>38383</v>
      </c>
      <c r="B7">
        <v>826</v>
      </c>
      <c r="C7" s="127">
        <v>2.87E-2</v>
      </c>
      <c r="E7" s="80">
        <v>52.58</v>
      </c>
      <c r="F7" s="13"/>
      <c r="G7" s="74">
        <v>0.04</v>
      </c>
      <c r="H7" s="154"/>
      <c r="I7" s="33">
        <v>6.8699999999999997E-2</v>
      </c>
    </row>
    <row r="8" spans="1:13">
      <c r="A8" s="73">
        <v>38411</v>
      </c>
      <c r="B8">
        <v>735</v>
      </c>
      <c r="C8" s="127">
        <v>3.0200000000000001E-2</v>
      </c>
      <c r="E8" s="80">
        <v>52.58</v>
      </c>
      <c r="F8" s="13"/>
      <c r="G8" s="74">
        <v>0.04</v>
      </c>
      <c r="H8" s="154"/>
      <c r="I8" s="33">
        <v>7.6799999999999993E-2</v>
      </c>
    </row>
    <row r="9" spans="1:13">
      <c r="A9" s="73">
        <v>38442</v>
      </c>
      <c r="B9">
        <v>798</v>
      </c>
      <c r="C9" s="127">
        <v>2.7099999999999999E-2</v>
      </c>
      <c r="E9" s="80">
        <v>51.55</v>
      </c>
      <c r="F9" s="13"/>
      <c r="G9" s="74">
        <v>0.04</v>
      </c>
      <c r="H9" s="154"/>
      <c r="I9" s="33">
        <v>7.0099999999999996E-2</v>
      </c>
    </row>
    <row r="10" spans="1:13">
      <c r="A10" s="73">
        <v>38472</v>
      </c>
      <c r="B10">
        <v>873</v>
      </c>
      <c r="C10" s="127">
        <v>3.1600000000000003E-2</v>
      </c>
      <c r="E10" s="80">
        <v>51.55</v>
      </c>
      <c r="F10" s="13"/>
      <c r="G10" s="74">
        <v>0.04</v>
      </c>
      <c r="H10" s="154"/>
      <c r="I10" s="33">
        <v>6.3200000000000006E-2</v>
      </c>
    </row>
    <row r="11" spans="1:13">
      <c r="A11" s="73">
        <v>38503</v>
      </c>
      <c r="B11">
        <v>919</v>
      </c>
      <c r="C11" s="127">
        <v>3.4700000000000002E-2</v>
      </c>
      <c r="E11" s="80">
        <v>51.55</v>
      </c>
      <c r="F11" s="13"/>
      <c r="G11" s="74">
        <v>0.04</v>
      </c>
      <c r="H11" s="154"/>
      <c r="I11" s="33">
        <v>5.9400000000000001E-2</v>
      </c>
    </row>
    <row r="12" spans="1:13">
      <c r="A12" s="73">
        <v>38533</v>
      </c>
      <c r="B12">
        <v>919</v>
      </c>
      <c r="C12" s="127">
        <v>3.5299999999999998E-2</v>
      </c>
      <c r="E12" s="80">
        <v>50.95</v>
      </c>
      <c r="F12" s="13"/>
      <c r="G12" s="74">
        <v>0.04</v>
      </c>
      <c r="H12" s="154"/>
      <c r="I12" s="33">
        <v>5.8599999999999999E-2</v>
      </c>
    </row>
    <row r="13" spans="1:13">
      <c r="A13" s="73">
        <v>38564</v>
      </c>
      <c r="B13">
        <v>987</v>
      </c>
      <c r="C13" s="127">
        <v>3.5200000000000002E-2</v>
      </c>
      <c r="E13" s="80">
        <v>50.95</v>
      </c>
      <c r="F13" s="13"/>
      <c r="G13" s="74">
        <v>0.04</v>
      </c>
      <c r="H13" s="154"/>
      <c r="I13" s="33">
        <v>5.4600000000000003E-2</v>
      </c>
    </row>
    <row r="14" spans="1:13">
      <c r="A14" s="73">
        <v>38595</v>
      </c>
      <c r="B14">
        <v>1021</v>
      </c>
      <c r="C14" s="127">
        <v>3.4000000000000002E-2</v>
      </c>
      <c r="E14" s="80">
        <v>50.95</v>
      </c>
      <c r="F14" s="13"/>
      <c r="G14" s="74">
        <v>0.04</v>
      </c>
      <c r="H14" s="154"/>
      <c r="I14" s="33">
        <v>5.2999999999999999E-2</v>
      </c>
    </row>
    <row r="15" spans="1:13">
      <c r="A15" s="73">
        <v>38625</v>
      </c>
      <c r="B15">
        <v>1057</v>
      </c>
      <c r="C15" s="127">
        <v>3.3000000000000002E-2</v>
      </c>
      <c r="E15" s="80">
        <v>48.52</v>
      </c>
      <c r="F15" s="13"/>
      <c r="G15" s="74">
        <v>0.04</v>
      </c>
      <c r="H15" s="154"/>
      <c r="I15" s="33">
        <v>4.8599999999999997E-2</v>
      </c>
    </row>
    <row r="16" spans="1:13">
      <c r="A16" s="73">
        <v>38656</v>
      </c>
      <c r="B16">
        <v>1036</v>
      </c>
      <c r="C16" s="127">
        <v>3.39E-2</v>
      </c>
      <c r="E16" s="80">
        <v>48.52</v>
      </c>
      <c r="F16" s="13"/>
      <c r="G16" s="74">
        <v>0.04</v>
      </c>
      <c r="H16" s="154"/>
      <c r="I16" s="33">
        <v>4.9700000000000001E-2</v>
      </c>
    </row>
    <row r="17" spans="1:9">
      <c r="A17" s="73">
        <v>38686</v>
      </c>
      <c r="B17">
        <v>1096</v>
      </c>
      <c r="C17" s="127">
        <v>3.2399999999999998E-2</v>
      </c>
      <c r="E17" s="80">
        <v>48.52</v>
      </c>
      <c r="F17" s="13"/>
      <c r="G17" s="33">
        <v>0.04</v>
      </c>
      <c r="H17" s="127"/>
      <c r="I17" s="33">
        <v>4.7300000000000002E-2</v>
      </c>
    </row>
    <row r="18" spans="1:9">
      <c r="A18" s="73">
        <v>38717</v>
      </c>
      <c r="B18">
        <v>1115</v>
      </c>
      <c r="C18" s="127">
        <v>3.8399999999999997E-2</v>
      </c>
      <c r="E18" s="80">
        <v>40.380000000000003</v>
      </c>
      <c r="F18" s="13"/>
      <c r="G18" s="33">
        <v>7.2099999999999997E-2</v>
      </c>
      <c r="H18" s="127"/>
      <c r="I18" s="33">
        <v>4.36E-2</v>
      </c>
    </row>
    <row r="19" spans="1:9">
      <c r="A19" s="73">
        <v>38748</v>
      </c>
      <c r="B19">
        <v>1074</v>
      </c>
      <c r="C19" s="127">
        <v>3.5799999999999998E-2</v>
      </c>
      <c r="E19" s="80">
        <v>40.380000000000003</v>
      </c>
      <c r="F19" s="13"/>
      <c r="G19" s="33">
        <v>7.2099999999999997E-2</v>
      </c>
      <c r="H19" s="127"/>
      <c r="I19" s="33">
        <v>4.5600000000000002E-2</v>
      </c>
    </row>
    <row r="20" spans="1:9">
      <c r="A20" s="73">
        <v>38776</v>
      </c>
      <c r="B20">
        <v>1104</v>
      </c>
      <c r="C20" s="127">
        <v>3.61E-2</v>
      </c>
      <c r="E20" s="80">
        <v>40.380000000000003</v>
      </c>
      <c r="F20" s="13"/>
      <c r="G20" s="33">
        <v>7.2099999999999997E-2</v>
      </c>
      <c r="H20" s="127"/>
      <c r="I20" s="33">
        <v>4.4400000000000002E-2</v>
      </c>
    </row>
    <row r="21" spans="1:9">
      <c r="A21" s="73">
        <v>38807</v>
      </c>
      <c r="B21">
        <v>1169</v>
      </c>
      <c r="C21" s="127">
        <v>3.8300000000000001E-2</v>
      </c>
      <c r="E21" s="80">
        <v>40.340000000000003</v>
      </c>
      <c r="F21" s="13"/>
      <c r="G21" s="33">
        <v>7.2099999999999997E-2</v>
      </c>
      <c r="H21" s="127"/>
      <c r="I21" s="33">
        <v>4.1599999999999998E-2</v>
      </c>
    </row>
    <row r="22" spans="1:9">
      <c r="A22" s="73">
        <v>38837</v>
      </c>
      <c r="B22">
        <v>1187</v>
      </c>
      <c r="C22" s="127">
        <v>3.6499999999999998E-2</v>
      </c>
      <c r="E22" s="80">
        <v>40.340000000000003</v>
      </c>
      <c r="F22" s="13"/>
      <c r="G22" s="33">
        <v>7.2099999999999997E-2</v>
      </c>
      <c r="H22" s="127"/>
      <c r="I22" s="33">
        <v>4.5400000000000003E-2</v>
      </c>
    </row>
    <row r="23" spans="1:9">
      <c r="A23" s="73">
        <v>38868</v>
      </c>
      <c r="B23">
        <v>1089</v>
      </c>
      <c r="C23" s="127">
        <v>3.3000000000000002E-2</v>
      </c>
      <c r="E23" s="80">
        <v>40.340000000000003</v>
      </c>
      <c r="F23" s="13"/>
      <c r="G23" s="33">
        <v>7.2099999999999997E-2</v>
      </c>
      <c r="H23" s="127"/>
      <c r="I23" s="33">
        <v>4.7899999999999998E-2</v>
      </c>
    </row>
    <row r="24" spans="1:9">
      <c r="A24" s="73">
        <v>38898</v>
      </c>
      <c r="B24">
        <v>1031</v>
      </c>
      <c r="C24" s="127">
        <v>2.9600000000000001E-2</v>
      </c>
      <c r="E24" s="80">
        <v>42.44</v>
      </c>
      <c r="F24" s="13"/>
      <c r="G24" s="33">
        <v>7.2099999999999997E-2</v>
      </c>
      <c r="H24" s="127"/>
      <c r="I24" s="33">
        <v>5.0999999999999997E-2</v>
      </c>
    </row>
    <row r="25" spans="1:9">
      <c r="A25" s="73">
        <v>38929</v>
      </c>
      <c r="B25">
        <v>1106</v>
      </c>
      <c r="C25" s="127">
        <v>2.9100000000000001E-2</v>
      </c>
      <c r="E25" s="80">
        <v>42.44</v>
      </c>
      <c r="F25" s="13"/>
      <c r="G25" s="33">
        <v>7.2099999999999997E-2</v>
      </c>
      <c r="H25" s="127"/>
      <c r="I25" s="33">
        <v>4.7800000000000002E-2</v>
      </c>
    </row>
    <row r="26" spans="1:9">
      <c r="A26" s="73">
        <v>38960</v>
      </c>
      <c r="B26">
        <v>1049</v>
      </c>
      <c r="C26" s="127">
        <v>2.47E-2</v>
      </c>
      <c r="E26" s="80">
        <v>42.44</v>
      </c>
      <c r="F26" s="13"/>
      <c r="G26" s="33">
        <v>7.2099999999999997E-2</v>
      </c>
      <c r="H26" s="127"/>
      <c r="I26" s="33">
        <v>5.0999999999999997E-2</v>
      </c>
    </row>
    <row r="27" spans="1:9">
      <c r="A27" s="73">
        <v>38990</v>
      </c>
      <c r="B27">
        <v>1141</v>
      </c>
      <c r="C27" s="127">
        <v>2.5099999999999997E-2</v>
      </c>
      <c r="E27" s="80">
        <v>48.2</v>
      </c>
      <c r="F27" s="13"/>
      <c r="G27" s="33">
        <v>7.2099999999999997E-2</v>
      </c>
      <c r="H27" s="127"/>
      <c r="I27" s="33">
        <v>5.3100000000000001E-2</v>
      </c>
    </row>
    <row r="28" spans="1:9">
      <c r="A28" s="73">
        <v>39021</v>
      </c>
      <c r="B28">
        <v>1183</v>
      </c>
      <c r="C28" s="127">
        <v>2.6000000000000002E-2</v>
      </c>
      <c r="E28" s="80">
        <v>48.2</v>
      </c>
      <c r="F28" s="13"/>
      <c r="G28" s="33">
        <v>7.2099999999999997E-2</v>
      </c>
      <c r="H28" s="127"/>
      <c r="I28" s="33">
        <v>5.11E-2</v>
      </c>
    </row>
    <row r="29" spans="1:9">
      <c r="A29" s="73">
        <v>39051</v>
      </c>
      <c r="B29">
        <v>1181</v>
      </c>
      <c r="C29" s="127">
        <v>2.8000000000000001E-2</v>
      </c>
      <c r="E29" s="80">
        <f>E28</f>
        <v>48.2</v>
      </c>
      <c r="F29" s="13"/>
      <c r="G29" s="33">
        <v>7.2099999999999997E-2</v>
      </c>
      <c r="H29" s="127"/>
      <c r="I29" s="33">
        <v>5.0799999999999998E-2</v>
      </c>
    </row>
    <row r="30" spans="1:9">
      <c r="A30" s="73">
        <v>39082</v>
      </c>
      <c r="B30">
        <v>1258</v>
      </c>
      <c r="C30" s="127">
        <v>3.2899999999999999E-2</v>
      </c>
      <c r="E30" s="80">
        <v>53.964500000000001</v>
      </c>
      <c r="F30" s="13"/>
      <c r="G30" s="33">
        <v>6.9500000000000006E-2</v>
      </c>
      <c r="H30" s="127"/>
      <c r="I30" s="33">
        <v>5.1999999999999998E-2</v>
      </c>
    </row>
    <row r="31" spans="1:9">
      <c r="A31" s="73">
        <v>39113</v>
      </c>
      <c r="B31">
        <v>1286</v>
      </c>
      <c r="C31" s="127">
        <v>3.3799999999999997E-2</v>
      </c>
      <c r="E31" s="80">
        <f>E30</f>
        <v>53.964500000000001</v>
      </c>
      <c r="F31" s="13"/>
      <c r="G31" s="33">
        <v>6.9500000000000006E-2</v>
      </c>
      <c r="H31" s="127"/>
      <c r="I31" s="33">
        <v>5.0700000000000002E-2</v>
      </c>
    </row>
    <row r="32" spans="1:9">
      <c r="A32" s="73">
        <v>39141</v>
      </c>
      <c r="B32">
        <v>1327</v>
      </c>
      <c r="C32" s="127">
        <v>3.4200000000000001E-2</v>
      </c>
      <c r="E32" s="80">
        <f>E31</f>
        <v>53.964500000000001</v>
      </c>
      <c r="F32" s="13"/>
      <c r="G32" s="33">
        <f>G31</f>
        <v>6.9500000000000006E-2</v>
      </c>
      <c r="H32" s="127"/>
      <c r="I32" s="33">
        <v>4.9000000000000002E-2</v>
      </c>
    </row>
    <row r="33" spans="1:13">
      <c r="A33" s="73">
        <v>39172</v>
      </c>
      <c r="B33">
        <v>1326</v>
      </c>
      <c r="C33" s="127">
        <v>3.4700000000000002E-2</v>
      </c>
      <c r="E33" s="80">
        <v>58.54</v>
      </c>
      <c r="F33" s="13"/>
      <c r="G33" s="33">
        <v>6.9500000000000006E-2</v>
      </c>
      <c r="H33" s="127"/>
      <c r="I33" s="33">
        <v>5.3099999999999994E-2</v>
      </c>
    </row>
    <row r="34" spans="1:13">
      <c r="A34" s="73">
        <v>39202</v>
      </c>
      <c r="B34">
        <v>1364</v>
      </c>
      <c r="C34" s="127">
        <v>3.2899999999999999E-2</v>
      </c>
      <c r="E34" s="80">
        <v>58.15</v>
      </c>
      <c r="F34" s="13"/>
      <c r="G34" s="33">
        <v>6.9500000000000006E-2</v>
      </c>
      <c r="H34" s="127"/>
      <c r="I34" s="33">
        <v>5.16E-2</v>
      </c>
    </row>
    <row r="35" spans="1:13">
      <c r="A35" s="73">
        <v>39233</v>
      </c>
      <c r="B35">
        <v>1345</v>
      </c>
      <c r="C35" s="127">
        <v>3.0600000000000002E-2</v>
      </c>
      <c r="E35" s="80">
        <v>58.15</v>
      </c>
      <c r="F35" s="13"/>
      <c r="G35" s="33">
        <v>6.9500000000000006E-2</v>
      </c>
      <c r="H35" s="127"/>
      <c r="I35" s="33">
        <v>5.2699999999999997E-2</v>
      </c>
    </row>
    <row r="36" spans="1:13">
      <c r="A36" s="73">
        <v>39263</v>
      </c>
      <c r="B36">
        <v>1321</v>
      </c>
      <c r="C36" s="127">
        <v>3.1699999999999999E-2</v>
      </c>
      <c r="E36" s="80">
        <v>62.24</v>
      </c>
      <c r="F36" s="13"/>
      <c r="G36" s="33">
        <v>6.9500000000000006E-2</v>
      </c>
      <c r="H36" s="127"/>
      <c r="I36" s="33">
        <v>5.7200000000000001E-2</v>
      </c>
    </row>
    <row r="37" spans="1:13">
      <c r="A37" s="73">
        <v>39294</v>
      </c>
      <c r="B37">
        <v>1292</v>
      </c>
      <c r="C37" s="127">
        <v>2.7999999999999997E-2</v>
      </c>
      <c r="E37" s="80">
        <v>62.24</v>
      </c>
      <c r="F37" s="13"/>
      <c r="G37" s="33">
        <v>6.9500000000000006E-2</v>
      </c>
      <c r="H37" s="127"/>
      <c r="I37" s="33">
        <v>5.9200000000000003E-2</v>
      </c>
    </row>
    <row r="38" spans="1:13">
      <c r="A38" s="73">
        <v>39325</v>
      </c>
      <c r="B38">
        <v>1219</v>
      </c>
      <c r="C38" s="127">
        <v>2.23E-2</v>
      </c>
      <c r="E38" s="80">
        <v>62.24</v>
      </c>
      <c r="F38" s="13"/>
      <c r="G38" s="33">
        <v>6.9500000000000006E-2</v>
      </c>
      <c r="H38" s="127"/>
      <c r="I38" s="33">
        <v>6.3899999999999998E-2</v>
      </c>
    </row>
    <row r="39" spans="1:13">
      <c r="A39" s="73">
        <v>39355</v>
      </c>
      <c r="B39">
        <v>1131</v>
      </c>
      <c r="C39" s="127">
        <v>1.9199999999999998E-2</v>
      </c>
      <c r="E39" s="80">
        <v>68.650000000000006</v>
      </c>
      <c r="F39" s="13"/>
      <c r="G39" s="33">
        <v>6.9500000000000006E-2</v>
      </c>
      <c r="H39" s="127"/>
      <c r="I39" s="33">
        <v>7.6399999999999996E-2</v>
      </c>
    </row>
    <row r="40" spans="1:13">
      <c r="A40" s="73">
        <v>39386</v>
      </c>
      <c r="B40">
        <v>1253</v>
      </c>
      <c r="C40" s="127">
        <v>2.0500000000000001E-2</v>
      </c>
      <c r="E40" s="80">
        <v>68.650000000000006</v>
      </c>
      <c r="F40" s="13"/>
      <c r="G40" s="33">
        <v>5.5E-2</v>
      </c>
      <c r="H40" s="127"/>
      <c r="I40" s="33">
        <v>6.4899999999999999E-2</v>
      </c>
    </row>
    <row r="41" spans="1:13">
      <c r="A41" s="73">
        <v>39416</v>
      </c>
      <c r="B41">
        <v>1247</v>
      </c>
      <c r="C41" s="127">
        <v>2.07E-2</v>
      </c>
      <c r="E41" s="80">
        <v>68.650000000000006</v>
      </c>
      <c r="F41" s="13"/>
      <c r="G41" s="33">
        <v>5.5E-2</v>
      </c>
      <c r="H41" s="127"/>
      <c r="I41" s="33">
        <v>6.5100000000000005E-2</v>
      </c>
    </row>
    <row r="42" spans="1:13">
      <c r="A42" s="73">
        <v>39447</v>
      </c>
      <c r="B42">
        <v>1258</v>
      </c>
      <c r="C42" s="127">
        <v>1.8700000000000001E-2</v>
      </c>
      <c r="D42" s="13">
        <v>59.01</v>
      </c>
      <c r="E42" s="80">
        <v>72.23</v>
      </c>
      <c r="F42" s="13"/>
      <c r="G42" s="33">
        <v>7.1800000000000003E-2</v>
      </c>
      <c r="H42" s="127"/>
      <c r="I42" s="33">
        <v>7.3200000000000001E-2</v>
      </c>
      <c r="J42" s="33">
        <v>6.0100000000000001E-2</v>
      </c>
      <c r="K42" s="33"/>
      <c r="M42" t="s">
        <v>132</v>
      </c>
    </row>
    <row r="43" spans="1:13">
      <c r="A43" s="73">
        <v>39478</v>
      </c>
      <c r="B43">
        <v>1312</v>
      </c>
      <c r="C43" s="127">
        <v>1.8100000000000002E-2</v>
      </c>
      <c r="D43" s="13">
        <v>59.01</v>
      </c>
      <c r="E43" s="80">
        <v>72.23</v>
      </c>
      <c r="F43" s="13"/>
      <c r="G43" s="33">
        <v>7.1800000000000003E-2</v>
      </c>
      <c r="H43" s="127"/>
      <c r="I43" s="33">
        <v>7.0400000000000004E-2</v>
      </c>
      <c r="J43" s="33">
        <v>5.7799999999999997E-2</v>
      </c>
      <c r="K43" s="33"/>
    </row>
    <row r="44" spans="1:13">
      <c r="A44" s="73">
        <v>39507</v>
      </c>
      <c r="B44">
        <v>1366</v>
      </c>
      <c r="C44" s="127">
        <v>1.9799999999999998E-2</v>
      </c>
      <c r="D44" s="13">
        <v>59.01</v>
      </c>
      <c r="E44" s="80">
        <v>72.23</v>
      </c>
      <c r="F44" s="13"/>
      <c r="G44" s="33">
        <v>7.1800000000000003E-2</v>
      </c>
      <c r="H44" s="127"/>
      <c r="I44" s="33">
        <v>6.7299999999999999E-2</v>
      </c>
      <c r="J44" s="33">
        <v>5.5199999999999999E-2</v>
      </c>
      <c r="K44" s="33"/>
    </row>
    <row r="45" spans="1:13">
      <c r="A45" s="73">
        <v>39538</v>
      </c>
      <c r="B45">
        <v>1408</v>
      </c>
      <c r="C45" s="127">
        <v>2.2099999999999998E-2</v>
      </c>
      <c r="D45" s="13">
        <v>66.290000000000006</v>
      </c>
      <c r="E45" s="80">
        <v>74.069999999999993</v>
      </c>
      <c r="F45" s="13"/>
      <c r="G45" s="33">
        <v>7.1800000000000003E-2</v>
      </c>
      <c r="H45" s="127"/>
      <c r="I45" s="33">
        <v>6.6400000000000001E-2</v>
      </c>
      <c r="J45" s="33">
        <v>5.96E-2</v>
      </c>
      <c r="K45" s="33"/>
    </row>
    <row r="46" spans="1:13">
      <c r="A46" s="73">
        <v>39568</v>
      </c>
      <c r="B46">
        <v>1398</v>
      </c>
      <c r="C46" s="127">
        <v>1.9199999999999998E-2</v>
      </c>
      <c r="D46" s="13">
        <v>66.290000000000006</v>
      </c>
      <c r="E46" s="80">
        <v>74.069999999999993</v>
      </c>
      <c r="F46" s="13"/>
      <c r="G46" s="33">
        <v>7.1800000000000003E-2</v>
      </c>
      <c r="H46" s="127"/>
      <c r="I46" s="33">
        <v>6.7599999999999993E-2</v>
      </c>
      <c r="J46" s="33">
        <v>6.0600000000000001E-2</v>
      </c>
      <c r="K46" s="33"/>
    </row>
    <row r="47" spans="1:13">
      <c r="A47" s="73">
        <v>39599</v>
      </c>
      <c r="B47">
        <v>1310</v>
      </c>
      <c r="C47" s="127">
        <v>1.55E-2</v>
      </c>
      <c r="D47" s="13">
        <v>66.290000000000006</v>
      </c>
      <c r="E47" s="80">
        <v>74.069999999999993</v>
      </c>
      <c r="F47" s="13"/>
      <c r="G47" s="33">
        <v>7.1800000000000003E-2</v>
      </c>
      <c r="H47" s="127"/>
      <c r="I47" s="33">
        <v>7.2800000000000004E-2</v>
      </c>
      <c r="J47" s="33">
        <v>6.54E-2</v>
      </c>
      <c r="K47" s="33"/>
    </row>
    <row r="48" spans="1:13">
      <c r="A48" s="73">
        <v>39629</v>
      </c>
      <c r="B48">
        <v>1362</v>
      </c>
      <c r="C48" s="127">
        <v>1.6500000000000001E-2</v>
      </c>
      <c r="D48" s="13">
        <v>64.06</v>
      </c>
      <c r="E48" s="80">
        <v>71.55</v>
      </c>
      <c r="F48" s="13"/>
      <c r="G48" s="33">
        <v>6.5600000000000006E-2</v>
      </c>
      <c r="H48" s="127"/>
      <c r="I48" s="33">
        <v>6.59E-2</v>
      </c>
      <c r="J48" s="33">
        <v>5.91E-2</v>
      </c>
      <c r="K48" s="33"/>
      <c r="M48" t="s">
        <v>133</v>
      </c>
    </row>
    <row r="49" spans="1:13">
      <c r="A49" s="73">
        <v>39660</v>
      </c>
      <c r="B49">
        <v>1379</v>
      </c>
      <c r="C49" s="127">
        <v>1.47E-2</v>
      </c>
      <c r="D49" s="13">
        <v>64.06</v>
      </c>
      <c r="E49" s="80">
        <v>71.55</v>
      </c>
      <c r="F49" s="13"/>
      <c r="G49" s="33">
        <v>6.5600000000000006E-2</v>
      </c>
      <c r="H49" s="127"/>
      <c r="I49" s="33">
        <v>6.5500000000000003E-2</v>
      </c>
      <c r="J49" s="33">
        <v>5.8799999999999998E-2</v>
      </c>
      <c r="K49" s="33"/>
    </row>
    <row r="50" spans="1:13">
      <c r="A50" s="73">
        <v>39691</v>
      </c>
      <c r="B50">
        <v>1407</v>
      </c>
      <c r="C50" s="127">
        <v>1.55E-2</v>
      </c>
      <c r="D50" s="13">
        <v>64.06</v>
      </c>
      <c r="E50" s="80">
        <v>71.55</v>
      </c>
      <c r="F50" s="13"/>
      <c r="G50" s="33">
        <v>6.5600000000000006E-2</v>
      </c>
      <c r="H50" s="127"/>
      <c r="I50" s="33">
        <v>6.4100000000000004E-2</v>
      </c>
      <c r="J50" s="33">
        <v>5.7500000000000002E-2</v>
      </c>
      <c r="K50" s="33"/>
    </row>
    <row r="51" spans="1:13">
      <c r="A51" s="73">
        <v>39721</v>
      </c>
      <c r="B51">
        <v>1441</v>
      </c>
      <c r="C51" s="127">
        <v>1.6199999999999999E-2</v>
      </c>
      <c r="D51" s="13">
        <v>67.739999999999995</v>
      </c>
      <c r="E51" s="80">
        <v>72.739999999999995</v>
      </c>
      <c r="F51" s="13"/>
      <c r="G51" s="33">
        <v>6.5600000000000006E-2</v>
      </c>
      <c r="H51" s="127"/>
      <c r="I51" s="33">
        <v>6.3500000000000001E-2</v>
      </c>
      <c r="J51" s="33">
        <v>5.9200000000000003E-2</v>
      </c>
      <c r="K51" s="33"/>
      <c r="M51" t="s">
        <v>134</v>
      </c>
    </row>
    <row r="52" spans="1:13">
      <c r="A52" s="73">
        <v>39752</v>
      </c>
      <c r="B52">
        <v>1412</v>
      </c>
      <c r="C52" s="127">
        <v>1.7500000000000002E-2</v>
      </c>
      <c r="D52" s="13">
        <v>67.739999999999995</v>
      </c>
      <c r="E52" s="80">
        <v>72.739999999999995</v>
      </c>
      <c r="F52" s="13"/>
      <c r="G52" s="33">
        <v>6.5600000000000006E-2</v>
      </c>
      <c r="H52" s="127"/>
      <c r="I52" s="33">
        <v>6.4399999999999999E-2</v>
      </c>
      <c r="J52" s="33">
        <v>6.0100000000000001E-2</v>
      </c>
      <c r="K52" s="33"/>
    </row>
    <row r="53" spans="1:13">
      <c r="A53" s="73">
        <v>39782</v>
      </c>
      <c r="B53">
        <v>1416</v>
      </c>
      <c r="C53" s="127">
        <v>1.6199999999999999E-2</v>
      </c>
      <c r="D53" s="13">
        <v>67.739999999999995</v>
      </c>
      <c r="E53" s="80">
        <v>72.739999999999995</v>
      </c>
      <c r="F53" s="13"/>
      <c r="G53" s="33">
        <v>6.5600000000000006E-2</v>
      </c>
      <c r="H53" s="127"/>
      <c r="I53" s="33">
        <v>6.4500000000000002E-2</v>
      </c>
      <c r="J53" s="33">
        <v>6.0199999999999997E-2</v>
      </c>
      <c r="K53" s="33"/>
    </row>
    <row r="54" spans="1:13">
      <c r="A54" s="73">
        <v>39813</v>
      </c>
      <c r="B54">
        <v>1426</v>
      </c>
      <c r="C54" s="127">
        <v>1.7600000000000001E-2</v>
      </c>
      <c r="D54" s="13">
        <v>69.459999999999994</v>
      </c>
      <c r="E54" s="80">
        <v>72.25</v>
      </c>
      <c r="F54" s="13"/>
      <c r="G54" s="33">
        <v>5.2699999999999997E-2</v>
      </c>
      <c r="H54" s="127"/>
      <c r="I54" s="33">
        <v>0.06</v>
      </c>
      <c r="J54" s="33">
        <v>5.7799999999999997E-2</v>
      </c>
      <c r="K54" s="33"/>
      <c r="M54" t="s">
        <v>135</v>
      </c>
    </row>
    <row r="55" spans="1:13">
      <c r="A55" s="73">
        <v>39844</v>
      </c>
      <c r="B55">
        <v>1498</v>
      </c>
      <c r="C55" s="127">
        <v>0.02</v>
      </c>
      <c r="D55" s="13">
        <v>69.459999999999994</v>
      </c>
      <c r="E55" s="80">
        <v>72.25</v>
      </c>
      <c r="F55" s="13"/>
      <c r="G55" s="33">
        <v>5.2699999999999997E-2</v>
      </c>
      <c r="H55" s="127"/>
      <c r="I55" s="33">
        <v>5.67E-2</v>
      </c>
      <c r="J55" s="33">
        <v>5.4600000000000003E-2</v>
      </c>
      <c r="K55" s="33"/>
    </row>
    <row r="56" spans="1:13">
      <c r="A56" s="73">
        <v>39872</v>
      </c>
      <c r="B56" s="75">
        <v>1514.68</v>
      </c>
      <c r="C56" s="127">
        <v>1.8800000000000001E-2</v>
      </c>
      <c r="D56" s="13">
        <v>69.459999999999994</v>
      </c>
      <c r="E56" s="80">
        <v>72.25</v>
      </c>
      <c r="F56" s="13"/>
      <c r="G56" s="33">
        <v>5.3199999999999997E-2</v>
      </c>
      <c r="H56" s="127"/>
      <c r="I56" s="33">
        <v>5.6500000000000002E-2</v>
      </c>
      <c r="J56" s="33">
        <v>5.4300000000000001E-2</v>
      </c>
      <c r="K56" s="33"/>
    </row>
    <row r="57" spans="1:13">
      <c r="A57" s="73">
        <v>39903</v>
      </c>
      <c r="B57">
        <v>1569</v>
      </c>
      <c r="C57" s="127">
        <v>1.8499999999999999E-2</v>
      </c>
      <c r="D57" s="13">
        <v>76.760000000000005</v>
      </c>
      <c r="E57" s="80">
        <v>75.31</v>
      </c>
      <c r="F57" s="13"/>
      <c r="G57" s="33">
        <v>5.3100000000000001E-2</v>
      </c>
      <c r="H57" s="127"/>
      <c r="I57" s="33">
        <v>5.6800000000000003E-2</v>
      </c>
      <c r="J57" s="33">
        <v>5.79E-2</v>
      </c>
      <c r="K57" s="33"/>
      <c r="M57" t="s">
        <v>134</v>
      </c>
    </row>
    <row r="58" spans="1:13">
      <c r="A58" s="73">
        <v>39933</v>
      </c>
      <c r="B58">
        <v>1598</v>
      </c>
      <c r="C58" s="127">
        <v>1.6500000000000001E-2</v>
      </c>
      <c r="D58" s="13">
        <v>76.760000000000005</v>
      </c>
      <c r="E58" s="80">
        <v>75.31</v>
      </c>
      <c r="F58" s="13"/>
      <c r="G58" s="33">
        <v>5.2299999999999999E-2</v>
      </c>
      <c r="H58" s="127"/>
      <c r="I58" s="33">
        <v>5.6000000000000001E-2</v>
      </c>
      <c r="J58" s="33">
        <v>5.7099999999999998E-2</v>
      </c>
      <c r="K58" s="33"/>
    </row>
    <row r="59" spans="1:13">
      <c r="A59" s="73">
        <v>39964</v>
      </c>
      <c r="B59">
        <v>1631</v>
      </c>
      <c r="C59" s="127">
        <v>2.1400000000000002E-2</v>
      </c>
      <c r="D59" s="13">
        <v>76.760000000000005</v>
      </c>
      <c r="E59" s="80">
        <v>75.31</v>
      </c>
      <c r="F59" s="13"/>
      <c r="G59" s="33">
        <v>5.4300000000000001E-2</v>
      </c>
      <c r="H59" s="127"/>
      <c r="I59" s="33">
        <v>5.45E-2</v>
      </c>
      <c r="J59" s="33">
        <v>5.5500000000000001E-2</v>
      </c>
      <c r="K59" s="33"/>
    </row>
    <row r="60" spans="1:13">
      <c r="A60" s="73">
        <v>39994</v>
      </c>
      <c r="B60">
        <v>1606</v>
      </c>
      <c r="C60" s="127">
        <v>2.4900000000000002E-2</v>
      </c>
      <c r="D60" s="13">
        <v>78.66</v>
      </c>
      <c r="E60" s="80">
        <v>78.58</v>
      </c>
      <c r="F60" s="13"/>
      <c r="G60" s="33">
        <v>5.57E-2</v>
      </c>
      <c r="H60" s="127"/>
      <c r="I60" s="33">
        <v>5.7300000000000004E-2</v>
      </c>
      <c r="J60" s="33">
        <v>5.74E-2</v>
      </c>
      <c r="K60" s="33"/>
      <c r="M60" t="s">
        <v>134</v>
      </c>
    </row>
    <row r="61" spans="1:13">
      <c r="A61" s="73">
        <v>40025</v>
      </c>
      <c r="B61">
        <v>1686</v>
      </c>
      <c r="C61" s="127">
        <v>2.5699999999999997E-2</v>
      </c>
      <c r="D61" s="13">
        <v>78.66</v>
      </c>
      <c r="E61" s="80">
        <v>78.58</v>
      </c>
      <c r="F61" s="13"/>
      <c r="G61" s="33">
        <v>5.5999999999999994E-2</v>
      </c>
      <c r="H61" s="127"/>
      <c r="I61" s="33">
        <v>5.4600000000000003E-2</v>
      </c>
      <c r="J61" s="33">
        <v>5.4600000000000003E-2</v>
      </c>
      <c r="K61" s="33"/>
    </row>
    <row r="62" spans="1:13">
      <c r="A62" s="73">
        <v>40056</v>
      </c>
      <c r="B62">
        <v>1633</v>
      </c>
      <c r="C62" s="127">
        <v>2.7900000000000001E-2</v>
      </c>
      <c r="D62" s="13">
        <v>78.66</v>
      </c>
      <c r="E62" s="80">
        <v>78.58</v>
      </c>
      <c r="F62" s="13"/>
      <c r="G62" s="33">
        <v>5.6899999999999999E-2</v>
      </c>
      <c r="H62" s="127"/>
      <c r="I62" s="33">
        <v>5.62E-2</v>
      </c>
      <c r="J62" s="33">
        <v>5.6099999999999997E-2</v>
      </c>
      <c r="K62" s="33"/>
    </row>
    <row r="63" spans="1:13">
      <c r="A63" s="73">
        <v>40086</v>
      </c>
      <c r="B63">
        <v>1682</v>
      </c>
      <c r="C63" s="127">
        <v>2.6099999999999998E-2</v>
      </c>
      <c r="D63" s="13">
        <v>82.35</v>
      </c>
      <c r="E63" s="80">
        <v>80.33</v>
      </c>
      <c r="F63" s="13"/>
      <c r="G63" s="33">
        <v>5.62E-2</v>
      </c>
      <c r="H63" s="127"/>
      <c r="I63" s="33">
        <v>5.5899999999999998E-2</v>
      </c>
      <c r="J63" s="33">
        <v>5.7300000000000004E-2</v>
      </c>
      <c r="K63" s="33"/>
      <c r="M63" t="s">
        <v>134</v>
      </c>
    </row>
    <row r="64" spans="1:13">
      <c r="A64" s="73">
        <v>40117</v>
      </c>
      <c r="B64">
        <v>1757</v>
      </c>
      <c r="C64" s="127">
        <v>2.5499999999999998E-2</v>
      </c>
      <c r="D64" s="13">
        <v>82.35</v>
      </c>
      <c r="E64" s="80">
        <v>80.33</v>
      </c>
      <c r="F64" s="13"/>
      <c r="G64" s="33">
        <v>5.5899999999999998E-2</v>
      </c>
      <c r="H64" s="127"/>
      <c r="I64" s="33">
        <v>5.3600000000000002E-2</v>
      </c>
      <c r="J64" s="33">
        <v>5.4899999999999997E-2</v>
      </c>
      <c r="K64" s="33"/>
    </row>
    <row r="65" spans="1:13">
      <c r="A65" s="73">
        <v>40147</v>
      </c>
      <c r="B65">
        <v>1806</v>
      </c>
      <c r="C65" s="127">
        <v>2.75E-2</v>
      </c>
      <c r="D65" s="13">
        <v>82.35</v>
      </c>
      <c r="E65" s="80">
        <v>80.33</v>
      </c>
      <c r="F65" s="13"/>
      <c r="G65" s="33">
        <v>5.67E-2</v>
      </c>
      <c r="H65" s="127"/>
      <c r="I65" s="33">
        <v>5.1900000000000002E-2</v>
      </c>
      <c r="J65" s="33">
        <v>5.3200000000000004E-2</v>
      </c>
      <c r="K65" s="33"/>
    </row>
    <row r="66" spans="1:13">
      <c r="A66" s="73">
        <v>40178</v>
      </c>
      <c r="B66">
        <v>1848</v>
      </c>
      <c r="C66" s="127">
        <v>3.04E-2</v>
      </c>
      <c r="D66" s="13">
        <v>90.52</v>
      </c>
      <c r="E66" s="80">
        <v>84.16</v>
      </c>
      <c r="F66" s="13"/>
      <c r="G66" s="33">
        <v>4.2799999999999998E-2</v>
      </c>
      <c r="H66" s="127"/>
      <c r="I66" s="33">
        <v>4.9599999999999998E-2</v>
      </c>
      <c r="J66" s="33">
        <v>5.33E-2</v>
      </c>
      <c r="K66" s="33"/>
      <c r="M66" t="s">
        <v>136</v>
      </c>
    </row>
    <row r="67" spans="1:13">
      <c r="A67" s="73">
        <v>40209</v>
      </c>
      <c r="B67">
        <v>1783</v>
      </c>
      <c r="C67" s="127">
        <v>2.6499999999999999E-2</v>
      </c>
      <c r="D67" s="13">
        <v>90.52</v>
      </c>
      <c r="E67" s="80">
        <v>84.16</v>
      </c>
      <c r="F67" s="13"/>
      <c r="G67" s="33">
        <v>4.1300000000000003E-2</v>
      </c>
      <c r="H67" s="127"/>
      <c r="I67" s="33">
        <v>5.1699999999999996E-2</v>
      </c>
      <c r="J67" s="33">
        <v>5.5599999999999997E-2</v>
      </c>
      <c r="K67" s="33"/>
    </row>
    <row r="68" spans="1:13">
      <c r="A68" s="73">
        <v>40237</v>
      </c>
      <c r="B68">
        <v>1859</v>
      </c>
      <c r="C68" s="127">
        <v>2.6600000000000002E-2</v>
      </c>
      <c r="D68" s="13">
        <v>90.52</v>
      </c>
      <c r="E68" s="80">
        <v>84.16</v>
      </c>
      <c r="F68" s="13"/>
      <c r="G68" s="33">
        <v>4.1300000000000003E-2</v>
      </c>
      <c r="H68" s="127"/>
      <c r="I68" s="33">
        <v>4.9599999999999998E-2</v>
      </c>
      <c r="J68" s="33">
        <v>5.33E-2</v>
      </c>
      <c r="K68" s="33"/>
    </row>
    <row r="69" spans="1:13">
      <c r="A69" s="73">
        <v>40268</v>
      </c>
      <c r="B69">
        <v>1874</v>
      </c>
      <c r="C69" s="127">
        <v>2.7200000000000002E-2</v>
      </c>
      <c r="D69" s="13">
        <v>95.39</v>
      </c>
      <c r="E69" s="80">
        <v>88.13</v>
      </c>
      <c r="F69" s="13"/>
      <c r="G69" s="33">
        <v>4.1500000000000002E-2</v>
      </c>
      <c r="H69" s="127"/>
      <c r="I69" s="33">
        <v>5.1499999999999997E-2</v>
      </c>
      <c r="J69" s="33">
        <v>5.57E-2</v>
      </c>
      <c r="K69" s="33"/>
      <c r="M69" t="s">
        <v>137</v>
      </c>
    </row>
    <row r="70" spans="1:13">
      <c r="A70" s="73">
        <v>40298</v>
      </c>
      <c r="B70">
        <v>1884</v>
      </c>
      <c r="C70" s="127">
        <v>2.6499999999999999E-2</v>
      </c>
      <c r="D70" s="13">
        <v>95.39</v>
      </c>
      <c r="E70" s="80">
        <v>88.13</v>
      </c>
      <c r="F70" s="13"/>
      <c r="G70" s="33">
        <v>4.1299999999999996E-2</v>
      </c>
      <c r="H70" s="127"/>
      <c r="I70" s="33">
        <v>5.1200000000000002E-2</v>
      </c>
      <c r="J70" s="33">
        <v>5.5399999999999998E-2</v>
      </c>
      <c r="K70" s="33"/>
    </row>
    <row r="71" spans="1:13">
      <c r="A71" s="73">
        <v>40329</v>
      </c>
      <c r="B71">
        <v>1924</v>
      </c>
      <c r="C71" s="127">
        <v>2.4799999999999999E-2</v>
      </c>
      <c r="D71" s="13">
        <v>95.39</v>
      </c>
      <c r="E71" s="80">
        <v>88.13</v>
      </c>
      <c r="F71" s="13"/>
      <c r="G71" s="33">
        <v>4.0599999999999997E-2</v>
      </c>
      <c r="H71" s="127"/>
      <c r="I71" s="33">
        <v>5.0299999999999997E-2</v>
      </c>
      <c r="J71" s="33">
        <v>5.45E-2</v>
      </c>
      <c r="K71" s="33"/>
    </row>
    <row r="72" spans="1:13">
      <c r="A72" s="73">
        <v>40359</v>
      </c>
      <c r="B72">
        <v>1960</v>
      </c>
      <c r="C72" s="127">
        <v>2.52E-2</v>
      </c>
      <c r="D72" s="13">
        <v>99.78</v>
      </c>
      <c r="E72" s="80">
        <v>96.01</v>
      </c>
      <c r="F72" s="13"/>
      <c r="G72" s="33">
        <v>4.07E-2</v>
      </c>
      <c r="H72" s="127"/>
      <c r="I72" s="33">
        <v>5.3800000000000001E-2</v>
      </c>
      <c r="J72" s="33">
        <v>5.5899999999999998E-2</v>
      </c>
      <c r="K72" s="33"/>
      <c r="M72" t="s">
        <v>137</v>
      </c>
    </row>
    <row r="73" spans="1:13">
      <c r="A73" s="73">
        <v>40390</v>
      </c>
      <c r="B73">
        <v>1931</v>
      </c>
      <c r="C73" s="127">
        <v>2.5600000000000001E-2</v>
      </c>
      <c r="D73" s="13">
        <v>99.78</v>
      </c>
      <c r="E73" s="80">
        <v>96.01</v>
      </c>
      <c r="F73" s="13"/>
      <c r="G73" s="33">
        <v>4.0899999999999999E-2</v>
      </c>
      <c r="H73" s="127"/>
      <c r="I73" s="33">
        <v>5.45E-2</v>
      </c>
      <c r="J73" s="33">
        <v>5.67E-2</v>
      </c>
      <c r="K73" s="33"/>
    </row>
    <row r="74" spans="1:13">
      <c r="A74" s="73">
        <v>40421</v>
      </c>
      <c r="B74">
        <v>2003</v>
      </c>
      <c r="C74" s="127">
        <v>2.35E-2</v>
      </c>
      <c r="D74" s="13">
        <v>99.78</v>
      </c>
      <c r="E74" s="80">
        <v>96.01</v>
      </c>
      <c r="F74" s="13"/>
      <c r="G74" s="33">
        <v>0.04</v>
      </c>
      <c r="H74" s="127"/>
      <c r="I74" s="33">
        <v>5.28E-2</v>
      </c>
      <c r="J74" s="33">
        <v>5.4800000000000001E-2</v>
      </c>
      <c r="K74" s="33"/>
    </row>
    <row r="75" spans="1:13">
      <c r="A75" s="73">
        <v>40451</v>
      </c>
      <c r="B75">
        <v>1973</v>
      </c>
      <c r="C75" s="127">
        <v>2.4899999999999999E-2</v>
      </c>
      <c r="D75" s="13">
        <v>100.41</v>
      </c>
      <c r="E75" s="80">
        <v>97.52</v>
      </c>
      <c r="F75" s="13"/>
      <c r="G75" s="33">
        <v>4.0399999999999998E-2</v>
      </c>
      <c r="H75" s="127"/>
      <c r="I75" s="33">
        <v>5.4300000000000001E-2</v>
      </c>
      <c r="J75" s="33">
        <v>5.5899999999999998E-2</v>
      </c>
      <c r="K75" s="33"/>
      <c r="L75" s="33">
        <v>4.87E-2</v>
      </c>
      <c r="M75" t="s">
        <v>137</v>
      </c>
    </row>
    <row r="76" spans="1:13">
      <c r="A76" s="73">
        <v>40482</v>
      </c>
      <c r="B76">
        <v>2018</v>
      </c>
      <c r="C76" s="127">
        <v>2.3399999999999997E-2</v>
      </c>
      <c r="D76" s="13">
        <v>100.41</v>
      </c>
      <c r="E76" s="80">
        <v>97.52</v>
      </c>
      <c r="F76" s="13"/>
      <c r="G76" s="33">
        <v>0.04</v>
      </c>
      <c r="H76" s="127"/>
      <c r="I76" s="33">
        <v>5.3199999999999997E-2</v>
      </c>
      <c r="J76" s="33">
        <v>5.4800000000000001E-2</v>
      </c>
      <c r="K76" s="33"/>
      <c r="L76" s="33">
        <v>4.7800000000000002E-2</v>
      </c>
    </row>
    <row r="77" spans="1:13">
      <c r="A77" s="73">
        <v>40512</v>
      </c>
      <c r="B77">
        <v>2068</v>
      </c>
      <c r="C77" s="127">
        <v>2.1700000000000001E-2</v>
      </c>
      <c r="D77" s="13">
        <v>100.41</v>
      </c>
      <c r="E77" s="80">
        <v>97.52</v>
      </c>
      <c r="F77" s="13"/>
      <c r="G77" s="33">
        <v>3.9300000000000002E-2</v>
      </c>
      <c r="H77" s="127"/>
      <c r="I77" s="33">
        <v>5.21E-2</v>
      </c>
      <c r="J77" s="33">
        <v>5.3600000000000002E-2</v>
      </c>
      <c r="K77" s="33"/>
      <c r="L77" s="33">
        <v>4.6799999999999994E-2</v>
      </c>
    </row>
    <row r="78" spans="1:13">
      <c r="A78" s="73">
        <v>40543</v>
      </c>
      <c r="B78">
        <v>2059</v>
      </c>
      <c r="C78" s="127">
        <v>2.1700000000000001E-2</v>
      </c>
      <c r="D78" s="13">
        <v>107.97</v>
      </c>
      <c r="E78" s="80">
        <v>100.5</v>
      </c>
      <c r="F78" s="13"/>
      <c r="G78" s="33">
        <v>5.5800000000000002E-2</v>
      </c>
      <c r="H78" s="127"/>
      <c r="I78" s="33">
        <v>5.7800000000000004E-2</v>
      </c>
      <c r="J78" s="33">
        <v>6.2100000000000002E-2</v>
      </c>
      <c r="K78" s="33"/>
      <c r="L78" s="33">
        <v>5.21E-2</v>
      </c>
      <c r="M78" t="s">
        <v>136</v>
      </c>
    </row>
    <row r="79" spans="1:13">
      <c r="A79" s="73">
        <v>40574</v>
      </c>
      <c r="B79">
        <v>1995</v>
      </c>
      <c r="C79" s="127">
        <v>1.7000000000000001E-2</v>
      </c>
      <c r="D79" s="13">
        <v>107.97</v>
      </c>
      <c r="E79" s="80">
        <v>100.5</v>
      </c>
      <c r="F79" s="13"/>
      <c r="G79" s="33">
        <v>5.3800000000000001E-2</v>
      </c>
      <c r="H79" s="127"/>
      <c r="I79" s="33">
        <v>6.0100000000000001E-2</v>
      </c>
      <c r="J79" s="33">
        <v>6.4500000000000002E-2</v>
      </c>
      <c r="K79" s="33"/>
      <c r="L79" s="33">
        <v>5.4199999999999998E-2</v>
      </c>
    </row>
    <row r="80" spans="1:13">
      <c r="A80" s="73">
        <v>40602</v>
      </c>
      <c r="B80">
        <v>2105</v>
      </c>
      <c r="C80" s="127">
        <v>0.02</v>
      </c>
      <c r="D80" s="13">
        <v>107.97</v>
      </c>
      <c r="E80" s="80">
        <v>100.5</v>
      </c>
      <c r="F80" s="13"/>
      <c r="G80" s="33">
        <v>5.5100000000000003E-2</v>
      </c>
      <c r="H80" s="127"/>
      <c r="I80" s="33">
        <v>5.67E-2</v>
      </c>
      <c r="J80" s="33">
        <v>6.0899999999999996E-2</v>
      </c>
      <c r="K80" s="33"/>
      <c r="L80" s="33">
        <v>5.11E-2</v>
      </c>
    </row>
    <row r="81" spans="1:13">
      <c r="A81" s="73">
        <v>40633</v>
      </c>
      <c r="B81">
        <v>2068</v>
      </c>
      <c r="C81" s="127">
        <v>1.9300000000000001E-2</v>
      </c>
      <c r="D81" s="13">
        <v>108.59</v>
      </c>
      <c r="E81" s="80">
        <v>101.98</v>
      </c>
      <c r="F81" s="13"/>
      <c r="G81" s="33">
        <v>5.4800000000000001E-2</v>
      </c>
      <c r="H81" s="127"/>
      <c r="I81" s="33">
        <v>5.8600000000000006E-2</v>
      </c>
      <c r="J81" s="33">
        <v>6.2400000000000004E-2</v>
      </c>
      <c r="K81" s="33"/>
      <c r="L81" s="33">
        <v>5.3199999999999997E-2</v>
      </c>
      <c r="M81" t="s">
        <v>137</v>
      </c>
    </row>
    <row r="82" spans="1:13">
      <c r="A82" s="73">
        <v>40663</v>
      </c>
      <c r="B82">
        <v>2086</v>
      </c>
      <c r="C82" s="127">
        <v>2.0499999999999997E-2</v>
      </c>
      <c r="D82" s="13">
        <v>108.59</v>
      </c>
      <c r="E82" s="80">
        <v>101.98</v>
      </c>
      <c r="F82" s="13"/>
      <c r="G82" s="33">
        <v>5.5300000000000002E-2</v>
      </c>
      <c r="H82" s="127"/>
      <c r="I82" s="33">
        <v>5.8000000000000003E-2</v>
      </c>
      <c r="J82" s="33">
        <v>6.1699999999999998E-2</v>
      </c>
      <c r="K82" s="33"/>
      <c r="L82" s="33">
        <v>5.2699999999999997E-2</v>
      </c>
    </row>
    <row r="83" spans="1:13">
      <c r="A83" s="73">
        <v>40694</v>
      </c>
      <c r="B83">
        <v>2107</v>
      </c>
      <c r="C83" s="127">
        <v>2.1299999999999999E-2</v>
      </c>
      <c r="D83" s="13">
        <v>108.59</v>
      </c>
      <c r="E83" s="80">
        <v>101.98</v>
      </c>
      <c r="F83" s="13"/>
      <c r="G83" s="33">
        <v>5.5599999999999997E-2</v>
      </c>
      <c r="H83" s="127"/>
      <c r="I83" s="33">
        <v>5.74E-2</v>
      </c>
      <c r="J83" s="33">
        <v>6.0999999999999999E-2</v>
      </c>
      <c r="K83" s="33"/>
      <c r="L83" s="33">
        <v>5.21E-2</v>
      </c>
    </row>
    <row r="84" spans="1:13">
      <c r="A84" s="73">
        <v>40724</v>
      </c>
      <c r="B84">
        <v>2063</v>
      </c>
      <c r="C84" s="127">
        <v>2.3599999999999999E-2</v>
      </c>
      <c r="D84" s="13">
        <v>108.34</v>
      </c>
      <c r="E84" s="80">
        <v>101.58</v>
      </c>
      <c r="F84" s="13"/>
      <c r="G84" s="33">
        <v>5.6500000000000002E-2</v>
      </c>
      <c r="H84" s="127"/>
      <c r="I84" s="33">
        <v>5.8099999999999999E-2</v>
      </c>
      <c r="J84" s="33">
        <v>6.1900000000000004E-2</v>
      </c>
      <c r="K84" s="33"/>
      <c r="L84" s="33">
        <v>5.2299999999999999E-2</v>
      </c>
      <c r="M84" t="s">
        <v>137</v>
      </c>
    </row>
    <row r="85" spans="1:13">
      <c r="A85" s="73">
        <v>40755</v>
      </c>
      <c r="B85">
        <v>2104</v>
      </c>
      <c r="C85" s="127">
        <v>2.18E-2</v>
      </c>
      <c r="D85" s="13">
        <v>108.34</v>
      </c>
      <c r="E85" s="80">
        <v>101.58</v>
      </c>
      <c r="F85" s="13"/>
      <c r="G85" s="33">
        <v>5.5800000000000002E-2</v>
      </c>
      <c r="H85" s="127"/>
      <c r="I85" s="33">
        <v>5.8999999999999997E-2</v>
      </c>
      <c r="J85" s="33">
        <v>6.2700000000000006E-2</v>
      </c>
      <c r="K85" s="33"/>
      <c r="L85" s="33">
        <v>5.1399999999999994E-2</v>
      </c>
      <c r="M85" t="s">
        <v>161</v>
      </c>
    </row>
    <row r="86" spans="1:13">
      <c r="A86" s="73">
        <v>40786</v>
      </c>
      <c r="B86">
        <v>1972</v>
      </c>
      <c r="C86" s="127">
        <v>2.2200000000000001E-2</v>
      </c>
      <c r="D86" s="13">
        <v>108.34</v>
      </c>
      <c r="E86" s="80">
        <v>101.58</v>
      </c>
      <c r="F86" s="13"/>
      <c r="G86" s="33">
        <v>6.3200000000000006E-2</v>
      </c>
      <c r="H86" s="127"/>
      <c r="I86" s="33">
        <v>6.2800000000000009E-2</v>
      </c>
      <c r="J86" s="33">
        <v>6.6900000000000001E-2</v>
      </c>
      <c r="K86" s="33"/>
      <c r="L86" s="33">
        <v>5.6500000000000002E-2</v>
      </c>
    </row>
    <row r="87" spans="1:13">
      <c r="A87" s="73">
        <v>40816</v>
      </c>
      <c r="B87">
        <v>1920</v>
      </c>
      <c r="C87" s="127">
        <v>2.06E-2</v>
      </c>
      <c r="D87" s="13">
        <v>100.83</v>
      </c>
      <c r="E87" s="80">
        <v>104.2</v>
      </c>
      <c r="F87" s="13">
        <v>74.239999999999995</v>
      </c>
      <c r="G87" s="33">
        <v>6.25E-2</v>
      </c>
      <c r="H87" s="127"/>
      <c r="I87" s="33">
        <v>6.6299999999999998E-2</v>
      </c>
      <c r="J87" s="33">
        <v>6.4199999999999993E-2</v>
      </c>
      <c r="K87" s="33">
        <v>4.6899999999999997E-2</v>
      </c>
      <c r="L87" s="33">
        <v>5.96E-2</v>
      </c>
      <c r="M87" t="s">
        <v>163</v>
      </c>
    </row>
    <row r="88" spans="1:13">
      <c r="A88" s="73">
        <v>40847</v>
      </c>
      <c r="B88">
        <v>2079</v>
      </c>
      <c r="C88" s="127">
        <v>2.1499999999999998E-2</v>
      </c>
      <c r="D88" s="13">
        <v>100.83</v>
      </c>
      <c r="E88" s="80">
        <v>104.2</v>
      </c>
      <c r="F88" s="13">
        <v>74.239999999999995</v>
      </c>
      <c r="G88" s="33">
        <v>6.2899999999999998E-2</v>
      </c>
      <c r="H88" s="127"/>
      <c r="I88" s="33">
        <v>6.1199999999999997E-2</v>
      </c>
      <c r="J88" s="33">
        <v>5.9200000000000003E-2</v>
      </c>
      <c r="K88" s="33">
        <v>4.3799999999999999E-2</v>
      </c>
      <c r="L88" s="33">
        <v>5.5E-2</v>
      </c>
    </row>
    <row r="89" spans="1:13">
      <c r="A89" s="73">
        <v>40877</v>
      </c>
      <c r="B89">
        <v>2080</v>
      </c>
      <c r="C89" s="127">
        <v>2.2099999999999998E-2</v>
      </c>
      <c r="D89" s="13">
        <v>100.83</v>
      </c>
      <c r="E89" s="80">
        <v>104.2</v>
      </c>
      <c r="F89" s="13">
        <v>74.239999999999995</v>
      </c>
      <c r="G89" s="33">
        <v>6.3200000000000006E-2</v>
      </c>
      <c r="H89" s="127"/>
      <c r="I89" s="33">
        <v>6.1100000000000002E-2</v>
      </c>
      <c r="J89" s="33">
        <v>5.9200000000000003E-2</v>
      </c>
      <c r="K89" s="33">
        <v>4.3799999999999999E-2</v>
      </c>
      <c r="L89" s="33">
        <v>5.4300000000000001E-2</v>
      </c>
    </row>
    <row r="90" spans="1:13">
      <c r="A90" s="73">
        <v>40908</v>
      </c>
      <c r="B90">
        <v>2044</v>
      </c>
      <c r="C90" s="127">
        <v>2.2700000000000001E-2</v>
      </c>
      <c r="D90" s="13">
        <v>107.33</v>
      </c>
      <c r="E90" s="80">
        <v>106.1</v>
      </c>
      <c r="F90" s="13">
        <v>74.239999999999995</v>
      </c>
      <c r="G90" s="33">
        <v>5.5500000000000001E-2</v>
      </c>
      <c r="H90" s="127">
        <v>5.16E-2</v>
      </c>
      <c r="I90" s="33">
        <v>6.1199999999999997E-2</v>
      </c>
      <c r="J90" s="33">
        <v>6.1900000000000004E-2</v>
      </c>
      <c r="K90" s="33">
        <v>4.2999999999999997E-2</v>
      </c>
      <c r="L90" s="33">
        <v>5.4600000000000003E-2</v>
      </c>
      <c r="M90" t="s">
        <v>170</v>
      </c>
    </row>
    <row r="91" spans="1:13">
      <c r="A91" s="73">
        <v>40939</v>
      </c>
      <c r="B91">
        <v>1940</v>
      </c>
      <c r="C91" s="127">
        <v>1.9199999999999998E-2</v>
      </c>
      <c r="D91" s="13">
        <v>107.33</v>
      </c>
      <c r="E91" s="80">
        <v>106.1</v>
      </c>
      <c r="F91" s="13">
        <v>74.239999999999995</v>
      </c>
      <c r="G91" s="33">
        <v>5.3800000000000001E-2</v>
      </c>
      <c r="H91" s="127">
        <v>5.6099999999999997E-2</v>
      </c>
      <c r="I91" s="33">
        <v>6.4699999999999994E-2</v>
      </c>
      <c r="J91" s="33">
        <v>6.54E-2</v>
      </c>
      <c r="K91" s="33">
        <v>4.5499999999999999E-2</v>
      </c>
      <c r="L91" s="33">
        <v>5.9200000000000003E-2</v>
      </c>
    </row>
    <row r="92" spans="1:13">
      <c r="A92" s="73">
        <v>40968</v>
      </c>
      <c r="B92">
        <v>1932</v>
      </c>
      <c r="C92" s="127">
        <v>1.7399999999999999E-2</v>
      </c>
      <c r="D92" s="13">
        <v>107.33</v>
      </c>
      <c r="E92" s="80">
        <v>106.1</v>
      </c>
      <c r="F92" s="13">
        <v>74.239999999999995</v>
      </c>
      <c r="G92" s="33">
        <v>5.2900000000000003E-2</v>
      </c>
      <c r="H92" s="127">
        <v>5.7200000000000001E-2</v>
      </c>
      <c r="I92" s="33">
        <v>6.5100000000000005E-2</v>
      </c>
      <c r="J92" s="33">
        <v>6.5799999999999997E-2</v>
      </c>
      <c r="K92" s="33">
        <v>4.58E-2</v>
      </c>
      <c r="L92" s="33">
        <v>5.96E-2</v>
      </c>
    </row>
    <row r="93" spans="1:13">
      <c r="A93" s="73">
        <v>40999</v>
      </c>
      <c r="B93">
        <v>2060</v>
      </c>
      <c r="C93" s="127">
        <v>1.77E-2</v>
      </c>
      <c r="D93" s="13">
        <v>108.35</v>
      </c>
      <c r="E93" s="80">
        <v>108.16</v>
      </c>
      <c r="F93" s="13">
        <v>74.239999999999995</v>
      </c>
      <c r="G93" s="33">
        <v>5.3200000000000004E-2</v>
      </c>
      <c r="H93" s="127">
        <v>5.1499999999999997E-2</v>
      </c>
      <c r="I93" s="33">
        <v>6.2400000000000004E-2</v>
      </c>
      <c r="J93" s="33">
        <v>6.2300000000000001E-2</v>
      </c>
      <c r="K93" s="33">
        <v>4.2999999999999997E-2</v>
      </c>
      <c r="L93" s="33">
        <v>5.62E-2</v>
      </c>
      <c r="M93" t="s">
        <v>163</v>
      </c>
    </row>
    <row r="94" spans="1:13">
      <c r="A94" s="73">
        <v>41029</v>
      </c>
      <c r="B94">
        <v>2065</v>
      </c>
      <c r="C94" s="127">
        <v>1.83E-2</v>
      </c>
      <c r="D94" s="13">
        <v>108.35</v>
      </c>
      <c r="E94" s="80">
        <v>108.99</v>
      </c>
      <c r="F94" s="13">
        <v>82.17</v>
      </c>
      <c r="G94" s="33">
        <v>5.33E-2</v>
      </c>
      <c r="H94" s="127">
        <v>5.11E-2</v>
      </c>
      <c r="I94" s="33">
        <v>6.2199999999999998E-2</v>
      </c>
      <c r="J94" s="33">
        <v>6.25E-2</v>
      </c>
      <c r="K94" s="33">
        <v>4.7300000000000002E-2</v>
      </c>
      <c r="L94" s="33">
        <v>5.6899999999999999E-2</v>
      </c>
      <c r="M94" t="s">
        <v>182</v>
      </c>
    </row>
    <row r="95" spans="1:13">
      <c r="A95" s="73">
        <v>41060</v>
      </c>
      <c r="B95">
        <v>2097</v>
      </c>
      <c r="C95" s="127">
        <v>1.83E-2</v>
      </c>
      <c r="D95" s="13">
        <v>108.35</v>
      </c>
      <c r="E95" s="80">
        <v>108.88</v>
      </c>
      <c r="F95" s="13">
        <v>82.17</v>
      </c>
      <c r="G95" s="33">
        <v>5.33E-2</v>
      </c>
      <c r="H95" s="127">
        <v>5.0299999999999997E-2</v>
      </c>
      <c r="I95" s="33">
        <v>6.1200000000000004E-2</v>
      </c>
      <c r="J95" s="33">
        <v>6.1600000000000002E-2</v>
      </c>
      <c r="K95" s="33">
        <v>4.6600000000000003E-2</v>
      </c>
      <c r="L95" s="33">
        <v>5.5399999999999998E-2</v>
      </c>
    </row>
    <row r="96" spans="1:13">
      <c r="A96" s="73">
        <v>41090</v>
      </c>
      <c r="B96">
        <v>2099</v>
      </c>
      <c r="C96" s="127">
        <v>1.47E-2</v>
      </c>
      <c r="D96" s="13">
        <v>111.06</v>
      </c>
      <c r="E96" s="80">
        <v>110.61</v>
      </c>
      <c r="F96" s="13">
        <v>82.17</v>
      </c>
      <c r="G96" s="33">
        <v>5.1499999999999997E-2</v>
      </c>
      <c r="H96" s="127">
        <v>5.0799999999999998E-2</v>
      </c>
      <c r="I96" s="33">
        <v>6.2699999999999992E-2</v>
      </c>
      <c r="J96" s="33">
        <v>6.3E-2</v>
      </c>
      <c r="K96" s="33">
        <v>4.6799999999999994E-2</v>
      </c>
      <c r="L96" s="33">
        <v>5.6800000000000003E-2</v>
      </c>
      <c r="M96" t="s">
        <v>163</v>
      </c>
    </row>
    <row r="97" spans="1:13">
      <c r="A97" s="73">
        <v>41121</v>
      </c>
      <c r="B97">
        <v>2174</v>
      </c>
      <c r="C97" s="127">
        <v>1.4500000000000001E-2</v>
      </c>
      <c r="D97" s="13">
        <v>111.06</v>
      </c>
      <c r="E97" s="80">
        <v>110.61</v>
      </c>
      <c r="F97" s="13">
        <v>82.17</v>
      </c>
      <c r="G97" s="33">
        <v>5.1400000000000001E-2</v>
      </c>
      <c r="H97" s="127">
        <v>4.9200000000000001E-2</v>
      </c>
      <c r="I97" s="33">
        <v>6.0600000000000001E-2</v>
      </c>
      <c r="J97" s="33">
        <v>6.08E-2</v>
      </c>
      <c r="K97" s="33">
        <v>4.5199999999999997E-2</v>
      </c>
      <c r="L97" s="33">
        <v>5.4899999999999997E-2</v>
      </c>
    </row>
    <row r="98" spans="1:13">
      <c r="A98" s="73">
        <v>41152</v>
      </c>
      <c r="B98">
        <v>2171</v>
      </c>
      <c r="C98" s="127">
        <v>1.5900000000000001E-2</v>
      </c>
      <c r="D98" s="13">
        <v>111.06</v>
      </c>
      <c r="E98" s="80">
        <v>110.61</v>
      </c>
      <c r="F98" s="13">
        <v>82.17</v>
      </c>
      <c r="G98" s="33">
        <v>5.21E-2</v>
      </c>
      <c r="H98" s="127">
        <v>4.8599999999999997E-2</v>
      </c>
      <c r="I98" s="33">
        <v>6.0599999999999994E-2</v>
      </c>
      <c r="J98" s="33">
        <v>6.08E-2</v>
      </c>
      <c r="K98" s="33">
        <v>4.5199999999999997E-2</v>
      </c>
      <c r="L98" s="33">
        <v>5.5599999999999997E-2</v>
      </c>
    </row>
    <row r="99" spans="1:13">
      <c r="A99" s="73">
        <v>41182</v>
      </c>
      <c r="B99">
        <v>2168</v>
      </c>
      <c r="C99" s="127">
        <v>1.6E-2</v>
      </c>
      <c r="D99" s="13">
        <v>112.42</v>
      </c>
      <c r="E99" s="80">
        <v>114.73</v>
      </c>
      <c r="F99" s="13">
        <v>82.17</v>
      </c>
      <c r="G99" s="33">
        <v>5.21E-2</v>
      </c>
      <c r="H99" s="127">
        <v>4.9099999999999998E-2</v>
      </c>
      <c r="I99" s="33">
        <v>6.1600000000000002E-2</v>
      </c>
      <c r="J99" s="33">
        <v>6.2899999999999998E-2</v>
      </c>
      <c r="K99" s="33">
        <v>4.5199999999999997E-2</v>
      </c>
      <c r="L99" s="33">
        <v>5.6399999999999999E-2</v>
      </c>
      <c r="M99" t="s">
        <v>163</v>
      </c>
    </row>
    <row r="100" spans="1:13">
      <c r="A100" s="73">
        <v>41213</v>
      </c>
      <c r="B100">
        <v>2126</v>
      </c>
      <c r="C100" s="127">
        <v>1.84E-2</v>
      </c>
      <c r="D100" s="13">
        <v>112.42</v>
      </c>
      <c r="E100" s="80">
        <v>114.73</v>
      </c>
      <c r="F100" s="13">
        <v>82.17</v>
      </c>
      <c r="G100" s="33">
        <v>5.3199999999999997E-2</v>
      </c>
      <c r="H100" s="127">
        <v>4.8899999999999999E-2</v>
      </c>
      <c r="I100" s="33">
        <v>6.2600000000000003E-2</v>
      </c>
      <c r="J100" s="33">
        <v>6.3899999999999998E-2</v>
      </c>
      <c r="K100" s="33">
        <v>4.5999999999999999E-2</v>
      </c>
      <c r="L100" s="33">
        <v>5.79E-2</v>
      </c>
    </row>
    <row r="101" spans="1:13">
      <c r="A101" s="73">
        <v>41243</v>
      </c>
      <c r="B101">
        <v>2199</v>
      </c>
      <c r="C101" s="127">
        <v>2.3900000000000001E-2</v>
      </c>
      <c r="D101" s="13">
        <v>112.42</v>
      </c>
      <c r="E101" s="80">
        <v>114.73</v>
      </c>
      <c r="F101" s="13">
        <v>82.17</v>
      </c>
      <c r="G101" s="33">
        <v>5.62E-2</v>
      </c>
      <c r="H101" s="127">
        <v>4.4999999999999998E-2</v>
      </c>
      <c r="I101" s="33">
        <v>6.0199999999999997E-2</v>
      </c>
      <c r="J101" s="33">
        <v>6.1400000000000003E-2</v>
      </c>
      <c r="K101" s="33">
        <v>4.4200000000000003E-2</v>
      </c>
      <c r="L101" s="33">
        <v>5.5199999999999999E-2</v>
      </c>
    </row>
    <row r="102" spans="1:13">
      <c r="A102" s="73">
        <v>41274</v>
      </c>
      <c r="B102">
        <v>2239</v>
      </c>
      <c r="C102" s="127">
        <v>2.4500000000000001E-2</v>
      </c>
      <c r="D102" s="13">
        <v>117.78</v>
      </c>
      <c r="E102" s="80">
        <v>108.67</v>
      </c>
      <c r="F102" s="13">
        <v>85.67</v>
      </c>
      <c r="G102" s="33">
        <v>5.5399999999999998E-2</v>
      </c>
      <c r="H102" s="127">
        <v>4.4999999999999998E-2</v>
      </c>
      <c r="I102" s="33">
        <v>5.6899999999999999E-2</v>
      </c>
      <c r="J102" s="33">
        <v>6.1600000000000002E-2</v>
      </c>
      <c r="K102" s="33">
        <v>4.4999999999999998E-2</v>
      </c>
      <c r="L102" s="33">
        <v>5.0999999999999997E-2</v>
      </c>
      <c r="M102" t="s">
        <v>200</v>
      </c>
    </row>
    <row r="103" spans="1:13">
      <c r="A103" s="73">
        <v>41305</v>
      </c>
      <c r="B103">
        <v>2279</v>
      </c>
      <c r="C103" s="127">
        <v>2.47E-2</v>
      </c>
      <c r="D103" s="13">
        <v>117.78</v>
      </c>
      <c r="E103" s="80">
        <v>108.67</v>
      </c>
      <c r="F103" s="13">
        <v>85.67</v>
      </c>
      <c r="G103" s="33">
        <v>5.5500000000000001E-2</v>
      </c>
      <c r="H103" s="127">
        <v>4.41E-2</v>
      </c>
      <c r="I103" s="33">
        <v>5.5899999999999998E-2</v>
      </c>
      <c r="J103" s="33">
        <v>6.0499999999999998E-2</v>
      </c>
      <c r="K103" s="33">
        <v>4.4200000000000003E-2</v>
      </c>
      <c r="L103" s="33">
        <v>5.0999999999999997E-2</v>
      </c>
    </row>
    <row r="104" spans="1:13">
      <c r="A104" s="73">
        <v>41333</v>
      </c>
      <c r="B104">
        <v>2364</v>
      </c>
      <c r="C104" s="127">
        <v>2.3900000000000001E-2</v>
      </c>
      <c r="D104" s="13">
        <v>117.78</v>
      </c>
      <c r="E104" s="80">
        <v>108.67</v>
      </c>
      <c r="F104" s="13">
        <v>85.67</v>
      </c>
      <c r="G104" s="33">
        <v>5.5100000000000003E-2</v>
      </c>
      <c r="H104" s="127">
        <v>4.2900000000000001E-2</v>
      </c>
      <c r="I104" s="33">
        <v>5.3900000000000003E-2</v>
      </c>
      <c r="J104" s="33">
        <v>5.8400000000000001E-2</v>
      </c>
      <c r="K104" s="33">
        <v>4.2599999999999999E-2</v>
      </c>
      <c r="L104" s="33">
        <v>4.9299999999999997E-2</v>
      </c>
    </row>
    <row r="105" spans="1:13">
      <c r="A105" s="73">
        <v>41364</v>
      </c>
      <c r="B105">
        <v>2363</v>
      </c>
      <c r="C105" s="127">
        <v>2.3900000000000001E-2</v>
      </c>
      <c r="D105" s="13">
        <v>124.27</v>
      </c>
      <c r="E105" s="80">
        <v>108.43</v>
      </c>
      <c r="F105" s="13">
        <v>86.97</v>
      </c>
      <c r="G105" s="33">
        <v>5.5100000000000003E-2</v>
      </c>
      <c r="H105" s="127">
        <v>4.5100000000000001E-2</v>
      </c>
      <c r="I105" s="33">
        <v>5.3800000000000001E-2</v>
      </c>
      <c r="J105" s="33">
        <v>6.1600000000000002E-2</v>
      </c>
      <c r="K105" s="33">
        <v>4.3299999999999998E-2</v>
      </c>
      <c r="L105" s="33">
        <v>4.9000000000000002E-2</v>
      </c>
      <c r="M105" t="s">
        <v>200</v>
      </c>
    </row>
    <row r="106" spans="1:13">
      <c r="A106" s="73">
        <v>41394</v>
      </c>
      <c r="B106">
        <v>2384</v>
      </c>
      <c r="C106" s="127">
        <v>2.3E-2</v>
      </c>
      <c r="D106" s="13">
        <v>124.27</v>
      </c>
      <c r="E106" s="80">
        <v>108.43</v>
      </c>
      <c r="F106" s="13">
        <v>86.97</v>
      </c>
      <c r="G106" s="33">
        <v>5.4600000000000003E-2</v>
      </c>
      <c r="H106" s="127">
        <v>4.5100000000000001E-2</v>
      </c>
      <c r="I106" s="33">
        <v>5.3400000000000003E-2</v>
      </c>
      <c r="J106" s="33">
        <v>6.1100000000000002E-2</v>
      </c>
      <c r="K106" s="33">
        <v>4.2999999999999997E-2</v>
      </c>
      <c r="L106" s="33">
        <v>4.87E-2</v>
      </c>
    </row>
    <row r="107" spans="1:13">
      <c r="A107" s="73">
        <v>41425</v>
      </c>
      <c r="B107">
        <v>2412</v>
      </c>
      <c r="C107" s="127">
        <v>2.2100000000000002E-2</v>
      </c>
      <c r="D107" s="13">
        <v>124.27</v>
      </c>
      <c r="E107" s="80">
        <v>108.43</v>
      </c>
      <c r="F107" s="13">
        <v>86.97</v>
      </c>
      <c r="G107" s="33">
        <v>5.4199999999999998E-2</v>
      </c>
      <c r="H107" s="127">
        <v>4.4900000000000002E-2</v>
      </c>
      <c r="I107" s="33">
        <v>5.2900000000000003E-2</v>
      </c>
      <c r="J107" s="33">
        <v>6.0499999999999998E-2</v>
      </c>
      <c r="K107" s="33">
        <v>4.2500000000000003E-2</v>
      </c>
      <c r="L107" s="33">
        <v>4.8399999999999999E-2</v>
      </c>
    </row>
    <row r="108" spans="1:13">
      <c r="A108" s="73">
        <v>41455</v>
      </c>
      <c r="B108">
        <v>2423</v>
      </c>
      <c r="C108" s="127">
        <v>2.3E-2</v>
      </c>
      <c r="D108" s="13">
        <v>127.46</v>
      </c>
      <c r="E108" s="80">
        <v>105.68</v>
      </c>
      <c r="F108" s="13">
        <v>86.97</v>
      </c>
      <c r="G108" s="33">
        <v>5.4600000000000003E-2</v>
      </c>
      <c r="H108" s="127">
        <v>4.6199999999999998E-2</v>
      </c>
      <c r="I108" s="33">
        <v>5.1299999999999998E-2</v>
      </c>
      <c r="J108" s="33">
        <v>6.1699999999999998E-2</v>
      </c>
      <c r="K108" s="33">
        <v>4.2299999999999997E-2</v>
      </c>
      <c r="L108" s="33">
        <v>4.6800000000000001E-2</v>
      </c>
      <c r="M108" t="s">
        <v>200</v>
      </c>
    </row>
    <row r="109" spans="1:13">
      <c r="A109" s="73">
        <v>41486</v>
      </c>
      <c r="B109">
        <v>2470</v>
      </c>
      <c r="C109" s="127">
        <v>2.3E-2</v>
      </c>
      <c r="D109" s="13">
        <v>127.46</v>
      </c>
      <c r="E109" s="80">
        <v>105.68</v>
      </c>
      <c r="F109" s="13">
        <v>86.97</v>
      </c>
      <c r="G109" s="33">
        <v>5.4600000000000003E-2</v>
      </c>
      <c r="H109" s="127">
        <v>4.5400000000000003E-2</v>
      </c>
      <c r="I109" s="33">
        <v>5.0299999999999997E-2</v>
      </c>
      <c r="J109" s="33">
        <v>6.0499999999999998E-2</v>
      </c>
      <c r="K109" s="33">
        <v>4.1500000000000002E-2</v>
      </c>
      <c r="L109" s="33">
        <v>4.6899999999999997E-2</v>
      </c>
    </row>
    <row r="110" spans="1:13">
      <c r="A110" s="73">
        <v>41517</v>
      </c>
      <c r="B110">
        <v>2418</v>
      </c>
      <c r="C110" s="127">
        <v>2.12E-2</v>
      </c>
      <c r="D110" s="13">
        <v>127.46</v>
      </c>
      <c r="E110" s="80">
        <v>105.68</v>
      </c>
      <c r="F110" s="13">
        <v>86.97</v>
      </c>
      <c r="G110" s="33">
        <v>5.3699999999999998E-2</v>
      </c>
      <c r="H110" s="127">
        <v>4.5999999999999999E-2</v>
      </c>
      <c r="I110" s="33">
        <v>5.04E-2</v>
      </c>
      <c r="J110" s="33">
        <v>6.0600000000000001E-2</v>
      </c>
      <c r="K110" s="33">
        <v>4.1599999999999998E-2</v>
      </c>
      <c r="L110" s="33">
        <v>4.6199999999999998E-2</v>
      </c>
    </row>
    <row r="111" spans="1:13">
      <c r="A111" s="73">
        <v>41547</v>
      </c>
      <c r="B111">
        <v>2519</v>
      </c>
      <c r="C111" s="127">
        <v>2.3300000000000001E-2</v>
      </c>
      <c r="D111" s="13">
        <v>132.51</v>
      </c>
      <c r="E111" s="80">
        <v>105.49</v>
      </c>
      <c r="F111" s="13">
        <v>86.97</v>
      </c>
      <c r="G111" s="33">
        <v>5.4800000000000001E-2</v>
      </c>
      <c r="H111" s="127">
        <v>4.6300000000000001E-2</v>
      </c>
      <c r="I111" s="33">
        <v>4.9200000000000001E-2</v>
      </c>
      <c r="J111" s="33">
        <v>6.1600000000000002E-2</v>
      </c>
      <c r="K111" s="33">
        <v>4.07E-2</v>
      </c>
      <c r="L111" s="33">
        <v>4.4999999999999998E-2</v>
      </c>
      <c r="M111" t="s">
        <v>200</v>
      </c>
    </row>
    <row r="112" spans="1:13">
      <c r="A112" s="73">
        <v>41578</v>
      </c>
      <c r="B112">
        <v>2575</v>
      </c>
      <c r="C112" s="127">
        <v>2.3699999999999999E-2</v>
      </c>
      <c r="D112" s="13">
        <v>132.51</v>
      </c>
      <c r="E112" s="80">
        <v>105.49</v>
      </c>
      <c r="F112" s="13">
        <v>86.97</v>
      </c>
      <c r="G112" s="33">
        <v>5.5E-2</v>
      </c>
      <c r="H112" s="127">
        <v>4.5199999999999997E-2</v>
      </c>
      <c r="I112" s="33">
        <v>4.8099999999999997E-2</v>
      </c>
      <c r="J112" s="33">
        <v>6.0299999999999999E-2</v>
      </c>
      <c r="K112" s="33">
        <v>3.9800000000000002E-2</v>
      </c>
      <c r="L112" s="33">
        <v>4.4299999999999999E-2</v>
      </c>
    </row>
    <row r="113" spans="1:13">
      <c r="A113" s="73">
        <v>41608</v>
      </c>
      <c r="B113">
        <v>2648</v>
      </c>
      <c r="C113" s="127">
        <v>2.4199999999999999E-2</v>
      </c>
      <c r="D113" s="13">
        <f>D112</f>
        <v>132.51</v>
      </c>
      <c r="E113" s="80">
        <f>E112</f>
        <v>105.49</v>
      </c>
      <c r="F113" s="13">
        <v>86.97</v>
      </c>
      <c r="G113" s="33">
        <v>5.5199999999999999E-2</v>
      </c>
      <c r="H113" s="127">
        <v>4.3799999999999999E-2</v>
      </c>
      <c r="I113" s="33">
        <v>4.6800000000000001E-2</v>
      </c>
      <c r="J113" s="33">
        <v>5.8599999999999999E-2</v>
      </c>
      <c r="K113" s="33">
        <v>3.8699999999999998E-2</v>
      </c>
      <c r="L113" s="33">
        <v>4.2599999999999999E-2</v>
      </c>
    </row>
    <row r="114" spans="1:13">
      <c r="A114" s="73">
        <v>41639</v>
      </c>
      <c r="B114">
        <v>2674</v>
      </c>
      <c r="C114" s="127">
        <v>2.41E-2</v>
      </c>
      <c r="D114" s="13">
        <v>134.09</v>
      </c>
      <c r="E114" s="80">
        <v>108.28</v>
      </c>
      <c r="F114" s="80">
        <v>84.88</v>
      </c>
      <c r="G114" s="33">
        <v>7.0499999999999993E-2</v>
      </c>
      <c r="H114" s="127">
        <v>4.7500000000000001E-2</v>
      </c>
      <c r="I114" s="33">
        <v>5.0799999999999998E-2</v>
      </c>
      <c r="J114" s="33">
        <v>6.2700000000000006E-2</v>
      </c>
      <c r="K114" s="33">
        <v>3.9899999999999998E-2</v>
      </c>
      <c r="L114" s="33">
        <v>4.6300000000000001E-2</v>
      </c>
      <c r="M114" t="s">
        <v>206</v>
      </c>
    </row>
    <row r="115" spans="1:13">
      <c r="A115" s="73">
        <v>41670</v>
      </c>
      <c r="B115">
        <v>2824</v>
      </c>
      <c r="C115" s="127">
        <v>2.7400000000000001E-2</v>
      </c>
      <c r="D115" s="13">
        <v>134.09</v>
      </c>
      <c r="E115" s="80">
        <v>108.28</v>
      </c>
      <c r="F115" s="13" t="s">
        <v>209</v>
      </c>
      <c r="G115" s="33">
        <v>7.17E-2</v>
      </c>
      <c r="H115" s="127">
        <v>4.3700000000000003E-2</v>
      </c>
      <c r="I115" s="33">
        <v>4.7800000000000002E-2</v>
      </c>
      <c r="J115" s="33">
        <v>5.8999999999999997E-2</v>
      </c>
      <c r="K115" s="33">
        <v>3.7600000000000001E-2</v>
      </c>
      <c r="L115" s="33">
        <v>4.4400000000000002E-2</v>
      </c>
    </row>
    <row r="116" spans="1:13">
      <c r="A116" s="73">
        <v>41698</v>
      </c>
      <c r="B116">
        <v>2714</v>
      </c>
      <c r="C116" s="127">
        <v>2.87E-2</v>
      </c>
      <c r="D116" s="211">
        <v>134.09</v>
      </c>
      <c r="E116" s="80">
        <v>108.28</v>
      </c>
      <c r="F116" s="211">
        <v>84.88</v>
      </c>
      <c r="G116" s="33">
        <v>7.22E-2</v>
      </c>
      <c r="H116" s="127">
        <v>4.4900000000000002E-2</v>
      </c>
      <c r="I116" s="33">
        <v>4.9599999999999998E-2</v>
      </c>
      <c r="J116" s="33">
        <v>6.1199999999999997E-2</v>
      </c>
      <c r="K116" s="33">
        <v>3.9E-2</v>
      </c>
      <c r="L116" s="33">
        <v>4.5600000000000002E-2</v>
      </c>
    </row>
    <row r="117" spans="1:13">
      <c r="A117" s="73">
        <v>41729</v>
      </c>
      <c r="B117">
        <v>2641</v>
      </c>
      <c r="C117" s="127">
        <v>2.7400000000000001E-2</v>
      </c>
      <c r="D117" s="211">
        <v>132.62</v>
      </c>
      <c r="E117" s="80">
        <v>110.03</v>
      </c>
      <c r="F117" s="211">
        <v>88.8</v>
      </c>
      <c r="G117" s="33">
        <v>7.17E-2</v>
      </c>
      <c r="H117" s="127">
        <v>4.9500000000000002E-2</v>
      </c>
      <c r="I117" s="33">
        <v>5.1900000000000002E-2</v>
      </c>
      <c r="J117" s="33">
        <v>6.2300000000000001E-2</v>
      </c>
      <c r="K117" s="33">
        <v>4.2000000000000003E-2</v>
      </c>
      <c r="L117" s="33">
        <v>4.7500000000000001E-2</v>
      </c>
      <c r="M117" t="s">
        <v>206</v>
      </c>
    </row>
    <row r="118" spans="1:13">
      <c r="A118" s="73">
        <v>41759</v>
      </c>
      <c r="B118">
        <v>2648</v>
      </c>
      <c r="C118" s="127">
        <v>2.9499999999999998E-2</v>
      </c>
      <c r="D118" s="212">
        <v>132.62</v>
      </c>
      <c r="E118" s="80">
        <v>110.03</v>
      </c>
      <c r="F118" s="212">
        <v>88.8</v>
      </c>
      <c r="G118" s="33">
        <v>7.2400000000000006E-2</v>
      </c>
      <c r="H118" s="127">
        <v>4.8500000000000001E-2</v>
      </c>
      <c r="I118" s="33">
        <v>5.16E-2</v>
      </c>
      <c r="J118" s="33">
        <v>6.1899999999999997E-2</v>
      </c>
      <c r="K118" s="33">
        <v>4.1700000000000001E-2</v>
      </c>
      <c r="L118" s="33">
        <v>4.7800000000000002E-2</v>
      </c>
    </row>
    <row r="119" spans="1:13">
      <c r="A119" s="73">
        <v>41790</v>
      </c>
      <c r="B119">
        <v>2705</v>
      </c>
      <c r="C119" s="127" t="s">
        <v>217</v>
      </c>
      <c r="D119" s="212">
        <f>D118</f>
        <v>132.62</v>
      </c>
      <c r="E119" s="80">
        <f>E118</f>
        <v>110.03</v>
      </c>
      <c r="F119" s="212">
        <f>F118</f>
        <v>88.8</v>
      </c>
      <c r="G119" s="33">
        <v>7.22E-2</v>
      </c>
      <c r="H119" s="127">
        <v>4.7800000000000002E-2</v>
      </c>
      <c r="I119" s="33">
        <v>5.0599999999999999E-2</v>
      </c>
      <c r="J119" s="33">
        <v>6.0699999999999997E-2</v>
      </c>
      <c r="K119" s="33">
        <v>4.0899999999999999E-2</v>
      </c>
      <c r="L119" s="33">
        <v>4.65E-2</v>
      </c>
    </row>
    <row r="120" spans="1:13">
      <c r="A120" s="214">
        <v>41820</v>
      </c>
      <c r="B120" s="215">
        <v>2718</v>
      </c>
      <c r="C120" s="43">
        <v>2.8500000000000001E-2</v>
      </c>
      <c r="D120" s="32">
        <v>136.51</v>
      </c>
      <c r="E120" s="216">
        <v>117.55</v>
      </c>
      <c r="F120" s="32">
        <v>88.8</v>
      </c>
      <c r="G120" s="217">
        <v>7.2099999999999997E-2</v>
      </c>
      <c r="H120" s="43">
        <v>4.99E-2</v>
      </c>
      <c r="I120" s="217">
        <v>5.3699999999999998E-2</v>
      </c>
      <c r="J120" s="217">
        <v>6.2199999999999998E-2</v>
      </c>
      <c r="K120" s="217">
        <v>4.0800000000000003E-2</v>
      </c>
      <c r="L120" s="217">
        <v>4.9700000000000001E-2</v>
      </c>
      <c r="M120" t="s">
        <v>163</v>
      </c>
    </row>
    <row r="121" spans="1:13">
      <c r="A121" s="214">
        <v>41851</v>
      </c>
      <c r="B121" s="215">
        <v>2816</v>
      </c>
      <c r="C121" s="43">
        <v>2.9600000000000001E-2</v>
      </c>
      <c r="D121" s="32">
        <v>136.51</v>
      </c>
      <c r="E121" s="216">
        <v>117.55</v>
      </c>
      <c r="F121" s="32">
        <v>88.8</v>
      </c>
      <c r="G121" s="217">
        <v>7.2499999999999995E-2</v>
      </c>
      <c r="H121" s="43">
        <v>4.7800000000000002E-2</v>
      </c>
      <c r="I121" s="217">
        <v>5.1799999999999999E-2</v>
      </c>
      <c r="J121" s="217">
        <v>0.06</v>
      </c>
      <c r="K121" s="217">
        <v>3.9300000000000002E-2</v>
      </c>
      <c r="L121" s="217">
        <v>4.8500000000000001E-2</v>
      </c>
    </row>
    <row r="122" spans="1:13">
      <c r="A122" s="73">
        <v>41882</v>
      </c>
      <c r="B122">
        <v>2902</v>
      </c>
      <c r="C122" s="127">
        <v>2.86E-2</v>
      </c>
      <c r="D122" s="218">
        <v>136.51</v>
      </c>
      <c r="E122" s="80">
        <v>117.55</v>
      </c>
      <c r="F122" s="218">
        <v>88.8</v>
      </c>
      <c r="G122" s="33">
        <v>7.2099999999999997E-2</v>
      </c>
      <c r="H122" s="127">
        <v>4.6800000000000001E-2</v>
      </c>
      <c r="I122" s="33">
        <v>5.04E-2</v>
      </c>
      <c r="J122" s="33">
        <v>5.8400000000000001E-2</v>
      </c>
      <c r="K122" s="33">
        <v>3.8199999999999998E-2</v>
      </c>
      <c r="L122" s="33">
        <v>4.7199999999999999E-2</v>
      </c>
    </row>
    <row r="123" spans="1:13">
      <c r="A123" s="73">
        <v>41912</v>
      </c>
      <c r="B123">
        <v>2914</v>
      </c>
      <c r="C123" s="127">
        <v>3.0700000000000002E-2</v>
      </c>
      <c r="D123" s="219">
        <v>146.33000000000001</v>
      </c>
      <c r="E123" s="80">
        <v>126.7</v>
      </c>
      <c r="F123" s="219">
        <v>88.8</v>
      </c>
      <c r="G123" s="33">
        <v>7.2800000000000004E-2</v>
      </c>
      <c r="H123" s="127">
        <v>4.99E-2</v>
      </c>
      <c r="I123" s="33">
        <v>5.3800000000000001E-2</v>
      </c>
      <c r="J123" s="33">
        <v>6.2E-2</v>
      </c>
      <c r="K123" s="33">
        <v>3.7900000000000003E-2</v>
      </c>
      <c r="L123" s="33">
        <v>5.0200000000000002E-2</v>
      </c>
      <c r="M123" t="s">
        <v>163</v>
      </c>
    </row>
    <row r="124" spans="1:13">
      <c r="A124" s="73">
        <v>41943</v>
      </c>
      <c r="B124">
        <v>2712</v>
      </c>
      <c r="C124" s="127">
        <v>3.1600000000000003E-2</v>
      </c>
      <c r="D124" s="220">
        <v>146.33000000000001</v>
      </c>
      <c r="E124" s="80">
        <v>126.7</v>
      </c>
      <c r="F124" s="220">
        <v>88.8</v>
      </c>
      <c r="G124" s="33">
        <v>7.3200000000000001E-2</v>
      </c>
      <c r="H124" s="127">
        <v>5.3199999999999997E-2</v>
      </c>
      <c r="I124" s="33">
        <v>5.7599999999999998E-2</v>
      </c>
      <c r="J124" s="33">
        <v>6.6400000000000001E-2</v>
      </c>
      <c r="K124" s="33">
        <v>4.0599999999999997E-2</v>
      </c>
      <c r="L124" s="33">
        <v>5.3800000000000001E-2</v>
      </c>
    </row>
    <row r="125" spans="1:13">
      <c r="A125" s="73">
        <v>41973</v>
      </c>
      <c r="B125">
        <v>2760</v>
      </c>
      <c r="C125" s="127">
        <v>2.9899999999999999E-2</v>
      </c>
      <c r="D125" s="221">
        <v>146.33000000000001</v>
      </c>
      <c r="E125" s="80">
        <v>126.7</v>
      </c>
      <c r="F125" s="221">
        <v>88.8</v>
      </c>
      <c r="G125" s="33">
        <v>7.2599999999999998E-2</v>
      </c>
      <c r="H125" s="127">
        <v>5.2900000000000003E-2</v>
      </c>
      <c r="I125" s="33">
        <v>5.6800000000000003E-2</v>
      </c>
      <c r="J125" s="33">
        <v>6.5500000000000003E-2</v>
      </c>
      <c r="K125" s="33">
        <v>0.04</v>
      </c>
      <c r="L125" s="33">
        <v>5.3199999999999997E-2</v>
      </c>
    </row>
    <row r="126" spans="1:13">
      <c r="A126" s="73">
        <v>42004</v>
      </c>
      <c r="B126">
        <v>2507</v>
      </c>
      <c r="C126" s="127">
        <v>2.6800000000000001E-2</v>
      </c>
      <c r="D126" s="223">
        <v>120.81</v>
      </c>
      <c r="E126" s="80">
        <v>136.65</v>
      </c>
      <c r="F126" s="223">
        <v>93.7</v>
      </c>
      <c r="G126" s="33">
        <v>4.1200000000000001E-2</v>
      </c>
      <c r="H126" s="127">
        <v>5.5500000000000001E-2</v>
      </c>
      <c r="I126" s="33">
        <v>5.96E-2</v>
      </c>
      <c r="J126" s="33">
        <v>5.2699999999999997E-2</v>
      </c>
      <c r="K126" s="33">
        <v>4.0899999999999999E-2</v>
      </c>
      <c r="L126" s="33">
        <v>5.6000000000000001E-2</v>
      </c>
      <c r="M126" t="s">
        <v>206</v>
      </c>
    </row>
    <row r="127" spans="1:13">
      <c r="A127" s="73">
        <v>42035</v>
      </c>
      <c r="B127">
        <v>2704</v>
      </c>
      <c r="C127" s="127">
        <v>2.63E-2</v>
      </c>
      <c r="D127" s="223">
        <v>120.81</v>
      </c>
      <c r="E127" s="80">
        <v>136.65</v>
      </c>
      <c r="F127" s="223">
        <v>93.7</v>
      </c>
      <c r="G127" s="33">
        <v>4.1099999999999998E-2</v>
      </c>
      <c r="H127" s="127">
        <v>5.16E-2</v>
      </c>
      <c r="I127" s="33">
        <v>5.5300000000000002E-2</v>
      </c>
      <c r="J127" s="33">
        <v>4.8899999999999999E-2</v>
      </c>
      <c r="K127" s="33">
        <v>3.7999999999999999E-2</v>
      </c>
      <c r="L127" s="33">
        <v>5.2499999999999998E-2</v>
      </c>
    </row>
    <row r="128" spans="1:13" ht="13" customHeight="1">
      <c r="A128" s="73">
        <v>42063</v>
      </c>
      <c r="B128">
        <v>2785</v>
      </c>
      <c r="C128" s="127">
        <v>2.7199999999999998E-2</v>
      </c>
      <c r="D128" s="238">
        <v>120.81</v>
      </c>
      <c r="E128" s="80">
        <v>136.65</v>
      </c>
      <c r="F128" s="238">
        <v>93.7</v>
      </c>
      <c r="G128" s="33">
        <v>4.1399999999999999E-2</v>
      </c>
      <c r="H128" s="127">
        <v>4.9799999999999997E-2</v>
      </c>
      <c r="I128" s="33">
        <v>5.3600000000000002E-2</v>
      </c>
      <c r="J128" s="33">
        <v>4.7399999999999998E-2</v>
      </c>
      <c r="K128" s="33">
        <v>3.6799999999999999E-2</v>
      </c>
      <c r="L128" s="33">
        <v>5.0500000000000003E-2</v>
      </c>
    </row>
    <row r="129" spans="1:13">
      <c r="A129" s="73">
        <v>42094</v>
      </c>
      <c r="B129">
        <v>2834</v>
      </c>
      <c r="C129" s="127">
        <v>2.4E-2</v>
      </c>
      <c r="D129" s="240">
        <v>138.09</v>
      </c>
      <c r="E129" s="80">
        <v>150.5</v>
      </c>
      <c r="F129" s="240">
        <v>97.45</v>
      </c>
      <c r="G129" s="33">
        <v>4.07E-2</v>
      </c>
      <c r="H129" s="127">
        <v>5.0799999999999998E-2</v>
      </c>
      <c r="I129" s="33">
        <v>5.7500000000000002E-2</v>
      </c>
      <c r="J129" s="33">
        <v>5.3600000000000002E-2</v>
      </c>
      <c r="K129" s="33">
        <v>3.7999999999999999E-2</v>
      </c>
      <c r="L129" s="33">
        <v>5.4100000000000002E-2</v>
      </c>
      <c r="M129" t="s">
        <v>206</v>
      </c>
    </row>
    <row r="130" spans="1:13">
      <c r="A130" s="73">
        <v>42124</v>
      </c>
      <c r="B130">
        <v>2945</v>
      </c>
      <c r="C130" s="127">
        <v>2.5100000000000001E-2</v>
      </c>
      <c r="D130" s="240">
        <v>138.09</v>
      </c>
      <c r="E130" s="80">
        <v>150.5</v>
      </c>
      <c r="F130" s="240">
        <v>97.45</v>
      </c>
      <c r="G130" s="33">
        <v>4.1099999999999998E-2</v>
      </c>
      <c r="H130" s="127">
        <v>4.99E-2</v>
      </c>
      <c r="I130" s="33">
        <v>5.62E-2</v>
      </c>
      <c r="J130" s="33">
        <v>5.16E-2</v>
      </c>
      <c r="K130" s="33">
        <v>3.6600000000000001E-2</v>
      </c>
      <c r="L130" s="33">
        <v>5.2900000000000003E-2</v>
      </c>
    </row>
    <row r="131" spans="1:13">
      <c r="A131" s="73">
        <v>42155</v>
      </c>
      <c r="B131">
        <v>2752</v>
      </c>
      <c r="C131" s="127">
        <v>2.1399999999999999E-2</v>
      </c>
      <c r="D131" s="241">
        <v>138.09</v>
      </c>
      <c r="E131" s="80">
        <v>150.5</v>
      </c>
      <c r="F131" s="241">
        <v>97.45</v>
      </c>
      <c r="G131" s="33">
        <v>3.6200000000000003E-2</v>
      </c>
      <c r="H131" s="127">
        <v>5.3800000000000001E-2</v>
      </c>
      <c r="I131" s="33">
        <v>5.9299999999999999E-2</v>
      </c>
      <c r="J131" s="33">
        <v>5.4399999999999997E-2</v>
      </c>
      <c r="K131" s="33">
        <v>3.8699999999999998E-2</v>
      </c>
      <c r="L131" s="33">
        <v>5.57E-2</v>
      </c>
      <c r="M131" t="s">
        <v>237</v>
      </c>
    </row>
    <row r="132" spans="1:13">
      <c r="A132" s="73">
        <v>42185</v>
      </c>
      <c r="B132">
        <v>2942</v>
      </c>
      <c r="C132" s="127">
        <v>0.02</v>
      </c>
      <c r="D132" s="242">
        <v>143.32</v>
      </c>
      <c r="E132" s="80">
        <v>153.47</v>
      </c>
      <c r="F132" s="242">
        <v>98</v>
      </c>
      <c r="G132" s="33">
        <v>3.44E-2</v>
      </c>
      <c r="H132" s="127">
        <v>5.11E-2</v>
      </c>
      <c r="I132" s="33">
        <v>5.67E-2</v>
      </c>
      <c r="J132" s="33">
        <v>5.2999999999999999E-2</v>
      </c>
      <c r="K132" s="33">
        <v>3.6299999999999999E-2</v>
      </c>
      <c r="L132" s="33">
        <v>5.3400000000000003E-2</v>
      </c>
      <c r="M132" t="s">
        <v>163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"/>
  <sheetViews>
    <sheetView workbookViewId="0">
      <selection activeCell="B9" sqref="B9"/>
    </sheetView>
  </sheetViews>
  <sheetFormatPr baseColWidth="10" defaultRowHeight="14"/>
  <cols>
    <col min="1" max="1" width="18.42578125" bestFit="1" customWidth="1"/>
    <col min="2" max="2" width="19.140625" bestFit="1" customWidth="1"/>
    <col min="6" max="6" width="16.140625" bestFit="1" customWidth="1"/>
    <col min="7" max="7" width="19.140625" bestFit="1" customWidth="1"/>
    <col min="8" max="8" width="12.7109375" customWidth="1"/>
    <col min="9" max="10" width="21.28515625" customWidth="1"/>
    <col min="11" max="11" width="13.42578125" customWidth="1"/>
    <col min="12" max="12" width="19.85546875" bestFit="1" customWidth="1"/>
  </cols>
  <sheetData>
    <row r="1" spans="1:18" ht="16">
      <c r="A1" s="249" t="s">
        <v>235</v>
      </c>
      <c r="B1" s="249"/>
      <c r="C1" s="249"/>
      <c r="D1" s="249"/>
      <c r="E1" s="239"/>
      <c r="F1" s="250" t="s">
        <v>233</v>
      </c>
      <c r="G1" s="250"/>
      <c r="H1" s="250"/>
      <c r="I1" s="250"/>
      <c r="K1" s="250" t="s">
        <v>236</v>
      </c>
      <c r="L1" s="250"/>
      <c r="M1" s="250"/>
      <c r="N1" s="250"/>
      <c r="O1" s="222"/>
      <c r="P1" s="250" t="s">
        <v>207</v>
      </c>
      <c r="Q1" s="250"/>
      <c r="R1" s="250"/>
    </row>
    <row r="2" spans="1:18">
      <c r="A2" t="s">
        <v>7</v>
      </c>
      <c r="B2" t="s">
        <v>42</v>
      </c>
      <c r="D2" t="s">
        <v>41</v>
      </c>
      <c r="F2" t="s">
        <v>7</v>
      </c>
      <c r="G2" t="s">
        <v>42</v>
      </c>
      <c r="I2" t="s">
        <v>41</v>
      </c>
      <c r="K2" t="s">
        <v>7</v>
      </c>
      <c r="L2" t="s">
        <v>187</v>
      </c>
      <c r="M2" t="s">
        <v>45</v>
      </c>
      <c r="N2" t="s">
        <v>41</v>
      </c>
      <c r="P2" t="s">
        <v>187</v>
      </c>
      <c r="Q2" t="s">
        <v>45</v>
      </c>
      <c r="R2" t="s">
        <v>41</v>
      </c>
    </row>
    <row r="3" spans="1:18">
      <c r="A3">
        <v>2018</v>
      </c>
      <c r="C3" s="176">
        <v>163</v>
      </c>
      <c r="D3" t="s">
        <v>204</v>
      </c>
      <c r="F3">
        <v>2018</v>
      </c>
      <c r="H3" s="176">
        <v>162.03</v>
      </c>
      <c r="I3" t="s">
        <v>232</v>
      </c>
      <c r="K3">
        <v>2018</v>
      </c>
      <c r="M3" s="177">
        <v>161.93</v>
      </c>
      <c r="N3" t="s">
        <v>183</v>
      </c>
      <c r="Q3" s="177">
        <v>1418.75</v>
      </c>
    </row>
    <row r="4" spans="1:18">
      <c r="A4">
        <v>2019</v>
      </c>
      <c r="B4" s="33">
        <f>C4/C3-1</f>
        <v>2.4539877300613577E-2</v>
      </c>
      <c r="C4" s="176">
        <v>167</v>
      </c>
      <c r="D4" t="s">
        <v>204</v>
      </c>
      <c r="F4">
        <v>2019</v>
      </c>
      <c r="G4" s="33">
        <f>H4/H3-1</f>
        <v>3.6413009936431484E-2</v>
      </c>
      <c r="H4" s="176">
        <v>167.93</v>
      </c>
      <c r="I4" t="s">
        <v>232</v>
      </c>
      <c r="K4">
        <v>2019</v>
      </c>
      <c r="L4" s="45">
        <f>M4/M3-1</f>
        <v>3.1556845550546386E-2</v>
      </c>
      <c r="M4" s="177">
        <v>167.04</v>
      </c>
      <c r="N4" t="s">
        <v>183</v>
      </c>
      <c r="P4" s="45">
        <f>Q4/Q3-1</f>
        <v>6.3873127753303782E-2</v>
      </c>
      <c r="Q4" s="176">
        <v>1509.37</v>
      </c>
      <c r="R4" t="s">
        <v>205</v>
      </c>
    </row>
    <row r="5" spans="1:18">
      <c r="A5">
        <v>2020</v>
      </c>
      <c r="B5" s="33">
        <f>C5/C4-1</f>
        <v>5.3892215568862367E-2</v>
      </c>
      <c r="C5" s="176">
        <v>176</v>
      </c>
      <c r="D5" t="s">
        <v>204</v>
      </c>
      <c r="F5">
        <v>2020</v>
      </c>
      <c r="G5" s="33">
        <f>H5/H4-1</f>
        <v>0.11981182635621979</v>
      </c>
      <c r="H5" s="176">
        <v>188.05</v>
      </c>
      <c r="I5" t="s">
        <v>232</v>
      </c>
      <c r="K5">
        <v>2020</v>
      </c>
      <c r="L5" s="45">
        <f>M5/M4-1</f>
        <v>0.11799568965517238</v>
      </c>
      <c r="M5" s="176">
        <v>186.75</v>
      </c>
      <c r="N5" t="s">
        <v>183</v>
      </c>
      <c r="P5" s="45">
        <f>Q5/Q4-1</f>
        <v>8.4531957041679817E-2</v>
      </c>
      <c r="Q5" s="176">
        <v>1636.96</v>
      </c>
      <c r="R5" t="s">
        <v>205</v>
      </c>
    </row>
    <row r="6" spans="1:18">
      <c r="A6">
        <v>2021</v>
      </c>
      <c r="B6" s="45">
        <f>B5-(B5-B8)/3</f>
        <v>4.2594810379241579E-2</v>
      </c>
      <c r="F6">
        <v>2021</v>
      </c>
      <c r="G6" s="45">
        <f>G5-(G5-G8)/3</f>
        <v>8.6541217570813192E-2</v>
      </c>
      <c r="K6">
        <v>2021</v>
      </c>
      <c r="L6" s="45">
        <f>M6/M5-1</f>
        <v>9.8313253012048296E-2</v>
      </c>
      <c r="M6" s="176">
        <v>205.11</v>
      </c>
      <c r="P6" s="45">
        <f>P5-(P5-P8)/3</f>
        <v>6.3021304694453217E-2</v>
      </c>
      <c r="Q6" s="176"/>
      <c r="R6" t="s">
        <v>205</v>
      </c>
    </row>
    <row r="7" spans="1:18">
      <c r="A7">
        <v>2022</v>
      </c>
      <c r="B7" s="45">
        <f>B6-(B5-B8)/3</f>
        <v>3.1297405189620792E-2</v>
      </c>
      <c r="F7">
        <v>2022</v>
      </c>
      <c r="G7" s="45">
        <f>G6-(G5-G8)/3</f>
        <v>5.3270608785406598E-2</v>
      </c>
      <c r="K7">
        <v>2022</v>
      </c>
      <c r="L7" s="45">
        <f>L6-(L6-L8)/2</f>
        <v>5.915662650602415E-2</v>
      </c>
      <c r="P7" s="45">
        <f>P6-(P5-P8)/3</f>
        <v>4.1510652347226618E-2</v>
      </c>
    </row>
    <row r="8" spans="1:18" ht="15" thickBot="1">
      <c r="A8">
        <v>2023</v>
      </c>
      <c r="B8" s="33">
        <f>'Impl premium calculator'!B9</f>
        <v>0.02</v>
      </c>
      <c r="F8">
        <v>2023</v>
      </c>
      <c r="G8" s="33">
        <f>B8</f>
        <v>0.02</v>
      </c>
      <c r="K8">
        <v>2023</v>
      </c>
      <c r="L8" s="45">
        <f>'Impl premium calculator'!B9</f>
        <v>0.02</v>
      </c>
      <c r="P8" s="45">
        <f>'Impl premium calculator'!B9</f>
        <v>0.02</v>
      </c>
    </row>
    <row r="9" spans="1:18" ht="15" thickBot="1">
      <c r="A9" t="s">
        <v>31</v>
      </c>
      <c r="B9" s="237">
        <f>((1+B4)*(1+B5)*(1+B6)*(1+B7)*(1+B8))^(1/5)-1</f>
        <v>3.439150165119953E-2</v>
      </c>
      <c r="F9" t="s">
        <v>31</v>
      </c>
      <c r="G9" s="237">
        <f>((1+G4)*(1+G5)*(1+G6)*(1+G7)*(1+G8))^(1/5)-1</f>
        <v>6.2607433634583431E-2</v>
      </c>
      <c r="K9" t="s">
        <v>31</v>
      </c>
      <c r="L9" s="237">
        <f>((1+L4)*(1+L5)*(1+L6)*(1+L7)*(1+L8))^(1/5)-1</f>
        <v>6.4740994758475168E-2</v>
      </c>
      <c r="P9" s="237">
        <f>((1+P4)*(1+P5)*(1+P6)*(1+P7)*(1+P8))^(1/5)-1</f>
        <v>5.435681585044061E-2</v>
      </c>
    </row>
    <row r="11" spans="1:18" ht="16">
      <c r="A11" t="s">
        <v>105</v>
      </c>
      <c r="G11" s="251" t="s">
        <v>231</v>
      </c>
      <c r="H11" s="251"/>
      <c r="I11" s="251"/>
      <c r="J11" s="251"/>
    </row>
    <row r="12" spans="1:18">
      <c r="A12" s="83" t="s">
        <v>101</v>
      </c>
      <c r="G12" s="195" t="s">
        <v>184</v>
      </c>
      <c r="H12" s="234">
        <v>2018</v>
      </c>
      <c r="I12" s="234">
        <v>2019</v>
      </c>
      <c r="J12" s="235"/>
    </row>
    <row r="13" spans="1:18">
      <c r="A13" s="83" t="s">
        <v>100</v>
      </c>
      <c r="G13" s="194" t="s">
        <v>222</v>
      </c>
      <c r="H13" s="196">
        <f>C3</f>
        <v>163</v>
      </c>
      <c r="I13" s="196">
        <v>176</v>
      </c>
      <c r="J13" s="215"/>
    </row>
    <row r="14" spans="1:18">
      <c r="A14" s="83" t="s">
        <v>204</v>
      </c>
      <c r="G14" s="194" t="s">
        <v>223</v>
      </c>
      <c r="H14" s="196">
        <f>H13</f>
        <v>163</v>
      </c>
      <c r="I14" s="196">
        <v>170</v>
      </c>
      <c r="J14" s="215"/>
    </row>
    <row r="15" spans="1:18">
      <c r="A15" t="s">
        <v>104</v>
      </c>
      <c r="G15" s="194" t="s">
        <v>224</v>
      </c>
      <c r="H15" s="196">
        <f t="shared" ref="H15:H23" si="0">H14</f>
        <v>163</v>
      </c>
      <c r="I15" s="196">
        <v>173</v>
      </c>
      <c r="J15" s="215"/>
    </row>
    <row r="16" spans="1:18">
      <c r="A16" s="83" t="s">
        <v>208</v>
      </c>
      <c r="B16" t="s">
        <v>221</v>
      </c>
      <c r="G16" s="194" t="s">
        <v>225</v>
      </c>
      <c r="H16" s="196">
        <f t="shared" si="0"/>
        <v>163</v>
      </c>
      <c r="I16" s="196">
        <v>176</v>
      </c>
      <c r="J16" s="215"/>
    </row>
    <row r="17" spans="1:12">
      <c r="A17" s="83"/>
      <c r="B17" t="s">
        <v>220</v>
      </c>
      <c r="G17" s="194" t="s">
        <v>185</v>
      </c>
      <c r="H17" s="196">
        <f t="shared" si="0"/>
        <v>163</v>
      </c>
      <c r="I17" s="196">
        <v>172.5</v>
      </c>
      <c r="J17" s="215"/>
    </row>
    <row r="18" spans="1:12">
      <c r="A18" s="83"/>
      <c r="G18" s="194" t="s">
        <v>226</v>
      </c>
      <c r="H18" s="196">
        <f t="shared" si="0"/>
        <v>163</v>
      </c>
      <c r="I18" s="196">
        <v>178</v>
      </c>
      <c r="J18" s="215"/>
    </row>
    <row r="19" spans="1:12">
      <c r="A19" s="83"/>
      <c r="G19" s="194" t="s">
        <v>227</v>
      </c>
      <c r="H19" s="196">
        <f t="shared" si="0"/>
        <v>163</v>
      </c>
      <c r="I19" s="196">
        <v>174</v>
      </c>
      <c r="J19" s="215"/>
    </row>
    <row r="20" spans="1:12">
      <c r="G20" s="194" t="s">
        <v>228</v>
      </c>
      <c r="H20" s="196">
        <f t="shared" si="0"/>
        <v>163</v>
      </c>
      <c r="I20" s="196">
        <v>175</v>
      </c>
      <c r="J20" s="215"/>
    </row>
    <row r="21" spans="1:12">
      <c r="G21" s="194" t="s">
        <v>229</v>
      </c>
      <c r="H21" s="196">
        <f t="shared" si="0"/>
        <v>163</v>
      </c>
      <c r="I21" s="196">
        <v>175</v>
      </c>
      <c r="J21" s="215"/>
    </row>
    <row r="22" spans="1:12">
      <c r="G22" s="194" t="s">
        <v>230</v>
      </c>
      <c r="H22" s="196">
        <f t="shared" si="0"/>
        <v>163</v>
      </c>
      <c r="I22" s="196">
        <v>174</v>
      </c>
      <c r="J22" s="215"/>
    </row>
    <row r="23" spans="1:12">
      <c r="G23" s="194" t="s">
        <v>186</v>
      </c>
      <c r="H23" s="196">
        <f t="shared" si="0"/>
        <v>163</v>
      </c>
      <c r="I23" s="194">
        <f>AVERAGE(I13:I22)</f>
        <v>174.35</v>
      </c>
      <c r="J23" s="236">
        <f>I23/H23-1</f>
        <v>6.9631901840490729E-2</v>
      </c>
    </row>
    <row r="24" spans="1:12">
      <c r="L24" s="76" t="s">
        <v>234</v>
      </c>
    </row>
  </sheetData>
  <mergeCells count="5">
    <mergeCell ref="A1:D1"/>
    <mergeCell ref="K1:N1"/>
    <mergeCell ref="P1:R1"/>
    <mergeCell ref="G11:J11"/>
    <mergeCell ref="F1:I1"/>
  </mergeCells>
  <hyperlinks>
    <hyperlink ref="A13" r:id="rId1" xr:uid="{00000000-0004-0000-0400-000000000000}"/>
    <hyperlink ref="A12" r:id="rId2" xr:uid="{00000000-0004-0000-0400-000001000000}"/>
    <hyperlink ref="A16" r:id="rId3" display="S&amp;P" xr:uid="{00000000-0004-0000-0400-000002000000}"/>
    <hyperlink ref="A14" r:id="rId4" xr:uid="{00000000-0004-0000-0400-000003000000}"/>
  </hyperlink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drawing r:id="rId5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2"/>
  <sheetViews>
    <sheetView topLeftCell="A73" workbookViewId="0">
      <selection activeCell="F107" sqref="F107"/>
    </sheetView>
  </sheetViews>
  <sheetFormatPr baseColWidth="10" defaultRowHeight="14"/>
  <sheetData>
    <row r="1" spans="1:10" ht="16">
      <c r="A1" s="65"/>
      <c r="B1" s="89" t="s">
        <v>116</v>
      </c>
      <c r="C1" s="90"/>
      <c r="D1" s="91"/>
      <c r="E1" s="89" t="s">
        <v>117</v>
      </c>
      <c r="F1" s="90"/>
      <c r="G1" s="91"/>
      <c r="H1" s="65"/>
      <c r="I1" s="65"/>
      <c r="J1" s="65"/>
    </row>
    <row r="2" spans="1:10" ht="16">
      <c r="A2" s="92" t="s">
        <v>7</v>
      </c>
      <c r="B2" s="92" t="s">
        <v>115</v>
      </c>
      <c r="C2" s="92" t="s">
        <v>118</v>
      </c>
      <c r="D2" s="92" t="s">
        <v>119</v>
      </c>
      <c r="E2" s="51" t="s">
        <v>120</v>
      </c>
      <c r="F2" s="51" t="s">
        <v>121</v>
      </c>
      <c r="G2" s="51" t="s">
        <v>122</v>
      </c>
      <c r="H2" s="51" t="s">
        <v>123</v>
      </c>
      <c r="I2" s="51" t="s">
        <v>124</v>
      </c>
      <c r="J2" s="51" t="s">
        <v>125</v>
      </c>
    </row>
    <row r="3" spans="1:10" ht="16">
      <c r="A3" s="51">
        <v>1928</v>
      </c>
      <c r="B3" s="93">
        <v>0.43811155152887893</v>
      </c>
      <c r="C3" s="93">
        <v>3.0800000000000001E-2</v>
      </c>
      <c r="D3" s="93">
        <v>8.354708589799302E-3</v>
      </c>
      <c r="E3" s="210">
        <f>100*(1+B3)</f>
        <v>143.81115515288789</v>
      </c>
      <c r="F3" s="210">
        <f>100*(1+C3)</f>
        <v>103.08</v>
      </c>
      <c r="G3" s="210">
        <f>100*(1+D3)</f>
        <v>100.83547085897993</v>
      </c>
      <c r="H3" s="93">
        <f>B3-C3</f>
        <v>0.40731155152887893</v>
      </c>
      <c r="I3" s="93">
        <f>B3-D3</f>
        <v>0.42975684293907962</v>
      </c>
      <c r="J3" s="51"/>
    </row>
    <row r="4" spans="1:10" ht="16">
      <c r="A4" s="51">
        <v>1929</v>
      </c>
      <c r="B4" s="93">
        <v>-8.2979466119096595E-2</v>
      </c>
      <c r="C4" s="93">
        <v>3.1600000000000003E-2</v>
      </c>
      <c r="D4" s="93">
        <v>4.2038041563204259E-2</v>
      </c>
      <c r="E4" s="210">
        <f t="shared" ref="E4:G19" si="0">E3*(1+B4)</f>
        <v>131.87778227633069</v>
      </c>
      <c r="F4" s="210">
        <f t="shared" si="0"/>
        <v>106.337328</v>
      </c>
      <c r="G4" s="210">
        <f t="shared" si="0"/>
        <v>105.074396573995</v>
      </c>
      <c r="H4" s="93">
        <f t="shared" ref="H4:H67" si="1">B4-C4</f>
        <v>-0.1145794661190966</v>
      </c>
      <c r="I4" s="93">
        <f t="shared" ref="I4:I67" si="2">B4-D4</f>
        <v>-0.12501750768230085</v>
      </c>
      <c r="J4" s="51"/>
    </row>
    <row r="5" spans="1:10" ht="16">
      <c r="A5" s="51">
        <v>1930</v>
      </c>
      <c r="B5" s="93">
        <v>-0.25123636363636365</v>
      </c>
      <c r="C5" s="93">
        <v>4.5499999999999999E-2</v>
      </c>
      <c r="D5" s="93">
        <v>4.5409314348970366E-2</v>
      </c>
      <c r="E5" s="210">
        <f t="shared" si="0"/>
        <v>98.745287812797272</v>
      </c>
      <c r="F5" s="210">
        <f t="shared" si="0"/>
        <v>111.17567642400002</v>
      </c>
      <c r="G5" s="210">
        <f t="shared" si="0"/>
        <v>109.84575287805193</v>
      </c>
      <c r="H5" s="93">
        <f t="shared" si="1"/>
        <v>-0.29673636363636363</v>
      </c>
      <c r="I5" s="93">
        <f t="shared" si="2"/>
        <v>-0.29664567798533403</v>
      </c>
      <c r="J5" s="51"/>
    </row>
    <row r="6" spans="1:10" ht="16">
      <c r="A6" s="51">
        <v>1931</v>
      </c>
      <c r="B6" s="93">
        <v>-0.43837548891786188</v>
      </c>
      <c r="C6" s="93">
        <v>2.3099999999999999E-2</v>
      </c>
      <c r="D6" s="93">
        <v>-2.5588559619422531E-2</v>
      </c>
      <c r="E6" s="210">
        <f t="shared" si="0"/>
        <v>55.457773989527276</v>
      </c>
      <c r="F6" s="210">
        <f t="shared" si="0"/>
        <v>113.74383454939441</v>
      </c>
      <c r="G6" s="210">
        <f t="shared" si="0"/>
        <v>107.03495828159154</v>
      </c>
      <c r="H6" s="93">
        <f t="shared" si="1"/>
        <v>-0.46147548891786189</v>
      </c>
      <c r="I6" s="93">
        <f t="shared" si="2"/>
        <v>-0.41278692929843935</v>
      </c>
      <c r="J6" s="51"/>
    </row>
    <row r="7" spans="1:10" ht="16">
      <c r="A7" s="51">
        <v>1932</v>
      </c>
      <c r="B7" s="93">
        <v>-8.642364532019696E-2</v>
      </c>
      <c r="C7" s="93">
        <v>1.0699999999999999E-2</v>
      </c>
      <c r="D7" s="93">
        <v>8.7903069904773257E-2</v>
      </c>
      <c r="E7" s="210">
        <f t="shared" si="0"/>
        <v>50.664911000008722</v>
      </c>
      <c r="F7" s="210">
        <f t="shared" si="0"/>
        <v>114.96089357907292</v>
      </c>
      <c r="G7" s="210">
        <f t="shared" si="0"/>
        <v>116.44365970167279</v>
      </c>
      <c r="H7" s="93">
        <f t="shared" si="1"/>
        <v>-9.7123645320196961E-2</v>
      </c>
      <c r="I7" s="93">
        <f t="shared" si="2"/>
        <v>-0.17432671522497023</v>
      </c>
      <c r="J7" s="51"/>
    </row>
    <row r="8" spans="1:10" ht="16">
      <c r="A8" s="51">
        <v>1933</v>
      </c>
      <c r="B8" s="93">
        <v>0.49982225433526023</v>
      </c>
      <c r="C8" s="93">
        <v>9.5999999999999992E-3</v>
      </c>
      <c r="D8" s="93">
        <v>1.8552720891857361E-2</v>
      </c>
      <c r="E8" s="210">
        <f t="shared" si="0"/>
        <v>75.988361031728402</v>
      </c>
      <c r="F8" s="210">
        <f t="shared" si="0"/>
        <v>116.06451815743202</v>
      </c>
      <c r="G8" s="210">
        <f t="shared" si="0"/>
        <v>118.60400641974435</v>
      </c>
      <c r="H8" s="93">
        <f t="shared" si="1"/>
        <v>0.49022225433526023</v>
      </c>
      <c r="I8" s="93">
        <f t="shared" si="2"/>
        <v>0.48126953344340284</v>
      </c>
      <c r="J8" s="51"/>
    </row>
    <row r="9" spans="1:10" ht="16">
      <c r="A9" s="51">
        <v>1934</v>
      </c>
      <c r="B9" s="93">
        <v>-1.1885656970912803E-2</v>
      </c>
      <c r="C9" s="93">
        <v>3.225E-3</v>
      </c>
      <c r="D9" s="93">
        <v>7.9634426179656104E-2</v>
      </c>
      <c r="E9" s="210">
        <f t="shared" si="0"/>
        <v>75.085189438723404</v>
      </c>
      <c r="F9" s="210">
        <f t="shared" si="0"/>
        <v>116.43882622848975</v>
      </c>
      <c r="G9" s="210">
        <f t="shared" si="0"/>
        <v>128.04896841358894</v>
      </c>
      <c r="H9" s="93">
        <f t="shared" si="1"/>
        <v>-1.5110656970912803E-2</v>
      </c>
      <c r="I9" s="93">
        <f t="shared" si="2"/>
        <v>-9.1520083150568907E-2</v>
      </c>
      <c r="J9" s="51"/>
    </row>
    <row r="10" spans="1:10" ht="16">
      <c r="A10" s="51">
        <v>1935</v>
      </c>
      <c r="B10" s="93">
        <v>0.46740421052631581</v>
      </c>
      <c r="C10" s="93">
        <v>1.7499999999999998E-3</v>
      </c>
      <c r="D10" s="93">
        <v>4.4720477296566127E-2</v>
      </c>
      <c r="E10" s="210">
        <f t="shared" si="0"/>
        <v>110.18032313054879</v>
      </c>
      <c r="F10" s="210">
        <f t="shared" si="0"/>
        <v>116.64259417438959</v>
      </c>
      <c r="G10" s="210">
        <f t="shared" si="0"/>
        <v>133.77537939837757</v>
      </c>
      <c r="H10" s="93">
        <f t="shared" si="1"/>
        <v>0.46565421052631584</v>
      </c>
      <c r="I10" s="93">
        <f t="shared" si="2"/>
        <v>0.42268373322974967</v>
      </c>
      <c r="J10" s="51"/>
    </row>
    <row r="11" spans="1:10" ht="16">
      <c r="A11" s="51">
        <v>1936</v>
      </c>
      <c r="B11" s="93">
        <v>0.31943410275502609</v>
      </c>
      <c r="C11" s="93">
        <v>1.7000000000000001E-3</v>
      </c>
      <c r="D11" s="93">
        <v>5.0178754045450601E-2</v>
      </c>
      <c r="E11" s="210">
        <f t="shared" si="0"/>
        <v>145.37567579101449</v>
      </c>
      <c r="F11" s="210">
        <f t="shared" si="0"/>
        <v>116.84088658448606</v>
      </c>
      <c r="G11" s="210">
        <f t="shared" si="0"/>
        <v>140.4880612585456</v>
      </c>
      <c r="H11" s="93">
        <f t="shared" si="1"/>
        <v>0.31773410275502612</v>
      </c>
      <c r="I11" s="93">
        <f t="shared" si="2"/>
        <v>0.26925534870957551</v>
      </c>
      <c r="J11" s="51"/>
    </row>
    <row r="12" spans="1:10" ht="16">
      <c r="A12" s="51">
        <v>1937</v>
      </c>
      <c r="B12" s="93">
        <v>-0.35336728754365537</v>
      </c>
      <c r="C12" s="93">
        <v>3.0250000000000003E-3</v>
      </c>
      <c r="D12" s="93">
        <v>1.379146059646038E-2</v>
      </c>
      <c r="E12" s="210">
        <f t="shared" si="0"/>
        <v>94.004667561917856</v>
      </c>
      <c r="F12" s="210">
        <f t="shared" si="0"/>
        <v>117.19433026640414</v>
      </c>
      <c r="G12" s="210">
        <f t="shared" si="0"/>
        <v>142.42559681966594</v>
      </c>
      <c r="H12" s="93">
        <f t="shared" si="1"/>
        <v>-0.35639228754365537</v>
      </c>
      <c r="I12" s="93">
        <f t="shared" si="2"/>
        <v>-0.36715874814011573</v>
      </c>
      <c r="J12" s="51"/>
    </row>
    <row r="13" spans="1:10" ht="16">
      <c r="A13" s="51">
        <v>1938</v>
      </c>
      <c r="B13" s="93">
        <v>0.29282654028436017</v>
      </c>
      <c r="C13" s="93">
        <v>7.7499999999999997E-4</v>
      </c>
      <c r="D13" s="93">
        <v>4.2132485322046068E-2</v>
      </c>
      <c r="E13" s="210">
        <f t="shared" si="0"/>
        <v>121.53172913465568</v>
      </c>
      <c r="F13" s="210">
        <f t="shared" si="0"/>
        <v>117.28515587236059</v>
      </c>
      <c r="G13" s="210">
        <f t="shared" si="0"/>
        <v>148.42634118715418</v>
      </c>
      <c r="H13" s="93">
        <f t="shared" si="1"/>
        <v>0.29205154028436014</v>
      </c>
      <c r="I13" s="93">
        <f t="shared" si="2"/>
        <v>0.25069405496231412</v>
      </c>
      <c r="J13" s="51"/>
    </row>
    <row r="14" spans="1:10" ht="16">
      <c r="A14" s="51">
        <v>1939</v>
      </c>
      <c r="B14" s="93">
        <v>-1.0975646879756443E-2</v>
      </c>
      <c r="C14" s="93">
        <v>3.7500000000000006E-4</v>
      </c>
      <c r="D14" s="93">
        <v>4.4122613942060671E-2</v>
      </c>
      <c r="E14" s="210">
        <f t="shared" si="0"/>
        <v>120.19783979098749</v>
      </c>
      <c r="F14" s="210">
        <f t="shared" si="0"/>
        <v>117.32913780581272</v>
      </c>
      <c r="G14" s="210">
        <f t="shared" si="0"/>
        <v>154.97529933818757</v>
      </c>
      <c r="H14" s="93">
        <f t="shared" si="1"/>
        <v>-1.1350646879756444E-2</v>
      </c>
      <c r="I14" s="93">
        <f t="shared" si="2"/>
        <v>-5.509826082181711E-2</v>
      </c>
      <c r="J14" s="51"/>
    </row>
    <row r="15" spans="1:10" ht="16">
      <c r="A15" s="51">
        <v>1940</v>
      </c>
      <c r="B15" s="93">
        <v>-0.10672873194221515</v>
      </c>
      <c r="C15" s="93">
        <v>2.5000000000000001E-4</v>
      </c>
      <c r="D15" s="93">
        <v>5.4024815962845509E-2</v>
      </c>
      <c r="E15" s="210">
        <f t="shared" si="0"/>
        <v>107.36927676790187</v>
      </c>
      <c r="F15" s="210">
        <f t="shared" si="0"/>
        <v>117.35847009026418</v>
      </c>
      <c r="G15" s="210">
        <f t="shared" si="0"/>
        <v>163.34781136372007</v>
      </c>
      <c r="H15" s="93">
        <f t="shared" si="1"/>
        <v>-0.10697873194221515</v>
      </c>
      <c r="I15" s="93">
        <f t="shared" si="2"/>
        <v>-0.16075354790506066</v>
      </c>
      <c r="J15" s="51"/>
    </row>
    <row r="16" spans="1:10" ht="16">
      <c r="A16" s="51">
        <v>1941</v>
      </c>
      <c r="B16" s="93">
        <v>-0.12771455576559551</v>
      </c>
      <c r="C16" s="93">
        <v>8.2499999999999989E-4</v>
      </c>
      <c r="D16" s="93">
        <v>-2.0221975848580105E-2</v>
      </c>
      <c r="E16" s="210">
        <f t="shared" si="0"/>
        <v>93.656657282615996</v>
      </c>
      <c r="F16" s="210">
        <f t="shared" si="0"/>
        <v>117.45529082808865</v>
      </c>
      <c r="G16" s="210">
        <f t="shared" si="0"/>
        <v>160.0445958674045</v>
      </c>
      <c r="H16" s="93">
        <f t="shared" si="1"/>
        <v>-0.1285395557655955</v>
      </c>
      <c r="I16" s="93">
        <f t="shared" si="2"/>
        <v>-0.10749257991701541</v>
      </c>
      <c r="J16" s="51"/>
    </row>
    <row r="17" spans="1:10" ht="16">
      <c r="A17" s="51">
        <v>1942</v>
      </c>
      <c r="B17" s="93">
        <v>0.19173762945914843</v>
      </c>
      <c r="C17" s="93">
        <v>3.3750000000000004E-3</v>
      </c>
      <c r="D17" s="93">
        <v>2.2948682374484164E-2</v>
      </c>
      <c r="E17" s="210">
        <f t="shared" si="0"/>
        <v>111.61416273305268</v>
      </c>
      <c r="F17" s="210">
        <f t="shared" si="0"/>
        <v>117.85170243463344</v>
      </c>
      <c r="G17" s="210">
        <f t="shared" si="0"/>
        <v>163.71740846371824</v>
      </c>
      <c r="H17" s="93">
        <f t="shared" si="1"/>
        <v>0.18836262945914845</v>
      </c>
      <c r="I17" s="93">
        <f t="shared" si="2"/>
        <v>0.16878894708466427</v>
      </c>
      <c r="J17" s="51"/>
    </row>
    <row r="18" spans="1:10" ht="16">
      <c r="A18" s="51">
        <v>1943</v>
      </c>
      <c r="B18" s="93">
        <v>0.25061310133060394</v>
      </c>
      <c r="C18" s="93">
        <v>3.8E-3</v>
      </c>
      <c r="D18" s="93">
        <v>2.4899999999999999E-2</v>
      </c>
      <c r="E18" s="210">
        <f t="shared" si="0"/>
        <v>139.58613420800171</v>
      </c>
      <c r="F18" s="210">
        <f t="shared" si="0"/>
        <v>118.29953890388505</v>
      </c>
      <c r="G18" s="210">
        <f t="shared" si="0"/>
        <v>167.79397193446482</v>
      </c>
      <c r="H18" s="93">
        <f t="shared" si="1"/>
        <v>0.24681310133060394</v>
      </c>
      <c r="I18" s="93">
        <f t="shared" si="2"/>
        <v>0.22571310133060393</v>
      </c>
      <c r="J18" s="51"/>
    </row>
    <row r="19" spans="1:10" ht="16">
      <c r="A19" s="51">
        <v>1944</v>
      </c>
      <c r="B19" s="93">
        <v>0.19030676949443009</v>
      </c>
      <c r="C19" s="93">
        <v>3.8E-3</v>
      </c>
      <c r="D19" s="93">
        <v>2.5776111579070303E-2</v>
      </c>
      <c r="E19" s="210">
        <f t="shared" si="0"/>
        <v>166.15032047534245</v>
      </c>
      <c r="F19" s="210">
        <f t="shared" si="0"/>
        <v>118.74907715171982</v>
      </c>
      <c r="G19" s="210">
        <f t="shared" si="0"/>
        <v>172.11904807734297</v>
      </c>
      <c r="H19" s="93">
        <f t="shared" si="1"/>
        <v>0.1865067694944301</v>
      </c>
      <c r="I19" s="93">
        <f t="shared" si="2"/>
        <v>0.16453065791535978</v>
      </c>
      <c r="J19" s="51"/>
    </row>
    <row r="20" spans="1:10" ht="16">
      <c r="A20" s="51">
        <v>1945</v>
      </c>
      <c r="B20" s="93">
        <v>0.35821084337349401</v>
      </c>
      <c r="C20" s="93">
        <v>3.8E-3</v>
      </c>
      <c r="D20" s="93">
        <v>3.8044173419237229E-2</v>
      </c>
      <c r="E20" s="210">
        <f t="shared" ref="E20:G35" si="3">E19*(1+B20)</f>
        <v>225.66716689959119</v>
      </c>
      <c r="F20" s="210">
        <f t="shared" si="3"/>
        <v>119.20032364489636</v>
      </c>
      <c r="G20" s="210">
        <f t="shared" si="3"/>
        <v>178.66717499115143</v>
      </c>
      <c r="H20" s="93">
        <f t="shared" si="1"/>
        <v>0.35441084337349399</v>
      </c>
      <c r="I20" s="93">
        <f t="shared" si="2"/>
        <v>0.3201666699542568</v>
      </c>
      <c r="J20" s="51"/>
    </row>
    <row r="21" spans="1:10" ht="16">
      <c r="A21" s="51">
        <v>1946</v>
      </c>
      <c r="B21" s="93">
        <v>-8.4291474654377807E-2</v>
      </c>
      <c r="C21" s="93">
        <v>3.8E-3</v>
      </c>
      <c r="D21" s="93">
        <v>3.1283745375695685E-2</v>
      </c>
      <c r="E21" s="210">
        <f t="shared" si="3"/>
        <v>206.64534862054904</v>
      </c>
      <c r="F21" s="210">
        <f t="shared" si="3"/>
        <v>119.65328487474697</v>
      </c>
      <c r="G21" s="210">
        <f t="shared" si="3"/>
        <v>184.25655340056949</v>
      </c>
      <c r="H21" s="93">
        <f t="shared" si="1"/>
        <v>-8.8091474654377805E-2</v>
      </c>
      <c r="I21" s="93">
        <f t="shared" si="2"/>
        <v>-0.11557522003007349</v>
      </c>
      <c r="J21" s="51"/>
    </row>
    <row r="22" spans="1:10" ht="16">
      <c r="A22" s="51">
        <v>1947</v>
      </c>
      <c r="B22" s="93">
        <v>5.1999999999999998E-2</v>
      </c>
      <c r="C22" s="93">
        <v>5.6750000000000004E-3</v>
      </c>
      <c r="D22" s="93">
        <v>9.1969680628322358E-3</v>
      </c>
      <c r="E22" s="210">
        <f t="shared" si="3"/>
        <v>217.3909067488176</v>
      </c>
      <c r="F22" s="210">
        <f t="shared" si="3"/>
        <v>120.33231726641117</v>
      </c>
      <c r="G22" s="210">
        <f t="shared" si="3"/>
        <v>185.95115503756207</v>
      </c>
      <c r="H22" s="93">
        <f t="shared" si="1"/>
        <v>4.6324999999999998E-2</v>
      </c>
      <c r="I22" s="93">
        <f t="shared" si="2"/>
        <v>4.2803031937167765E-2</v>
      </c>
      <c r="J22" s="51"/>
    </row>
    <row r="23" spans="1:10" ht="16">
      <c r="A23" s="51">
        <v>1948</v>
      </c>
      <c r="B23" s="93">
        <v>5.7045751633986834E-2</v>
      </c>
      <c r="C23" s="93">
        <v>1.0225E-2</v>
      </c>
      <c r="D23" s="93">
        <v>1.9510369413175046E-2</v>
      </c>
      <c r="E23" s="210">
        <f t="shared" si="3"/>
        <v>229.79213442269784</v>
      </c>
      <c r="F23" s="210">
        <f t="shared" si="3"/>
        <v>121.56271521046021</v>
      </c>
      <c r="G23" s="210">
        <f t="shared" si="3"/>
        <v>189.57913076515149</v>
      </c>
      <c r="H23" s="93">
        <f t="shared" si="1"/>
        <v>4.6820751633986836E-2</v>
      </c>
      <c r="I23" s="93">
        <f t="shared" si="2"/>
        <v>3.7535382220811792E-2</v>
      </c>
      <c r="J23" s="51"/>
    </row>
    <row r="24" spans="1:10" ht="16">
      <c r="A24" s="51">
        <v>1949</v>
      </c>
      <c r="B24" s="93">
        <v>0.18303223684210526</v>
      </c>
      <c r="C24" s="93">
        <v>1.1025E-2</v>
      </c>
      <c r="D24" s="93">
        <v>4.6634851827973139E-2</v>
      </c>
      <c r="E24" s="210">
        <f t="shared" si="3"/>
        <v>271.85150279480598</v>
      </c>
      <c r="F24" s="210">
        <f t="shared" si="3"/>
        <v>122.90294414565554</v>
      </c>
      <c r="G24" s="210">
        <f t="shared" si="3"/>
        <v>198.42012543806027</v>
      </c>
      <c r="H24" s="93">
        <f t="shared" si="1"/>
        <v>0.17200723684210525</v>
      </c>
      <c r="I24" s="93">
        <f t="shared" si="2"/>
        <v>0.13639738501413212</v>
      </c>
      <c r="J24" s="51"/>
    </row>
    <row r="25" spans="1:10" ht="16">
      <c r="A25" s="51">
        <v>1950</v>
      </c>
      <c r="B25" s="93">
        <v>0.30805539011316263</v>
      </c>
      <c r="C25" s="93">
        <v>1.1724999999999999E-2</v>
      </c>
      <c r="D25" s="93">
        <v>4.2959574171096103E-3</v>
      </c>
      <c r="E25" s="210">
        <f t="shared" si="3"/>
        <v>355.59682354110947</v>
      </c>
      <c r="F25" s="210">
        <f t="shared" si="3"/>
        <v>124.34398116576335</v>
      </c>
      <c r="G25" s="210">
        <f t="shared" si="3"/>
        <v>199.2725298476397</v>
      </c>
      <c r="H25" s="93">
        <f t="shared" si="1"/>
        <v>0.29633039011316264</v>
      </c>
      <c r="I25" s="93">
        <f t="shared" si="2"/>
        <v>0.30375943269605304</v>
      </c>
      <c r="J25" s="51"/>
    </row>
    <row r="26" spans="1:10" ht="16">
      <c r="A26" s="51">
        <v>1951</v>
      </c>
      <c r="B26" s="93">
        <v>0.23678463044542339</v>
      </c>
      <c r="C26" s="93">
        <v>1.4775E-2</v>
      </c>
      <c r="D26" s="93">
        <v>-2.9531392208319886E-3</v>
      </c>
      <c r="E26" s="210">
        <f t="shared" si="3"/>
        <v>439.7966859908575</v>
      </c>
      <c r="F26" s="210">
        <f t="shared" si="3"/>
        <v>126.18116348748751</v>
      </c>
      <c r="G26" s="210">
        <f t="shared" si="3"/>
        <v>198.68405032411223</v>
      </c>
      <c r="H26" s="93">
        <f t="shared" si="1"/>
        <v>0.22200963044542338</v>
      </c>
      <c r="I26" s="93">
        <f t="shared" si="2"/>
        <v>0.23973776966625537</v>
      </c>
      <c r="J26" s="51"/>
    </row>
    <row r="27" spans="1:10" ht="16">
      <c r="A27" s="51">
        <v>1952</v>
      </c>
      <c r="B27" s="93">
        <v>0.18150988641144306</v>
      </c>
      <c r="C27" s="93">
        <v>1.6725E-2</v>
      </c>
      <c r="D27" s="93">
        <v>2.2679961918305656E-2</v>
      </c>
      <c r="E27" s="210">
        <f t="shared" si="3"/>
        <v>519.62413250918712</v>
      </c>
      <c r="F27" s="210">
        <f t="shared" si="3"/>
        <v>128.29154344681575</v>
      </c>
      <c r="G27" s="210">
        <f t="shared" si="3"/>
        <v>203.19019701923781</v>
      </c>
      <c r="H27" s="93">
        <f t="shared" si="1"/>
        <v>0.16478488641144307</v>
      </c>
      <c r="I27" s="93">
        <f t="shared" si="2"/>
        <v>0.1588299244931374</v>
      </c>
      <c r="J27" s="51"/>
    </row>
    <row r="28" spans="1:10" ht="16">
      <c r="A28" s="51">
        <v>1953</v>
      </c>
      <c r="B28" s="93">
        <v>-1.2082047421904465E-2</v>
      </c>
      <c r="C28" s="93">
        <v>1.8925000000000001E-2</v>
      </c>
      <c r="D28" s="93">
        <v>4.1438402589088513E-2</v>
      </c>
      <c r="E28" s="210">
        <f t="shared" si="3"/>
        <v>513.34600909864514</v>
      </c>
      <c r="F28" s="210">
        <f t="shared" si="3"/>
        <v>130.71946090654674</v>
      </c>
      <c r="G28" s="210">
        <f t="shared" si="3"/>
        <v>211.61007420547722</v>
      </c>
      <c r="H28" s="93">
        <f t="shared" si="1"/>
        <v>-3.1007047421904466E-2</v>
      </c>
      <c r="I28" s="93">
        <f t="shared" si="2"/>
        <v>-5.3520450010992981E-2</v>
      </c>
      <c r="J28" s="51"/>
    </row>
    <row r="29" spans="1:10" ht="16">
      <c r="A29" s="51">
        <v>1954</v>
      </c>
      <c r="B29" s="93">
        <v>0.52563321241434902</v>
      </c>
      <c r="C29" s="93">
        <v>9.6249999999999999E-3</v>
      </c>
      <c r="D29" s="93">
        <v>3.2898034558095555E-2</v>
      </c>
      <c r="E29" s="210">
        <f t="shared" si="3"/>
        <v>783.17772094125166</v>
      </c>
      <c r="F29" s="210">
        <f t="shared" si="3"/>
        <v>131.97763571777224</v>
      </c>
      <c r="G29" s="210">
        <f t="shared" si="3"/>
        <v>218.57162973953018</v>
      </c>
      <c r="H29" s="93">
        <f t="shared" si="1"/>
        <v>0.51600821241434902</v>
      </c>
      <c r="I29" s="93">
        <f t="shared" si="2"/>
        <v>0.49273517785625348</v>
      </c>
      <c r="J29" s="51"/>
    </row>
    <row r="30" spans="1:10" ht="16">
      <c r="A30" s="51">
        <v>1955</v>
      </c>
      <c r="B30" s="93">
        <v>0.32597331851028349</v>
      </c>
      <c r="C30" s="93">
        <v>1.66E-2</v>
      </c>
      <c r="D30" s="93">
        <v>-1.3364391288618781E-2</v>
      </c>
      <c r="E30" s="210">
        <f t="shared" si="3"/>
        <v>1038.4727616197922</v>
      </c>
      <c r="F30" s="210">
        <f t="shared" si="3"/>
        <v>134.16846447068727</v>
      </c>
      <c r="G30" s="210">
        <f t="shared" si="3"/>
        <v>215.65055295509998</v>
      </c>
      <c r="H30" s="93">
        <f t="shared" si="1"/>
        <v>0.30937331851028349</v>
      </c>
      <c r="I30" s="93">
        <f t="shared" si="2"/>
        <v>0.33933770979890227</v>
      </c>
      <c r="J30" s="51"/>
    </row>
    <row r="31" spans="1:10" ht="16">
      <c r="A31" s="51">
        <v>1956</v>
      </c>
      <c r="B31" s="93">
        <v>7.4395118733509347E-2</v>
      </c>
      <c r="C31" s="93">
        <v>2.5550000000000003E-2</v>
      </c>
      <c r="D31" s="93">
        <v>-2.2557738173154165E-2</v>
      </c>
      <c r="E31" s="210">
        <f t="shared" si="3"/>
        <v>1115.7300660220119</v>
      </c>
      <c r="F31" s="210">
        <f t="shared" si="3"/>
        <v>137.59646873791331</v>
      </c>
      <c r="G31" s="210">
        <f t="shared" si="3"/>
        <v>210.78596424464291</v>
      </c>
      <c r="H31" s="93">
        <f t="shared" si="1"/>
        <v>4.8845118733509343E-2</v>
      </c>
      <c r="I31" s="93">
        <f t="shared" si="2"/>
        <v>9.6952856906663512E-2</v>
      </c>
      <c r="J31" s="51"/>
    </row>
    <row r="32" spans="1:10" ht="16">
      <c r="A32" s="51">
        <v>1957</v>
      </c>
      <c r="B32" s="93">
        <v>-0.1045736018855796</v>
      </c>
      <c r="C32" s="93">
        <v>3.2300000000000002E-2</v>
      </c>
      <c r="D32" s="93">
        <v>6.7970128466249904E-2</v>
      </c>
      <c r="E32" s="210">
        <f t="shared" si="3"/>
        <v>999.05415428605454</v>
      </c>
      <c r="F32" s="210">
        <f t="shared" si="3"/>
        <v>142.04083467814792</v>
      </c>
      <c r="G32" s="210">
        <f t="shared" si="3"/>
        <v>225.11311331323367</v>
      </c>
      <c r="H32" s="93">
        <f t="shared" si="1"/>
        <v>-0.13687360188557959</v>
      </c>
      <c r="I32" s="93">
        <f t="shared" si="2"/>
        <v>-0.17254373035182952</v>
      </c>
      <c r="J32" s="51"/>
    </row>
    <row r="33" spans="1:10" ht="16">
      <c r="A33" s="51">
        <v>1958</v>
      </c>
      <c r="B33" s="93">
        <v>0.43719954988747184</v>
      </c>
      <c r="C33" s="93">
        <v>1.7774999999999999E-2</v>
      </c>
      <c r="D33" s="93">
        <v>-2.0990181755274694E-2</v>
      </c>
      <c r="E33" s="210">
        <f t="shared" si="3"/>
        <v>1435.8401808531264</v>
      </c>
      <c r="F33" s="210">
        <f t="shared" si="3"/>
        <v>144.56561051455202</v>
      </c>
      <c r="G33" s="210">
        <f t="shared" si="3"/>
        <v>220.38794814929315</v>
      </c>
      <c r="H33" s="93">
        <f t="shared" si="1"/>
        <v>0.41942454988747185</v>
      </c>
      <c r="I33" s="93">
        <f t="shared" si="2"/>
        <v>0.45818973164274651</v>
      </c>
      <c r="J33" s="51"/>
    </row>
    <row r="34" spans="1:10" ht="16">
      <c r="A34" s="51">
        <v>1959</v>
      </c>
      <c r="B34" s="93">
        <v>0.12056457163557326</v>
      </c>
      <c r="C34" s="93">
        <v>3.2549999999999996E-2</v>
      </c>
      <c r="D34" s="93">
        <v>-2.6466312591385065E-2</v>
      </c>
      <c r="E34" s="210">
        <f t="shared" si="3"/>
        <v>1608.9516371948275</v>
      </c>
      <c r="F34" s="210">
        <f t="shared" si="3"/>
        <v>149.2712211368007</v>
      </c>
      <c r="G34" s="210">
        <f t="shared" si="3"/>
        <v>214.55509182219998</v>
      </c>
      <c r="H34" s="93">
        <f t="shared" si="1"/>
        <v>8.801457163557326E-2</v>
      </c>
      <c r="I34" s="93">
        <f t="shared" si="2"/>
        <v>0.14703088422695831</v>
      </c>
      <c r="J34" s="51"/>
    </row>
    <row r="35" spans="1:10" ht="16">
      <c r="A35" s="51">
        <v>1960</v>
      </c>
      <c r="B35" s="93">
        <v>3.36535314743695E-3</v>
      </c>
      <c r="C35" s="93">
        <v>3.0449999999999998E-2</v>
      </c>
      <c r="D35" s="93">
        <v>0.11639503690963365</v>
      </c>
      <c r="E35" s="210">
        <f t="shared" si="3"/>
        <v>1614.366327651135</v>
      </c>
      <c r="F35" s="210">
        <f t="shared" si="3"/>
        <v>153.81652982041629</v>
      </c>
      <c r="G35" s="210">
        <f t="shared" si="3"/>
        <v>239.52823965399477</v>
      </c>
      <c r="H35" s="93">
        <f t="shared" si="1"/>
        <v>-2.7084646852563048E-2</v>
      </c>
      <c r="I35" s="93">
        <f t="shared" si="2"/>
        <v>-0.1130296837621967</v>
      </c>
      <c r="J35" s="93">
        <f>((E35/100)^(1/(A35-$A$3+1)))-((G35/100)^(1/(A35-$A$3+1)))</f>
        <v>6.1119788031217315E-2</v>
      </c>
    </row>
    <row r="36" spans="1:10" ht="16">
      <c r="A36" s="51">
        <v>1961</v>
      </c>
      <c r="B36" s="93">
        <v>0.26637712958182752</v>
      </c>
      <c r="C36" s="93">
        <v>2.2675000000000001E-2</v>
      </c>
      <c r="D36" s="93">
        <v>2.0609208076323167E-2</v>
      </c>
      <c r="E36" s="210">
        <f t="shared" ref="E36:G51" si="4">E35*(1+B36)</f>
        <v>2044.3965961044005</v>
      </c>
      <c r="F36" s="210">
        <f t="shared" si="4"/>
        <v>157.30431963409424</v>
      </c>
      <c r="G36" s="210">
        <f t="shared" si="4"/>
        <v>244.46472698517934</v>
      </c>
      <c r="H36" s="93">
        <f t="shared" si="1"/>
        <v>0.24370212958182752</v>
      </c>
      <c r="I36" s="93">
        <f t="shared" si="2"/>
        <v>0.24576792150550436</v>
      </c>
      <c r="J36" s="93">
        <f t="shared" ref="J36:J90" si="5">((E36/100)^(1/(A36-$A$3+1)))-((G36/100)^(1/(A36-$A$3+1)))</f>
        <v>6.6173591829972622E-2</v>
      </c>
    </row>
    <row r="37" spans="1:10" ht="16">
      <c r="A37" s="51">
        <v>1962</v>
      </c>
      <c r="B37" s="93">
        <v>-8.8114605171208879E-2</v>
      </c>
      <c r="C37" s="93">
        <v>2.7775000000000005E-2</v>
      </c>
      <c r="D37" s="93">
        <v>5.693544054008462E-2</v>
      </c>
      <c r="E37" s="210">
        <f t="shared" si="4"/>
        <v>1864.2553972252979</v>
      </c>
      <c r="F37" s="210">
        <f t="shared" si="4"/>
        <v>161.67344711193124</v>
      </c>
      <c r="G37" s="210">
        <f t="shared" si="4"/>
        <v>258.38343391259201</v>
      </c>
      <c r="H37" s="93">
        <f t="shared" si="1"/>
        <v>-0.11588960517120889</v>
      </c>
      <c r="I37" s="93">
        <f t="shared" si="2"/>
        <v>-0.14505004571129348</v>
      </c>
      <c r="J37" s="93">
        <f t="shared" si="5"/>
        <v>5.9683465378989942E-2</v>
      </c>
    </row>
    <row r="38" spans="1:10" ht="16">
      <c r="A38" s="51">
        <v>1963</v>
      </c>
      <c r="B38" s="93">
        <v>0.22611927099841514</v>
      </c>
      <c r="C38" s="93">
        <v>3.1100000000000003E-2</v>
      </c>
      <c r="D38" s="93">
        <v>1.6841620739546127E-2</v>
      </c>
      <c r="E38" s="210">
        <f t="shared" si="4"/>
        <v>2285.7994686007432</v>
      </c>
      <c r="F38" s="210">
        <f t="shared" si="4"/>
        <v>166.70149131711227</v>
      </c>
      <c r="G38" s="210">
        <f t="shared" si="4"/>
        <v>262.73502971192949</v>
      </c>
      <c r="H38" s="93">
        <f t="shared" si="1"/>
        <v>0.19501927099841515</v>
      </c>
      <c r="I38" s="93">
        <f t="shared" si="2"/>
        <v>0.20927765025886902</v>
      </c>
      <c r="J38" s="93">
        <f t="shared" si="5"/>
        <v>6.3618993911514821E-2</v>
      </c>
    </row>
    <row r="39" spans="1:10" ht="16">
      <c r="A39" s="51">
        <v>1964</v>
      </c>
      <c r="B39" s="93">
        <v>0.16415455878432425</v>
      </c>
      <c r="C39" s="93">
        <v>3.5049999999999998E-2</v>
      </c>
      <c r="D39" s="93">
        <v>3.7280648911540815E-2</v>
      </c>
      <c r="E39" s="210">
        <f t="shared" si="4"/>
        <v>2661.0238718383412</v>
      </c>
      <c r="F39" s="210">
        <f t="shared" si="4"/>
        <v>172.54437858777706</v>
      </c>
      <c r="G39" s="210">
        <f t="shared" si="4"/>
        <v>272.52996211138321</v>
      </c>
      <c r="H39" s="93">
        <f t="shared" si="1"/>
        <v>0.12910455878432425</v>
      </c>
      <c r="I39" s="93">
        <f t="shared" si="2"/>
        <v>0.12687390987278344</v>
      </c>
      <c r="J39" s="93">
        <f t="shared" si="5"/>
        <v>6.5267777442658215E-2</v>
      </c>
    </row>
    <row r="40" spans="1:10" ht="16">
      <c r="A40" s="51">
        <v>1965</v>
      </c>
      <c r="B40" s="93">
        <v>0.12399242477876114</v>
      </c>
      <c r="C40" s="93">
        <v>3.9024999999999997E-2</v>
      </c>
      <c r="D40" s="93">
        <v>7.1885509359262342E-3</v>
      </c>
      <c r="E40" s="210">
        <f t="shared" si="4"/>
        <v>2990.9706741017444</v>
      </c>
      <c r="F40" s="210">
        <f t="shared" si="4"/>
        <v>179.27792296216506</v>
      </c>
      <c r="G40" s="210">
        <f t="shared" si="4"/>
        <v>274.48905762558695</v>
      </c>
      <c r="H40" s="93">
        <f t="shared" si="1"/>
        <v>8.4967424778761153E-2</v>
      </c>
      <c r="I40" s="93">
        <f t="shared" si="2"/>
        <v>0.11680387384283492</v>
      </c>
      <c r="J40" s="93">
        <f t="shared" si="5"/>
        <v>6.6617941689874449E-2</v>
      </c>
    </row>
    <row r="41" spans="1:10" ht="16">
      <c r="A41" s="51">
        <v>1966</v>
      </c>
      <c r="B41" s="93">
        <v>-9.9709542356377898E-2</v>
      </c>
      <c r="C41" s="93">
        <v>4.8399999999999999E-2</v>
      </c>
      <c r="D41" s="93">
        <v>2.9079409324299622E-2</v>
      </c>
      <c r="E41" s="210">
        <f t="shared" si="4"/>
        <v>2692.7423569857124</v>
      </c>
      <c r="F41" s="210">
        <f t="shared" si="4"/>
        <v>187.95497443353386</v>
      </c>
      <c r="G41" s="210">
        <f t="shared" si="4"/>
        <v>282.47103728732264</v>
      </c>
      <c r="H41" s="93">
        <f t="shared" si="1"/>
        <v>-0.14810954235637791</v>
      </c>
      <c r="I41" s="93">
        <f t="shared" si="2"/>
        <v>-0.12878895168067753</v>
      </c>
      <c r="J41" s="93">
        <f t="shared" si="5"/>
        <v>6.1123719679815336E-2</v>
      </c>
    </row>
    <row r="42" spans="1:10" ht="16">
      <c r="A42" s="51">
        <v>1967</v>
      </c>
      <c r="B42" s="93">
        <v>0.23802966513133328</v>
      </c>
      <c r="C42" s="93">
        <v>4.3324999999999995E-2</v>
      </c>
      <c r="D42" s="93">
        <v>-1.5806209932824666E-2</v>
      </c>
      <c r="E42" s="210">
        <f t="shared" si="4"/>
        <v>3333.6949185039784</v>
      </c>
      <c r="F42" s="210">
        <f t="shared" si="4"/>
        <v>196.09812370086672</v>
      </c>
      <c r="G42" s="210">
        <f t="shared" si="4"/>
        <v>278.0062407720165</v>
      </c>
      <c r="H42" s="93">
        <f t="shared" si="1"/>
        <v>0.19470466513133328</v>
      </c>
      <c r="I42" s="93">
        <f t="shared" si="2"/>
        <v>0.25383587506415795</v>
      </c>
      <c r="J42" s="93">
        <f t="shared" si="5"/>
        <v>6.5732838776739522E-2</v>
      </c>
    </row>
    <row r="43" spans="1:10" ht="16">
      <c r="A43" s="51">
        <v>1968</v>
      </c>
      <c r="B43" s="93">
        <v>0.10814862651601535</v>
      </c>
      <c r="C43" s="93">
        <v>5.2600000000000001E-2</v>
      </c>
      <c r="D43" s="93">
        <v>3.2746196950768365E-2</v>
      </c>
      <c r="E43" s="210">
        <f t="shared" si="4"/>
        <v>3694.2294451636035</v>
      </c>
      <c r="F43" s="210">
        <f t="shared" si="4"/>
        <v>206.41288500753231</v>
      </c>
      <c r="G43" s="210">
        <f t="shared" si="4"/>
        <v>287.10988788587969</v>
      </c>
      <c r="H43" s="93">
        <f t="shared" si="1"/>
        <v>5.5548626516015352E-2</v>
      </c>
      <c r="I43" s="93">
        <f t="shared" si="2"/>
        <v>7.5402429565246981E-2</v>
      </c>
      <c r="J43" s="93">
        <f t="shared" si="5"/>
        <v>6.596627828748769E-2</v>
      </c>
    </row>
    <row r="44" spans="1:10" ht="16">
      <c r="A44" s="51">
        <v>1969</v>
      </c>
      <c r="B44" s="93">
        <v>-8.2413710764490639E-2</v>
      </c>
      <c r="C44" s="93">
        <v>6.5625000000000003E-2</v>
      </c>
      <c r="D44" s="93">
        <v>-5.0140493209926106E-2</v>
      </c>
      <c r="E44" s="210">
        <f t="shared" si="4"/>
        <v>3389.7742881722256</v>
      </c>
      <c r="F44" s="210">
        <f t="shared" si="4"/>
        <v>219.95873058615163</v>
      </c>
      <c r="G44" s="210">
        <f t="shared" si="4"/>
        <v>272.7140565018351</v>
      </c>
      <c r="H44" s="93">
        <f t="shared" si="1"/>
        <v>-0.14803871076449066</v>
      </c>
      <c r="I44" s="93">
        <f t="shared" si="2"/>
        <v>-3.2273217554564533E-2</v>
      </c>
      <c r="J44" s="93">
        <f t="shared" si="5"/>
        <v>6.3333872734198771E-2</v>
      </c>
    </row>
    <row r="45" spans="1:10" ht="16">
      <c r="A45" s="51">
        <v>1970</v>
      </c>
      <c r="B45" s="93">
        <v>3.5611449054964189E-2</v>
      </c>
      <c r="C45" s="93">
        <v>6.6849999999999993E-2</v>
      </c>
      <c r="D45" s="93">
        <v>0.16754737183412338</v>
      </c>
      <c r="E45" s="210">
        <f t="shared" si="4"/>
        <v>3510.4890625432981</v>
      </c>
      <c r="F45" s="210">
        <f t="shared" si="4"/>
        <v>234.66297172583589</v>
      </c>
      <c r="G45" s="210">
        <f t="shared" si="4"/>
        <v>318.40657993094021</v>
      </c>
      <c r="H45" s="93">
        <f t="shared" si="1"/>
        <v>-3.1238550945035803E-2</v>
      </c>
      <c r="I45" s="93">
        <f t="shared" si="2"/>
        <v>-0.13193592277915919</v>
      </c>
      <c r="J45" s="93">
        <f t="shared" si="5"/>
        <v>5.8972566666315007E-2</v>
      </c>
    </row>
    <row r="46" spans="1:10" ht="16">
      <c r="A46" s="51">
        <v>1971</v>
      </c>
      <c r="B46" s="93">
        <v>0.14221150298426474</v>
      </c>
      <c r="C46" s="93">
        <v>4.5400000000000003E-2</v>
      </c>
      <c r="D46" s="93">
        <v>9.7868966197122972E-2</v>
      </c>
      <c r="E46" s="210">
        <f t="shared" si="4"/>
        <v>4009.720988337403</v>
      </c>
      <c r="F46" s="210">
        <f t="shared" si="4"/>
        <v>245.31667064218885</v>
      </c>
      <c r="G46" s="210">
        <f t="shared" si="4"/>
        <v>349.56870273914296</v>
      </c>
      <c r="H46" s="93">
        <f t="shared" si="1"/>
        <v>9.6811502984264747E-2</v>
      </c>
      <c r="I46" s="93">
        <f t="shared" si="2"/>
        <v>4.434253678714177E-2</v>
      </c>
      <c r="J46" s="93">
        <f t="shared" si="5"/>
        <v>5.8660636809878541E-2</v>
      </c>
    </row>
    <row r="47" spans="1:10" ht="16">
      <c r="A47" s="51">
        <v>1972</v>
      </c>
      <c r="B47" s="93">
        <v>0.18755362915074925</v>
      </c>
      <c r="C47" s="93">
        <v>3.9525000000000005E-2</v>
      </c>
      <c r="D47" s="93">
        <v>2.818449050444969E-2</v>
      </c>
      <c r="E47" s="210">
        <f t="shared" si="4"/>
        <v>4761.7587115820115</v>
      </c>
      <c r="F47" s="210">
        <f t="shared" si="4"/>
        <v>255.01281204932138</v>
      </c>
      <c r="G47" s="210">
        <f t="shared" si="4"/>
        <v>359.42111852214714</v>
      </c>
      <c r="H47" s="93">
        <f t="shared" si="1"/>
        <v>0.14802862915074924</v>
      </c>
      <c r="I47" s="93">
        <f t="shared" si="2"/>
        <v>0.15936913864629956</v>
      </c>
      <c r="J47" s="93">
        <f t="shared" si="5"/>
        <v>6.0804303728189568E-2</v>
      </c>
    </row>
    <row r="48" spans="1:10" ht="16">
      <c r="A48" s="51">
        <v>1973</v>
      </c>
      <c r="B48" s="93">
        <v>-0.14308047437526472</v>
      </c>
      <c r="C48" s="93">
        <v>6.724999999999999E-2</v>
      </c>
      <c r="D48" s="93">
        <v>3.6586646024150085E-2</v>
      </c>
      <c r="E48" s="210">
        <f t="shared" si="4"/>
        <v>4080.4440162683081</v>
      </c>
      <c r="F48" s="210">
        <f t="shared" si="4"/>
        <v>272.16242365963825</v>
      </c>
      <c r="G48" s="210">
        <f t="shared" si="4"/>
        <v>372.57113175912104</v>
      </c>
      <c r="H48" s="93">
        <f t="shared" si="1"/>
        <v>-0.2103304743752647</v>
      </c>
      <c r="I48" s="93">
        <f t="shared" si="2"/>
        <v>-0.17966712039941479</v>
      </c>
      <c r="J48" s="93">
        <f t="shared" si="5"/>
        <v>5.4960045718843054E-2</v>
      </c>
    </row>
    <row r="49" spans="1:10" ht="16">
      <c r="A49" s="51">
        <v>1974</v>
      </c>
      <c r="B49" s="93">
        <v>-0.25901785750896972</v>
      </c>
      <c r="C49" s="93">
        <v>7.7775000000000011E-2</v>
      </c>
      <c r="D49" s="93">
        <v>1.9886086932378574E-2</v>
      </c>
      <c r="E49" s="210">
        <f t="shared" si="4"/>
        <v>3023.5361494891954</v>
      </c>
      <c r="F49" s="210">
        <f t="shared" si="4"/>
        <v>293.32985615976662</v>
      </c>
      <c r="G49" s="210">
        <f t="shared" si="4"/>
        <v>379.98011367377757</v>
      </c>
      <c r="H49" s="93">
        <f t="shared" si="1"/>
        <v>-0.3367928575089697</v>
      </c>
      <c r="I49" s="93">
        <f t="shared" si="2"/>
        <v>-0.27890394444134831</v>
      </c>
      <c r="J49" s="93">
        <f t="shared" si="5"/>
        <v>4.6417018581159875E-2</v>
      </c>
    </row>
    <row r="50" spans="1:10" ht="16">
      <c r="A50" s="51">
        <v>1975</v>
      </c>
      <c r="B50" s="93">
        <v>0.36995137106184356</v>
      </c>
      <c r="C50" s="93">
        <v>5.9900000000000002E-2</v>
      </c>
      <c r="D50" s="93">
        <v>3.6052536026033838E-2</v>
      </c>
      <c r="E50" s="210">
        <f t="shared" si="4"/>
        <v>4142.0974934477708</v>
      </c>
      <c r="F50" s="210">
        <f t="shared" si="4"/>
        <v>310.90031454373667</v>
      </c>
      <c r="G50" s="210">
        <f t="shared" si="4"/>
        <v>393.67936041117781</v>
      </c>
      <c r="H50" s="93">
        <f t="shared" si="1"/>
        <v>0.31005137106184355</v>
      </c>
      <c r="I50" s="93">
        <f t="shared" si="2"/>
        <v>0.33389883503580975</v>
      </c>
      <c r="J50" s="93">
        <f t="shared" si="5"/>
        <v>5.1706756781676244E-2</v>
      </c>
    </row>
    <row r="51" spans="1:10" ht="16">
      <c r="A51" s="51">
        <v>1976</v>
      </c>
      <c r="B51" s="93">
        <v>0.23830999002106662</v>
      </c>
      <c r="C51" s="93">
        <v>4.9700000000000008E-2</v>
      </c>
      <c r="D51" s="93">
        <v>0.1598456074290921</v>
      </c>
      <c r="E51" s="210">
        <f t="shared" si="4"/>
        <v>5129.2007057775936</v>
      </c>
      <c r="F51" s="210">
        <f t="shared" si="4"/>
        <v>326.35206017656043</v>
      </c>
      <c r="G51" s="210">
        <f t="shared" si="4"/>
        <v>456.607276908399</v>
      </c>
      <c r="H51" s="93">
        <f t="shared" si="1"/>
        <v>0.1886099900210666</v>
      </c>
      <c r="I51" s="93">
        <f t="shared" si="2"/>
        <v>7.8464382591974524E-2</v>
      </c>
      <c r="J51" s="93">
        <f t="shared" si="5"/>
        <v>5.2196588038950109E-2</v>
      </c>
    </row>
    <row r="52" spans="1:10" ht="16">
      <c r="A52" s="51">
        <v>1977</v>
      </c>
      <c r="B52" s="93">
        <v>-6.9797040759352322E-2</v>
      </c>
      <c r="C52" s="93">
        <v>5.1275000000000001E-2</v>
      </c>
      <c r="D52" s="93">
        <v>1.2899606071070449E-2</v>
      </c>
      <c r="E52" s="210">
        <f t="shared" ref="E52:G67" si="6">E51*(1+B52)</f>
        <v>4771.1976750535359</v>
      </c>
      <c r="F52" s="210">
        <f t="shared" si="6"/>
        <v>343.08576206211353</v>
      </c>
      <c r="G52" s="210">
        <f t="shared" si="6"/>
        <v>462.49733090970153</v>
      </c>
      <c r="H52" s="93">
        <f t="shared" si="1"/>
        <v>-0.12107204075935232</v>
      </c>
      <c r="I52" s="93">
        <f t="shared" si="2"/>
        <v>-8.2696646830422771E-2</v>
      </c>
      <c r="J52" s="93">
        <f t="shared" si="5"/>
        <v>4.9266761357046551E-2</v>
      </c>
    </row>
    <row r="53" spans="1:10" ht="16">
      <c r="A53" s="51">
        <v>1978</v>
      </c>
      <c r="B53" s="93">
        <v>6.50928391167193E-2</v>
      </c>
      <c r="C53" s="93">
        <v>6.9325000000000012E-2</v>
      </c>
      <c r="D53" s="93">
        <v>-7.7758069075086478E-3</v>
      </c>
      <c r="E53" s="210">
        <f t="shared" si="6"/>
        <v>5081.7684777098611</v>
      </c>
      <c r="F53" s="210">
        <f t="shared" si="6"/>
        <v>366.87018251706957</v>
      </c>
      <c r="G53" s="210">
        <f t="shared" si="6"/>
        <v>458.90104096930958</v>
      </c>
      <c r="H53" s="93">
        <f t="shared" si="1"/>
        <v>-4.2321608832807112E-3</v>
      </c>
      <c r="I53" s="93">
        <f t="shared" si="2"/>
        <v>7.2868646024227948E-2</v>
      </c>
      <c r="J53" s="93">
        <f t="shared" si="5"/>
        <v>4.9741898913203242E-2</v>
      </c>
    </row>
    <row r="54" spans="1:10" ht="16">
      <c r="A54" s="51">
        <v>1979</v>
      </c>
      <c r="B54" s="93">
        <v>0.18519490167516386</v>
      </c>
      <c r="C54" s="93">
        <v>9.9375000000000005E-2</v>
      </c>
      <c r="D54" s="93">
        <v>6.7072031247235459E-3</v>
      </c>
      <c r="E54" s="210">
        <f t="shared" si="6"/>
        <v>6022.8860912752862</v>
      </c>
      <c r="F54" s="210">
        <f t="shared" si="6"/>
        <v>403.32790690470335</v>
      </c>
      <c r="G54" s="210">
        <f t="shared" si="6"/>
        <v>461.97898346523777</v>
      </c>
      <c r="H54" s="93">
        <f t="shared" si="1"/>
        <v>8.5819901675163859E-2</v>
      </c>
      <c r="I54" s="93">
        <f t="shared" si="2"/>
        <v>0.17848769855044033</v>
      </c>
      <c r="J54" s="93">
        <f t="shared" si="5"/>
        <v>5.2132252828986925E-2</v>
      </c>
    </row>
    <row r="55" spans="1:10" ht="16">
      <c r="A55" s="51">
        <v>1980</v>
      </c>
      <c r="B55" s="93">
        <v>0.3173524550676301</v>
      </c>
      <c r="C55" s="93">
        <v>0.11219999999999999</v>
      </c>
      <c r="D55" s="93">
        <v>-2.989744251999403E-2</v>
      </c>
      <c r="E55" s="210">
        <f t="shared" si="6"/>
        <v>7934.2637789341807</v>
      </c>
      <c r="F55" s="210">
        <f t="shared" si="6"/>
        <v>448.5812980594111</v>
      </c>
      <c r="G55" s="210">
        <f t="shared" si="6"/>
        <v>448.16699336164055</v>
      </c>
      <c r="H55" s="93">
        <f t="shared" si="1"/>
        <v>0.20515245506763011</v>
      </c>
      <c r="I55" s="93">
        <f t="shared" si="2"/>
        <v>0.34724989758762415</v>
      </c>
      <c r="J55" s="93">
        <f t="shared" si="5"/>
        <v>5.7318705257589642E-2</v>
      </c>
    </row>
    <row r="56" spans="1:10" ht="16">
      <c r="A56" s="51">
        <v>1981</v>
      </c>
      <c r="B56" s="93">
        <v>-4.7023902474955762E-2</v>
      </c>
      <c r="C56" s="93">
        <v>0.14299999999999999</v>
      </c>
      <c r="D56" s="93">
        <v>8.1992153358923542E-2</v>
      </c>
      <c r="E56" s="210">
        <f t="shared" si="6"/>
        <v>7561.1637327830058</v>
      </c>
      <c r="F56" s="210">
        <f t="shared" si="6"/>
        <v>512.72842368190686</v>
      </c>
      <c r="G56" s="210">
        <f t="shared" si="6"/>
        <v>484.91317021175587</v>
      </c>
      <c r="H56" s="93">
        <f t="shared" si="1"/>
        <v>-0.19002390247495576</v>
      </c>
      <c r="I56" s="93">
        <f t="shared" si="2"/>
        <v>-0.12901605583387932</v>
      </c>
      <c r="J56" s="93">
        <f t="shared" si="5"/>
        <v>5.3730990468644491E-2</v>
      </c>
    </row>
    <row r="57" spans="1:10" ht="16">
      <c r="A57" s="51">
        <v>1982</v>
      </c>
      <c r="B57" s="93">
        <v>0.20419055079559353</v>
      </c>
      <c r="C57" s="93">
        <v>0.1101</v>
      </c>
      <c r="D57" s="93">
        <v>0.32814549486295586</v>
      </c>
      <c r="E57" s="210">
        <f t="shared" si="6"/>
        <v>9105.0819200356327</v>
      </c>
      <c r="F57" s="210">
        <f t="shared" si="6"/>
        <v>569.17982312928484</v>
      </c>
      <c r="G57" s="210">
        <f t="shared" si="6"/>
        <v>644.03524241645721</v>
      </c>
      <c r="H57" s="93">
        <f t="shared" si="1"/>
        <v>9.4090550795593531E-2</v>
      </c>
      <c r="I57" s="93">
        <f t="shared" si="2"/>
        <v>-0.12395494406736232</v>
      </c>
      <c r="J57" s="93">
        <f t="shared" si="5"/>
        <v>5.1038688692139678E-2</v>
      </c>
    </row>
    <row r="58" spans="1:10" ht="16">
      <c r="A58" s="51">
        <v>1983</v>
      </c>
      <c r="B58" s="93">
        <v>0.22337155858930619</v>
      </c>
      <c r="C58" s="93">
        <v>8.4474999999999995E-2</v>
      </c>
      <c r="D58" s="93">
        <v>3.2002094451429264E-2</v>
      </c>
      <c r="E58" s="210">
        <f t="shared" si="6"/>
        <v>11138.898259597305</v>
      </c>
      <c r="F58" s="210">
        <f t="shared" si="6"/>
        <v>617.26128868813123</v>
      </c>
      <c r="G58" s="210">
        <f t="shared" si="6"/>
        <v>664.64571907431775</v>
      </c>
      <c r="H58" s="93">
        <f t="shared" si="1"/>
        <v>0.13889655858930619</v>
      </c>
      <c r="I58" s="93">
        <f t="shared" si="2"/>
        <v>0.19136946413787692</v>
      </c>
      <c r="J58" s="93">
        <f t="shared" si="5"/>
        <v>5.3402830654563971E-2</v>
      </c>
    </row>
    <row r="59" spans="1:10" ht="16">
      <c r="A59" s="51">
        <v>1984</v>
      </c>
      <c r="B59" s="93">
        <v>6.14614199963621E-2</v>
      </c>
      <c r="C59" s="93">
        <v>9.6125000000000002E-2</v>
      </c>
      <c r="D59" s="93">
        <v>0.13733364344102345</v>
      </c>
      <c r="E59" s="210">
        <f t="shared" si="6"/>
        <v>11823.510763827162</v>
      </c>
      <c r="F59" s="210">
        <f t="shared" si="6"/>
        <v>676.59553006327781</v>
      </c>
      <c r="G59" s="210">
        <f t="shared" si="6"/>
        <v>755.92393727227272</v>
      </c>
      <c r="H59" s="93">
        <f t="shared" si="1"/>
        <v>-3.4663580003637902E-2</v>
      </c>
      <c r="I59" s="93">
        <f t="shared" si="2"/>
        <v>-7.5872223444661352E-2</v>
      </c>
      <c r="J59" s="93">
        <f t="shared" si="5"/>
        <v>5.1212126318051387E-2</v>
      </c>
    </row>
    <row r="60" spans="1:10" ht="16">
      <c r="A60" s="51">
        <v>1985</v>
      </c>
      <c r="B60" s="93">
        <v>0.31235149485768948</v>
      </c>
      <c r="C60" s="93">
        <v>7.4874999999999997E-2</v>
      </c>
      <c r="D60" s="93">
        <v>0.2571248821260641</v>
      </c>
      <c r="E60" s="210">
        <f t="shared" si="6"/>
        <v>15516.602025374559</v>
      </c>
      <c r="F60" s="210">
        <f t="shared" si="6"/>
        <v>727.25562037676571</v>
      </c>
      <c r="G60" s="210">
        <f t="shared" si="6"/>
        <v>950.2907905396761</v>
      </c>
      <c r="H60" s="93">
        <f t="shared" si="1"/>
        <v>0.23747649485768949</v>
      </c>
      <c r="I60" s="93">
        <f t="shared" si="2"/>
        <v>5.522661273162538E-2</v>
      </c>
      <c r="J60" s="93">
        <f t="shared" si="5"/>
        <v>5.1284365102581608E-2</v>
      </c>
    </row>
    <row r="61" spans="1:10" ht="16">
      <c r="A61" s="51">
        <v>1986</v>
      </c>
      <c r="B61" s="93">
        <v>0.18494578758046187</v>
      </c>
      <c r="C61" s="93">
        <v>6.0350000000000001E-2</v>
      </c>
      <c r="D61" s="93">
        <v>0.24284215141767618</v>
      </c>
      <c r="E61" s="210">
        <f t="shared" si="6"/>
        <v>18386.332207530046</v>
      </c>
      <c r="F61" s="210">
        <f t="shared" si="6"/>
        <v>771.14549706650348</v>
      </c>
      <c r="G61" s="210">
        <f t="shared" si="6"/>
        <v>1181.0614505867354</v>
      </c>
      <c r="H61" s="93">
        <f t="shared" si="1"/>
        <v>0.12459578758046187</v>
      </c>
      <c r="I61" s="93">
        <f t="shared" si="2"/>
        <v>-5.7896363837214304E-2</v>
      </c>
      <c r="J61" s="93">
        <f t="shared" si="5"/>
        <v>4.9663565599739057E-2</v>
      </c>
    </row>
    <row r="62" spans="1:10" ht="16">
      <c r="A62" s="51">
        <v>1987</v>
      </c>
      <c r="B62" s="93">
        <v>5.8127216418218712E-2</v>
      </c>
      <c r="C62" s="93">
        <v>5.7224999999999998E-2</v>
      </c>
      <c r="D62" s="93">
        <v>-4.9605089379262279E-2</v>
      </c>
      <c r="E62" s="210">
        <f t="shared" si="6"/>
        <v>19455.07851889441</v>
      </c>
      <c r="F62" s="210">
        <f t="shared" si="6"/>
        <v>815.27429813613423</v>
      </c>
      <c r="G62" s="210">
        <f t="shared" si="6"/>
        <v>1122.4747917679792</v>
      </c>
      <c r="H62" s="93">
        <f t="shared" si="1"/>
        <v>9.0221641821871396E-4</v>
      </c>
      <c r="I62" s="93">
        <f t="shared" si="2"/>
        <v>0.107732305797481</v>
      </c>
      <c r="J62" s="93">
        <f t="shared" si="5"/>
        <v>5.0693590437507208E-2</v>
      </c>
    </row>
    <row r="63" spans="1:10" ht="16">
      <c r="A63" s="51">
        <v>1988</v>
      </c>
      <c r="B63" s="93">
        <v>0.16537192812044688</v>
      </c>
      <c r="C63" s="93">
        <v>6.4499999999999988E-2</v>
      </c>
      <c r="D63" s="93">
        <v>8.2235958434841674E-2</v>
      </c>
      <c r="E63" s="210">
        <f t="shared" si="6"/>
        <v>22672.402365298665</v>
      </c>
      <c r="F63" s="210">
        <f t="shared" si="6"/>
        <v>867.85949036591489</v>
      </c>
      <c r="G63" s="210">
        <f t="shared" si="6"/>
        <v>1214.7825820879684</v>
      </c>
      <c r="H63" s="93">
        <f t="shared" si="1"/>
        <v>0.10087192812044689</v>
      </c>
      <c r="I63" s="93">
        <f t="shared" si="2"/>
        <v>8.3135969685605202E-2</v>
      </c>
      <c r="J63" s="93">
        <f t="shared" si="5"/>
        <v>5.1199933578993884E-2</v>
      </c>
    </row>
    <row r="64" spans="1:10" ht="16">
      <c r="A64" s="51">
        <v>1989</v>
      </c>
      <c r="B64" s="93">
        <v>0.31475183638196724</v>
      </c>
      <c r="C64" s="93">
        <v>8.1099999999999992E-2</v>
      </c>
      <c r="D64" s="93">
        <v>0.17693647159446219</v>
      </c>
      <c r="E64" s="210">
        <f t="shared" si="6"/>
        <v>29808.582644967279</v>
      </c>
      <c r="F64" s="210">
        <f t="shared" si="6"/>
        <v>938.24289503459056</v>
      </c>
      <c r="G64" s="210">
        <f t="shared" si="6"/>
        <v>1429.7219259170236</v>
      </c>
      <c r="H64" s="93">
        <f t="shared" si="1"/>
        <v>0.23365183638196724</v>
      </c>
      <c r="I64" s="93">
        <f t="shared" si="2"/>
        <v>0.13781536478750506</v>
      </c>
      <c r="J64" s="93">
        <f t="shared" si="5"/>
        <v>5.240982169336883E-2</v>
      </c>
    </row>
    <row r="65" spans="1:10" ht="16">
      <c r="A65" s="51">
        <v>1990</v>
      </c>
      <c r="B65" s="93">
        <v>-3.0644516129032118E-2</v>
      </c>
      <c r="C65" s="93">
        <v>7.5500000000000012E-2</v>
      </c>
      <c r="D65" s="93">
        <v>6.2353753335533363E-2</v>
      </c>
      <c r="E65" s="210">
        <f t="shared" si="6"/>
        <v>28895.113053319994</v>
      </c>
      <c r="F65" s="210">
        <f t="shared" si="6"/>
        <v>1009.0802336097021</v>
      </c>
      <c r="G65" s="210">
        <f t="shared" si="6"/>
        <v>1518.8704542240573</v>
      </c>
      <c r="H65" s="93">
        <f t="shared" si="1"/>
        <v>-0.10614451612903213</v>
      </c>
      <c r="I65" s="93">
        <f t="shared" si="2"/>
        <v>-9.2998269464565478E-2</v>
      </c>
      <c r="J65" s="93">
        <f t="shared" si="5"/>
        <v>4.9979953137364364E-2</v>
      </c>
    </row>
    <row r="66" spans="1:10" ht="16">
      <c r="A66" s="51">
        <v>1991</v>
      </c>
      <c r="B66" s="93">
        <v>0.30234843134879757</v>
      </c>
      <c r="C66" s="93">
        <v>5.6100000000000011E-2</v>
      </c>
      <c r="D66" s="93">
        <v>0.15004510019517303</v>
      </c>
      <c r="E66" s="210">
        <f t="shared" si="6"/>
        <v>37631.505158637461</v>
      </c>
      <c r="F66" s="210">
        <f t="shared" si="6"/>
        <v>1065.6896347152065</v>
      </c>
      <c r="G66" s="210">
        <f t="shared" si="6"/>
        <v>1746.769523711594</v>
      </c>
      <c r="H66" s="93">
        <f t="shared" si="1"/>
        <v>0.24624843134879756</v>
      </c>
      <c r="I66" s="93">
        <f t="shared" si="2"/>
        <v>0.15230333115362454</v>
      </c>
      <c r="J66" s="93">
        <f t="shared" si="5"/>
        <v>5.13850639844049E-2</v>
      </c>
    </row>
    <row r="67" spans="1:10" ht="16">
      <c r="A67" s="51">
        <v>1992</v>
      </c>
      <c r="B67" s="93">
        <v>7.493727972380064E-2</v>
      </c>
      <c r="C67" s="93">
        <v>3.4049999999999997E-2</v>
      </c>
      <c r="D67" s="93">
        <v>9.3616373162079422E-2</v>
      </c>
      <c r="E67" s="210">
        <f t="shared" si="6"/>
        <v>40451.507787137925</v>
      </c>
      <c r="F67" s="210">
        <f t="shared" si="6"/>
        <v>1101.976366777259</v>
      </c>
      <c r="G67" s="210">
        <f t="shared" si="6"/>
        <v>1910.2957512715263</v>
      </c>
      <c r="H67" s="93">
        <f t="shared" si="1"/>
        <v>4.0887279723800643E-2</v>
      </c>
      <c r="I67" s="93">
        <f t="shared" si="2"/>
        <v>-1.8679093438278782E-2</v>
      </c>
      <c r="J67" s="93">
        <f t="shared" si="5"/>
        <v>5.0319857010869606E-2</v>
      </c>
    </row>
    <row r="68" spans="1:10" ht="16">
      <c r="A68" s="51">
        <v>1993</v>
      </c>
      <c r="B68" s="93">
        <v>9.96705147919488E-2</v>
      </c>
      <c r="C68" s="93">
        <v>2.9825000000000001E-2</v>
      </c>
      <c r="D68" s="93">
        <v>0.14210957589263107</v>
      </c>
      <c r="E68" s="210">
        <f t="shared" ref="E68:G83" si="7">E67*(1+B68)</f>
        <v>44483.33039239249</v>
      </c>
      <c r="F68" s="210">
        <f t="shared" si="7"/>
        <v>1134.8428119163907</v>
      </c>
      <c r="G68" s="210">
        <f t="shared" si="7"/>
        <v>2181.7670703142176</v>
      </c>
      <c r="H68" s="93">
        <f t="shared" ref="H68:H83" si="8">B68-C68</f>
        <v>6.9845514791948796E-2</v>
      </c>
      <c r="I68" s="93">
        <f t="shared" ref="I68:I83" si="9">B68-D68</f>
        <v>-4.2439061100682268E-2</v>
      </c>
      <c r="J68" s="93">
        <f t="shared" si="5"/>
        <v>4.8975937931758473E-2</v>
      </c>
    </row>
    <row r="69" spans="1:10" ht="16">
      <c r="A69" s="51">
        <v>1994</v>
      </c>
      <c r="B69" s="93">
        <v>1.3259206774573897E-2</v>
      </c>
      <c r="C69" s="93">
        <v>3.9850000000000003E-2</v>
      </c>
      <c r="D69" s="93">
        <v>-8.0366555509985921E-2</v>
      </c>
      <c r="E69" s="210">
        <f t="shared" si="7"/>
        <v>45073.144068086905</v>
      </c>
      <c r="F69" s="210">
        <f t="shared" si="7"/>
        <v>1180.0662979712588</v>
      </c>
      <c r="G69" s="210">
        <f t="shared" si="7"/>
        <v>2006.4259659479505</v>
      </c>
      <c r="H69" s="93">
        <f t="shared" si="8"/>
        <v>-2.6590793225426106E-2</v>
      </c>
      <c r="I69" s="93">
        <f t="shared" si="9"/>
        <v>9.3625762284559821E-2</v>
      </c>
      <c r="J69" s="93">
        <f t="shared" si="5"/>
        <v>4.9718636171719899E-2</v>
      </c>
    </row>
    <row r="70" spans="1:10" ht="16">
      <c r="A70" s="51">
        <v>1995</v>
      </c>
      <c r="B70" s="93">
        <v>0.37195198902606308</v>
      </c>
      <c r="C70" s="93">
        <v>5.5150000000000005E-2</v>
      </c>
      <c r="D70" s="93">
        <v>0.23480780112538907</v>
      </c>
      <c r="E70" s="210">
        <f t="shared" si="7"/>
        <v>61838.189655870119</v>
      </c>
      <c r="F70" s="210">
        <f t="shared" si="7"/>
        <v>1245.1469543043738</v>
      </c>
      <c r="G70" s="210">
        <f t="shared" si="7"/>
        <v>2477.5504351330737</v>
      </c>
      <c r="H70" s="93">
        <f t="shared" si="8"/>
        <v>0.31680198902606305</v>
      </c>
      <c r="I70" s="93">
        <f t="shared" si="9"/>
        <v>0.13714418790067401</v>
      </c>
      <c r="J70" s="93">
        <f t="shared" si="5"/>
        <v>5.0791451119413633E-2</v>
      </c>
    </row>
    <row r="71" spans="1:10" ht="16">
      <c r="A71" s="51">
        <v>1996</v>
      </c>
      <c r="B71" s="93">
        <v>0.22680966018865789</v>
      </c>
      <c r="C71" s="93">
        <v>5.0224999999999999E-2</v>
      </c>
      <c r="D71" s="93">
        <v>1.428607793401844E-2</v>
      </c>
      <c r="E71" s="210">
        <f t="shared" si="7"/>
        <v>75863.688438399797</v>
      </c>
      <c r="F71" s="210">
        <f t="shared" si="7"/>
        <v>1307.684460084311</v>
      </c>
      <c r="G71" s="210">
        <f t="shared" si="7"/>
        <v>2512.9449137348461</v>
      </c>
      <c r="H71" s="93">
        <f t="shared" si="8"/>
        <v>0.1765846601886579</v>
      </c>
      <c r="I71" s="93">
        <f t="shared" si="9"/>
        <v>0.21252358225463946</v>
      </c>
      <c r="J71" s="93">
        <f t="shared" si="5"/>
        <v>5.304503967737495E-2</v>
      </c>
    </row>
    <row r="72" spans="1:10" ht="16">
      <c r="A72" s="51">
        <v>1997</v>
      </c>
      <c r="B72" s="93">
        <v>0.33103653103653097</v>
      </c>
      <c r="C72" s="93">
        <v>5.0525E-2</v>
      </c>
      <c r="D72" s="93">
        <v>9.939130272977531E-2</v>
      </c>
      <c r="E72" s="210">
        <f t="shared" si="7"/>
        <v>100977.34069068384</v>
      </c>
      <c r="F72" s="210">
        <f t="shared" si="7"/>
        <v>1373.7552174300708</v>
      </c>
      <c r="G72" s="210">
        <f t="shared" si="7"/>
        <v>2762.7097823991153</v>
      </c>
      <c r="H72" s="93">
        <f t="shared" si="8"/>
        <v>0.28051153103653098</v>
      </c>
      <c r="I72" s="93">
        <f t="shared" si="9"/>
        <v>0.23164522830675566</v>
      </c>
      <c r="J72" s="93">
        <f t="shared" si="5"/>
        <v>5.5315584903303572E-2</v>
      </c>
    </row>
    <row r="73" spans="1:10" ht="16">
      <c r="A73" s="51">
        <v>1998</v>
      </c>
      <c r="B73" s="93">
        <v>0.28337953278443584</v>
      </c>
      <c r="C73" s="93">
        <v>4.7274999999999998E-2</v>
      </c>
      <c r="D73" s="93">
        <v>0.14921431922606215</v>
      </c>
      <c r="E73" s="210">
        <f t="shared" si="7"/>
        <v>129592.25231742462</v>
      </c>
      <c r="F73" s="210">
        <f t="shared" si="7"/>
        <v>1438.6994953340775</v>
      </c>
      <c r="G73" s="210">
        <f t="shared" si="7"/>
        <v>3174.9456417989818</v>
      </c>
      <c r="H73" s="93">
        <f t="shared" si="8"/>
        <v>0.23610453278443583</v>
      </c>
      <c r="I73" s="93">
        <f t="shared" si="9"/>
        <v>0.13416521355837369</v>
      </c>
      <c r="J73" s="93">
        <f t="shared" si="5"/>
        <v>5.6306048135548625E-2</v>
      </c>
    </row>
    <row r="74" spans="1:10" ht="16">
      <c r="A74" s="51">
        <v>1999</v>
      </c>
      <c r="B74" s="93">
        <v>0.20885350992084475</v>
      </c>
      <c r="C74" s="93">
        <v>4.5100000000000001E-2</v>
      </c>
      <c r="D74" s="93">
        <v>-8.2542147962685761E-2</v>
      </c>
      <c r="E74" s="210">
        <f t="shared" si="7"/>
        <v>156658.0490724665</v>
      </c>
      <c r="F74" s="210">
        <f t="shared" si="7"/>
        <v>1503.5848425736442</v>
      </c>
      <c r="G74" s="210">
        <f t="shared" si="7"/>
        <v>2912.8788088601259</v>
      </c>
      <c r="H74" s="93">
        <f t="shared" si="8"/>
        <v>0.16375350992084475</v>
      </c>
      <c r="I74" s="93">
        <f t="shared" si="9"/>
        <v>0.2913956578835305</v>
      </c>
      <c r="J74" s="93">
        <f t="shared" si="5"/>
        <v>5.9634694818320177E-2</v>
      </c>
    </row>
    <row r="75" spans="1:10" ht="16">
      <c r="A75" s="51">
        <v>2000</v>
      </c>
      <c r="B75" s="93">
        <v>-9.0318189552492781E-2</v>
      </c>
      <c r="C75" s="93">
        <v>5.7625000000000003E-2</v>
      </c>
      <c r="D75" s="93">
        <v>0.16655267125397488</v>
      </c>
      <c r="E75" s="210">
        <f t="shared" si="7"/>
        <v>142508.97770141574</v>
      </c>
      <c r="F75" s="210">
        <f t="shared" si="7"/>
        <v>1590.2289191269506</v>
      </c>
      <c r="G75" s="210">
        <f t="shared" si="7"/>
        <v>3398.0265555148762</v>
      </c>
      <c r="H75" s="93">
        <f t="shared" si="8"/>
        <v>-0.14794318955249278</v>
      </c>
      <c r="I75" s="93">
        <f t="shared" si="9"/>
        <v>-0.25687086080646765</v>
      </c>
      <c r="J75" s="93">
        <f t="shared" si="5"/>
        <v>5.5111895842923087E-2</v>
      </c>
    </row>
    <row r="76" spans="1:10" ht="16">
      <c r="A76" s="51">
        <v>2001</v>
      </c>
      <c r="B76" s="93">
        <v>-0.11849759142000185</v>
      </c>
      <c r="C76" s="93">
        <v>3.6725000000000001E-2</v>
      </c>
      <c r="D76" s="93">
        <v>5.5721811892492555E-2</v>
      </c>
      <c r="E76" s="210">
        <f t="shared" si="7"/>
        <v>125622.00708807123</v>
      </c>
      <c r="F76" s="210">
        <f t="shared" si="7"/>
        <v>1648.6300761818877</v>
      </c>
      <c r="G76" s="210">
        <f t="shared" si="7"/>
        <v>3587.3707520469702</v>
      </c>
      <c r="H76" s="93">
        <f t="shared" si="8"/>
        <v>-0.15522259142000186</v>
      </c>
      <c r="I76" s="93">
        <f t="shared" si="9"/>
        <v>-0.17421940331249441</v>
      </c>
      <c r="J76" s="93">
        <f t="shared" si="5"/>
        <v>5.1665345512908356E-2</v>
      </c>
    </row>
    <row r="77" spans="1:10" ht="16">
      <c r="A77" s="51">
        <v>2002</v>
      </c>
      <c r="B77" s="93">
        <v>-0.21966047957912699</v>
      </c>
      <c r="C77" s="93">
        <v>1.6574999999999999E-2</v>
      </c>
      <c r="D77" s="93">
        <v>0.15116400378109285</v>
      </c>
      <c r="E77" s="210">
        <f t="shared" si="7"/>
        <v>98027.816765413008</v>
      </c>
      <c r="F77" s="210">
        <f t="shared" si="7"/>
        <v>1675.9561196946024</v>
      </c>
      <c r="G77" s="210">
        <f t="shared" si="7"/>
        <v>4129.6520779735802</v>
      </c>
      <c r="H77" s="93">
        <f t="shared" si="8"/>
        <v>-0.23623547957912699</v>
      </c>
      <c r="I77" s="93">
        <f t="shared" si="9"/>
        <v>-0.37082448336021984</v>
      </c>
      <c r="J77" s="93">
        <f t="shared" si="5"/>
        <v>4.5325449773477855E-2</v>
      </c>
    </row>
    <row r="78" spans="1:10" ht="16">
      <c r="A78" s="51">
        <v>2003</v>
      </c>
      <c r="B78" s="93">
        <v>0.28355800050010233</v>
      </c>
      <c r="C78" s="93">
        <v>1.03E-2</v>
      </c>
      <c r="D78" s="93">
        <v>3.7531858817758529E-3</v>
      </c>
      <c r="E78" s="210">
        <f t="shared" si="7"/>
        <v>125824.38848080393</v>
      </c>
      <c r="F78" s="210">
        <f t="shared" si="7"/>
        <v>1693.2184677274568</v>
      </c>
      <c r="G78" s="210">
        <f t="shared" si="7"/>
        <v>4145.1514298492766</v>
      </c>
      <c r="H78" s="93">
        <f t="shared" si="8"/>
        <v>0.27325800050010235</v>
      </c>
      <c r="I78" s="93">
        <f t="shared" si="9"/>
        <v>0.27980481461832646</v>
      </c>
      <c r="J78" s="93">
        <f t="shared" si="5"/>
        <v>4.8237796117156506E-2</v>
      </c>
    </row>
    <row r="79" spans="1:10" ht="16">
      <c r="A79" s="51">
        <v>2004</v>
      </c>
      <c r="B79" s="93">
        <v>0.10742775944096193</v>
      </c>
      <c r="C79" s="93">
        <v>1.2275000000000001E-2</v>
      </c>
      <c r="D79" s="93">
        <v>4.490683702274547E-2</v>
      </c>
      <c r="E79" s="210">
        <f t="shared" si="7"/>
        <v>139341.42061832585</v>
      </c>
      <c r="F79" s="210">
        <f t="shared" si="7"/>
        <v>1714.0027244188113</v>
      </c>
      <c r="G79" s="210">
        <f t="shared" si="7"/>
        <v>4331.2970695441181</v>
      </c>
      <c r="H79" s="93">
        <f t="shared" si="8"/>
        <v>9.5152759440961937E-2</v>
      </c>
      <c r="I79" s="93">
        <f t="shared" si="9"/>
        <v>6.2520922418216468E-2</v>
      </c>
      <c r="J79" s="93">
        <f t="shared" si="5"/>
        <v>4.842299846885445E-2</v>
      </c>
    </row>
    <row r="80" spans="1:10" ht="16">
      <c r="A80" s="51">
        <v>2005</v>
      </c>
      <c r="B80" s="93">
        <v>4.8344775232688535E-2</v>
      </c>
      <c r="C80" s="93">
        <v>3.0099999999999998E-2</v>
      </c>
      <c r="D80" s="93">
        <v>2.8675329597779506E-2</v>
      </c>
      <c r="E80" s="210">
        <f t="shared" si="7"/>
        <v>146077.8502787223</v>
      </c>
      <c r="F80" s="210">
        <f t="shared" si="7"/>
        <v>1765.5942064238177</v>
      </c>
      <c r="G80" s="210">
        <f t="shared" si="7"/>
        <v>4455.4984405991927</v>
      </c>
      <c r="H80" s="93">
        <f t="shared" si="8"/>
        <v>1.8244775232688536E-2</v>
      </c>
      <c r="I80" s="93">
        <f t="shared" si="9"/>
        <v>1.9669445634909029E-2</v>
      </c>
      <c r="J80" s="93">
        <f t="shared" si="5"/>
        <v>4.8042189402255131E-2</v>
      </c>
    </row>
    <row r="81" spans="1:10" ht="16">
      <c r="A81" s="51">
        <v>2006</v>
      </c>
      <c r="B81" s="93">
        <v>0.15612557979315703</v>
      </c>
      <c r="C81" s="93">
        <v>4.6775000000000004E-2</v>
      </c>
      <c r="D81" s="93">
        <v>1.9610012417568386E-2</v>
      </c>
      <c r="E81" s="210">
        <f t="shared" si="7"/>
        <v>168884.33934842583</v>
      </c>
      <c r="F81" s="210">
        <f t="shared" si="7"/>
        <v>1848.1798754292918</v>
      </c>
      <c r="G81" s="210">
        <f t="shared" si="7"/>
        <v>4542.8708203458</v>
      </c>
      <c r="H81" s="93">
        <f t="shared" si="8"/>
        <v>0.10935057979315702</v>
      </c>
      <c r="I81" s="93">
        <f t="shared" si="9"/>
        <v>0.13651556737558865</v>
      </c>
      <c r="J81" s="93">
        <f t="shared" si="5"/>
        <v>4.9149036004805913E-2</v>
      </c>
    </row>
    <row r="82" spans="1:10" ht="16">
      <c r="A82" s="51">
        <v>2007</v>
      </c>
      <c r="B82" s="93">
        <v>5.4847352464217694E-2</v>
      </c>
      <c r="C82" s="93">
        <v>4.6425000000000001E-2</v>
      </c>
      <c r="D82" s="93">
        <v>0.10209921930012807</v>
      </c>
      <c r="E82" s="210">
        <f t="shared" si="7"/>
        <v>178147.19823435548</v>
      </c>
      <c r="F82" s="210">
        <f t="shared" si="7"/>
        <v>1933.9816261460965</v>
      </c>
      <c r="G82" s="210">
        <f t="shared" si="7"/>
        <v>5006.6943844844382</v>
      </c>
      <c r="H82" s="93">
        <f t="shared" si="8"/>
        <v>8.4223524642176931E-3</v>
      </c>
      <c r="I82" s="93">
        <f t="shared" si="9"/>
        <v>-4.7251866835910372E-2</v>
      </c>
      <c r="J82" s="93">
        <f t="shared" si="5"/>
        <v>4.7948712238125024E-2</v>
      </c>
    </row>
    <row r="83" spans="1:10" ht="16">
      <c r="A83" s="51">
        <v>2008</v>
      </c>
      <c r="B83" s="93">
        <v>-0.36552344111798191</v>
      </c>
      <c r="C83" s="93">
        <v>1.585E-2</v>
      </c>
      <c r="D83" s="93">
        <v>0.20101279926977011</v>
      </c>
      <c r="E83" s="210">
        <f t="shared" si="7"/>
        <v>113030.22131020659</v>
      </c>
      <c r="F83" s="210">
        <f t="shared" si="7"/>
        <v>1964.6352349205119</v>
      </c>
      <c r="G83" s="210">
        <f t="shared" si="7"/>
        <v>6013.1040377978934</v>
      </c>
      <c r="H83" s="93">
        <f t="shared" si="8"/>
        <v>-0.38137344111798188</v>
      </c>
      <c r="I83" s="93">
        <f t="shared" si="9"/>
        <v>-0.56653624038775208</v>
      </c>
      <c r="J83" s="93">
        <f t="shared" si="5"/>
        <v>3.8795868868689798E-2</v>
      </c>
    </row>
    <row r="84" spans="1:10" ht="16">
      <c r="A84" s="51">
        <v>2009</v>
      </c>
      <c r="B84" s="93">
        <v>0.25935233877663982</v>
      </c>
      <c r="C84" s="93">
        <v>1.3500000000000001E-3</v>
      </c>
      <c r="D84" s="93">
        <v>-0.11116695313259162</v>
      </c>
      <c r="E84" s="210">
        <f t="shared" ref="E84:G86" si="10">E83*(1+B84)</f>
        <v>142344.87355944986</v>
      </c>
      <c r="F84" s="210">
        <f t="shared" si="10"/>
        <v>1967.2874924876546</v>
      </c>
      <c r="G84" s="210">
        <f t="shared" si="10"/>
        <v>5344.6455830466175</v>
      </c>
      <c r="H84" s="93">
        <f>B84-C84</f>
        <v>0.25800233877663981</v>
      </c>
      <c r="I84" s="93">
        <f>B84-D84</f>
        <v>0.37051929190923144</v>
      </c>
      <c r="J84" s="93">
        <f t="shared" si="5"/>
        <v>4.2868506133348472E-2</v>
      </c>
    </row>
    <row r="85" spans="1:10" ht="16">
      <c r="A85" s="51">
        <v>2010</v>
      </c>
      <c r="B85" s="93">
        <v>0.14821092278719414</v>
      </c>
      <c r="C85" s="93">
        <v>1.2999999999999999E-3</v>
      </c>
      <c r="D85" s="93">
        <v>8.4629338803557719E-2</v>
      </c>
      <c r="E85" s="210">
        <f t="shared" si="10"/>
        <v>163441.93862372241</v>
      </c>
      <c r="F85" s="210">
        <f t="shared" si="10"/>
        <v>1969.8449662278888</v>
      </c>
      <c r="G85" s="210">
        <f>G84*(1+D85)</f>
        <v>5796.9594048792078</v>
      </c>
      <c r="H85" s="93">
        <f>B85-C85</f>
        <v>0.14691092278719414</v>
      </c>
      <c r="I85" s="93">
        <f>B85-D85</f>
        <v>6.3581583983636419E-2</v>
      </c>
      <c r="J85" s="93">
        <f t="shared" si="5"/>
        <v>4.3108516433475463E-2</v>
      </c>
    </row>
    <row r="86" spans="1:10" ht="16">
      <c r="A86" s="51">
        <v>2011</v>
      </c>
      <c r="B86" s="93">
        <v>2.09837473362805E-2</v>
      </c>
      <c r="C86" s="93">
        <v>2.9999999999999997E-4</v>
      </c>
      <c r="D86" s="93">
        <v>0.16035334999461354</v>
      </c>
      <c r="E86" s="210">
        <f t="shared" si="10"/>
        <v>166871.56296795449</v>
      </c>
      <c r="F86" s="210">
        <f t="shared" si="10"/>
        <v>1970.4359197177571</v>
      </c>
      <c r="G86" s="210">
        <f>G85*(1+D86)</f>
        <v>6726.5212652343698</v>
      </c>
      <c r="H86" s="93">
        <f>B86-C86</f>
        <v>2.0683747336280499E-2</v>
      </c>
      <c r="I86" s="93">
        <f>B86-D86</f>
        <v>-0.13936960265833304</v>
      </c>
      <c r="J86" s="93">
        <f t="shared" si="5"/>
        <v>4.0970429004248521E-2</v>
      </c>
    </row>
    <row r="87" spans="1:10" ht="16">
      <c r="A87" s="51">
        <v>2012</v>
      </c>
      <c r="B87" s="93">
        <v>0.15890585241730293</v>
      </c>
      <c r="C87" s="93">
        <v>5.0000000000000001E-4</v>
      </c>
      <c r="D87" s="93">
        <v>2.971571978018946E-2</v>
      </c>
      <c r="E87" s="210">
        <f>E86*(1+B87)</f>
        <v>193388.43092558492</v>
      </c>
      <c r="F87" s="210">
        <f>F86*(1+C87)</f>
        <v>1971.4211376776159</v>
      </c>
      <c r="G87" s="210">
        <f>G86*(1+D87)</f>
        <v>6926.4046862475598</v>
      </c>
      <c r="H87" s="93">
        <f>B87-C87</f>
        <v>0.15840585241730293</v>
      </c>
      <c r="I87" s="93">
        <f>B87-D87</f>
        <v>0.12919013263711346</v>
      </c>
      <c r="J87" s="93">
        <f t="shared" si="5"/>
        <v>4.1988275684727405E-2</v>
      </c>
    </row>
    <row r="88" spans="1:10" ht="16">
      <c r="A88" s="94">
        <v>2013</v>
      </c>
      <c r="B88" s="93">
        <v>0.32145085858125483</v>
      </c>
      <c r="C88" s="95">
        <v>6.6E-4</v>
      </c>
      <c r="D88" s="93">
        <v>-9.104568794347262E-2</v>
      </c>
      <c r="E88" s="210">
        <f>E87*(1+B88)</f>
        <v>255553.30808629587</v>
      </c>
      <c r="F88" s="210">
        <f>F87*(1+C88)</f>
        <v>1972.7222756284834</v>
      </c>
      <c r="G88" s="210">
        <f>G87*(1+D88)</f>
        <v>6295.7854066132577</v>
      </c>
      <c r="H88" s="93">
        <f>B88-C88</f>
        <v>0.32079085858125483</v>
      </c>
      <c r="I88" s="93">
        <f>B88-D88</f>
        <v>0.41249654652472745</v>
      </c>
      <c r="J88" s="93">
        <f t="shared" si="5"/>
        <v>4.6176809418723153E-2</v>
      </c>
    </row>
    <row r="89" spans="1:10" ht="16">
      <c r="A89" s="94">
        <v>2014</v>
      </c>
      <c r="B89" s="93">
        <v>0.1347735289662188</v>
      </c>
      <c r="C89" s="95">
        <v>5.2999999999999998E-4</v>
      </c>
      <c r="D89" s="93">
        <v>0.10746180452004755</v>
      </c>
      <c r="E89" s="210">
        <v>289995.12925607734</v>
      </c>
      <c r="F89" s="210">
        <v>1973.7678184345664</v>
      </c>
      <c r="G89" s="210">
        <v>6972.3418672788994</v>
      </c>
      <c r="H89" s="93">
        <v>0.1342435289662188</v>
      </c>
      <c r="I89" s="93">
        <v>2.7311724446171248E-2</v>
      </c>
      <c r="J89" s="93">
        <f t="shared" si="5"/>
        <v>4.5969805259763685E-2</v>
      </c>
    </row>
    <row r="90" spans="1:10" ht="16">
      <c r="A90" s="94">
        <v>2015</v>
      </c>
      <c r="B90" s="93">
        <v>1.3599494875904609E-2</v>
      </c>
      <c r="C90" s="95">
        <v>2.0999999999999999E-3</v>
      </c>
      <c r="D90" s="93">
        <v>1.2842996709792224E-2</v>
      </c>
      <c r="E90" s="210">
        <v>294060.83811089932</v>
      </c>
      <c r="F90" s="210">
        <v>1977.9127308532788</v>
      </c>
      <c r="G90" s="210">
        <v>7061.8876309399093</v>
      </c>
      <c r="H90" s="93">
        <v>1.149949487590461E-2</v>
      </c>
      <c r="I90" s="93">
        <v>7.5649816611238554E-4</v>
      </c>
      <c r="J90" s="93">
        <f t="shared" si="5"/>
        <v>4.543213214629449E-2</v>
      </c>
    </row>
    <row r="91" spans="1:10" ht="16">
      <c r="A91" s="202">
        <v>2016</v>
      </c>
      <c r="B91" s="203">
        <v>0.11740300406086394</v>
      </c>
      <c r="C91" s="204">
        <v>5.1000000000000004E-3</v>
      </c>
      <c r="D91" s="203">
        <v>6.9055046987477921E-3</v>
      </c>
      <c r="E91" s="205">
        <f>E90*(1+B91)</f>
        <v>328584.46388177428</v>
      </c>
      <c r="F91" s="205">
        <f>F90*(1+C91)</f>
        <v>1988.0000857806308</v>
      </c>
      <c r="G91" s="205">
        <f>G90*(1+D91)</f>
        <v>7110.6535291573937</v>
      </c>
      <c r="H91" s="203">
        <f>B91-C91</f>
        <v>0.11230300406086394</v>
      </c>
      <c r="I91" s="203">
        <f>B91-D91</f>
        <v>0.11049749936211616</v>
      </c>
      <c r="J91" s="93">
        <f>((E91/100)^(1/(A91-$A$3+1)))-((G91/100)^(1/(A91-$A$3+1)))</f>
        <v>4.6170592023807355E-2</v>
      </c>
    </row>
    <row r="92" spans="1:10" ht="16">
      <c r="A92" s="206">
        <v>2017</v>
      </c>
      <c r="B92" s="207">
        <v>0.2164117623937504</v>
      </c>
      <c r="C92" s="208">
        <v>1.3899999999999999E-2</v>
      </c>
      <c r="D92" s="207">
        <v>2.8017162707789457E-2</v>
      </c>
      <c r="E92" s="209">
        <v>399885.97898805555</v>
      </c>
      <c r="F92" s="209">
        <v>2015.6332869729815</v>
      </c>
      <c r="G92" s="209">
        <v>7309.8738660425133</v>
      </c>
      <c r="H92" s="207">
        <v>0.20251176239375041</v>
      </c>
      <c r="I92" s="207">
        <v>0.18839459968596095</v>
      </c>
      <c r="J92" s="207">
        <v>4.7690416117554868E-2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3"/>
  <sheetViews>
    <sheetView topLeftCell="A42" workbookViewId="0">
      <selection activeCell="D93" sqref="D93"/>
    </sheetView>
  </sheetViews>
  <sheetFormatPr baseColWidth="10" defaultRowHeight="14"/>
  <sheetData>
    <row r="1" spans="1:7">
      <c r="A1" s="84" t="s">
        <v>106</v>
      </c>
      <c r="B1" s="88" t="s">
        <v>107</v>
      </c>
      <c r="C1" s="88" t="s">
        <v>96</v>
      </c>
      <c r="D1" s="88" t="s">
        <v>108</v>
      </c>
      <c r="E1" s="85" t="s">
        <v>109</v>
      </c>
      <c r="F1" s="85" t="s">
        <v>110</v>
      </c>
      <c r="G1" s="85" t="s">
        <v>111</v>
      </c>
    </row>
    <row r="2" spans="1:7">
      <c r="A2" s="84">
        <v>1954</v>
      </c>
      <c r="B2" s="86">
        <v>2.5099999999999997E-2</v>
      </c>
      <c r="C2" s="86">
        <v>-3.7215999999999998E-3</v>
      </c>
      <c r="D2" s="86">
        <v>2.7866599999999998E-2</v>
      </c>
      <c r="E2" s="86">
        <f>C2+D2</f>
        <v>2.4145E-2</v>
      </c>
      <c r="F2" s="86">
        <f>B2-E2</f>
        <v>9.5499999999999752E-4</v>
      </c>
      <c r="G2" s="86">
        <f t="shared" ref="G2:G33" si="0">AVERAGE(E2:E6)</f>
        <v>4.3228079999999995E-2</v>
      </c>
    </row>
    <row r="3" spans="1:7">
      <c r="A3" s="84">
        <f>A2+1</f>
        <v>1955</v>
      </c>
      <c r="B3" s="86">
        <v>2.9600000000000001E-2</v>
      </c>
      <c r="C3" s="86">
        <v>3.7355000000000001E-3</v>
      </c>
      <c r="D3" s="86">
        <v>6.5739099999999995E-2</v>
      </c>
      <c r="E3" s="86">
        <f t="shared" ref="E3:E60" si="1">C3+D3</f>
        <v>6.9474599999999997E-2</v>
      </c>
      <c r="F3" s="86">
        <f t="shared" ref="F3:F60" si="2">B3-E3</f>
        <v>-3.9874599999999996E-2</v>
      </c>
      <c r="G3" s="86">
        <f t="shared" si="0"/>
        <v>5.1119099999999994E-2</v>
      </c>
    </row>
    <row r="4" spans="1:7">
      <c r="A4" s="84">
        <f t="shared" ref="A4:A60" si="3">A3+1</f>
        <v>1956</v>
      </c>
      <c r="B4" s="86">
        <v>3.5900000000000001E-2</v>
      </c>
      <c r="C4" s="86">
        <v>2.8284299999999998E-2</v>
      </c>
      <c r="D4" s="86">
        <v>1.8379E-2</v>
      </c>
      <c r="E4" s="86">
        <f t="shared" si="1"/>
        <v>4.6663299999999998E-2</v>
      </c>
      <c r="F4" s="86">
        <f t="shared" si="2"/>
        <v>-1.0763299999999996E-2</v>
      </c>
      <c r="G4" s="86">
        <f t="shared" si="0"/>
        <v>4.1194879999999996E-2</v>
      </c>
    </row>
    <row r="5" spans="1:7">
      <c r="A5" s="84">
        <f t="shared" si="3"/>
        <v>1957</v>
      </c>
      <c r="B5" s="86">
        <v>3.2099999999999997E-2</v>
      </c>
      <c r="C5" s="86">
        <v>3.0401699999999997E-2</v>
      </c>
      <c r="D5" s="86">
        <v>2.7109999999999999E-3</v>
      </c>
      <c r="E5" s="86">
        <f t="shared" si="1"/>
        <v>3.3112699999999995E-2</v>
      </c>
      <c r="F5" s="86">
        <f t="shared" si="2"/>
        <v>-1.0126999999999983E-3</v>
      </c>
      <c r="G5" s="86">
        <f t="shared" si="0"/>
        <v>4.5710299999999995E-2</v>
      </c>
    </row>
    <row r="6" spans="1:7">
      <c r="A6" s="84">
        <f t="shared" si="3"/>
        <v>1958</v>
      </c>
      <c r="B6" s="86">
        <v>3.8599999999999995E-2</v>
      </c>
      <c r="C6" s="86">
        <v>1.7562299999999999E-2</v>
      </c>
      <c r="D6" s="86">
        <v>2.51825E-2</v>
      </c>
      <c r="E6" s="86">
        <f t="shared" si="1"/>
        <v>4.2744799999999999E-2</v>
      </c>
      <c r="F6" s="86">
        <f t="shared" si="2"/>
        <v>-4.144800000000004E-3</v>
      </c>
      <c r="G6" s="86">
        <f t="shared" si="0"/>
        <v>4.9794779999999997E-2</v>
      </c>
    </row>
    <row r="7" spans="1:7">
      <c r="A7" s="84">
        <f t="shared" si="3"/>
        <v>1959</v>
      </c>
      <c r="B7" s="86">
        <v>4.6900000000000004E-2</v>
      </c>
      <c r="C7" s="86">
        <v>1.51881E-2</v>
      </c>
      <c r="D7" s="86">
        <v>4.8411999999999997E-2</v>
      </c>
      <c r="E7" s="86">
        <f t="shared" si="1"/>
        <v>6.3600099999999993E-2</v>
      </c>
      <c r="F7" s="86">
        <f t="shared" si="2"/>
        <v>-1.6700099999999989E-2</v>
      </c>
      <c r="G7" s="86">
        <f t="shared" si="0"/>
        <v>5.5144640000000002E-2</v>
      </c>
    </row>
    <row r="8" spans="1:7">
      <c r="A8" s="84">
        <f t="shared" si="3"/>
        <v>1960</v>
      </c>
      <c r="B8" s="86">
        <v>3.8399999999999997E-2</v>
      </c>
      <c r="C8" s="86">
        <v>1.36008E-2</v>
      </c>
      <c r="D8" s="86">
        <v>6.2526999999999999E-3</v>
      </c>
      <c r="E8" s="86">
        <f t="shared" si="1"/>
        <v>1.98535E-2</v>
      </c>
      <c r="F8" s="86">
        <f t="shared" si="2"/>
        <v>1.8546499999999997E-2</v>
      </c>
      <c r="G8" s="86">
        <f t="shared" si="0"/>
        <v>5.5047219999999994E-2</v>
      </c>
    </row>
    <row r="9" spans="1:7">
      <c r="A9" s="84">
        <f t="shared" si="3"/>
        <v>1961</v>
      </c>
      <c r="B9" s="86">
        <v>4.0599999999999997E-2</v>
      </c>
      <c r="C9" s="86">
        <v>6.7091999999999994E-3</v>
      </c>
      <c r="D9" s="86">
        <v>6.2531199999999995E-2</v>
      </c>
      <c r="E9" s="86">
        <f t="shared" si="1"/>
        <v>6.9240399999999994E-2</v>
      </c>
      <c r="F9" s="86">
        <f t="shared" si="2"/>
        <v>-2.8640399999999996E-2</v>
      </c>
      <c r="G9" s="86">
        <f t="shared" si="0"/>
        <v>7.1936059999999996E-2</v>
      </c>
    </row>
    <row r="10" spans="1:7">
      <c r="A10" s="84">
        <f t="shared" si="3"/>
        <v>1962</v>
      </c>
      <c r="B10" s="86">
        <v>3.8599999999999995E-2</v>
      </c>
      <c r="C10" s="86">
        <v>1.23292E-2</v>
      </c>
      <c r="D10" s="86">
        <v>4.1205899999999997E-2</v>
      </c>
      <c r="E10" s="86">
        <f t="shared" si="1"/>
        <v>5.3535099999999995E-2</v>
      </c>
      <c r="F10" s="86">
        <f t="shared" si="2"/>
        <v>-1.49351E-2</v>
      </c>
      <c r="G10" s="86">
        <f t="shared" si="0"/>
        <v>7.3428779999999999E-2</v>
      </c>
    </row>
    <row r="11" spans="1:7">
      <c r="A11" s="84">
        <f t="shared" si="3"/>
        <v>1963</v>
      </c>
      <c r="B11" s="86">
        <v>4.1299999999999996E-2</v>
      </c>
      <c r="C11" s="86">
        <v>1.6458199999999999E-2</v>
      </c>
      <c r="D11" s="86">
        <v>5.3035899999999997E-2</v>
      </c>
      <c r="E11" s="86">
        <f t="shared" si="1"/>
        <v>6.9494100000000003E-2</v>
      </c>
      <c r="F11" s="86">
        <f t="shared" si="2"/>
        <v>-2.8194100000000007E-2</v>
      </c>
      <c r="G11" s="86">
        <f t="shared" si="0"/>
        <v>7.4250659999999996E-2</v>
      </c>
    </row>
    <row r="12" spans="1:7">
      <c r="A12" s="84">
        <f t="shared" si="3"/>
        <v>1964</v>
      </c>
      <c r="B12" s="86">
        <v>4.1799999999999997E-2</v>
      </c>
      <c r="C12" s="86">
        <v>1.19819E-2</v>
      </c>
      <c r="D12" s="86">
        <v>5.1131099999999999E-2</v>
      </c>
      <c r="E12" s="86">
        <f t="shared" si="1"/>
        <v>6.3113000000000002E-2</v>
      </c>
      <c r="F12" s="86">
        <f t="shared" si="2"/>
        <v>-2.1313000000000006E-2</v>
      </c>
      <c r="G12" s="86">
        <f t="shared" si="0"/>
        <v>7.9674099999999998E-2</v>
      </c>
    </row>
    <row r="13" spans="1:7">
      <c r="A13" s="84">
        <f t="shared" si="3"/>
        <v>1965</v>
      </c>
      <c r="B13" s="86">
        <v>4.6199999999999998E-2</v>
      </c>
      <c r="C13" s="86">
        <v>1.9199999999999998E-2</v>
      </c>
      <c r="D13" s="86">
        <v>8.5097699999999998E-2</v>
      </c>
      <c r="E13" s="86">
        <f t="shared" si="1"/>
        <v>0.10429769999999999</v>
      </c>
      <c r="F13" s="86">
        <f t="shared" si="2"/>
        <v>-5.8097699999999995E-2</v>
      </c>
      <c r="G13" s="86">
        <f t="shared" si="0"/>
        <v>8.2916619999999996E-2</v>
      </c>
    </row>
    <row r="14" spans="1:7">
      <c r="A14" s="84">
        <f t="shared" si="3"/>
        <v>1966</v>
      </c>
      <c r="B14" s="86">
        <v>4.8399999999999999E-2</v>
      </c>
      <c r="C14" s="86">
        <v>3.3595E-2</v>
      </c>
      <c r="D14" s="86">
        <v>4.3109000000000001E-2</v>
      </c>
      <c r="E14" s="86">
        <f t="shared" si="1"/>
        <v>7.6703999999999994E-2</v>
      </c>
      <c r="F14" s="86">
        <f t="shared" si="2"/>
        <v>-2.8303999999999996E-2</v>
      </c>
      <c r="G14" s="86">
        <f t="shared" si="0"/>
        <v>7.2887779999999999E-2</v>
      </c>
    </row>
    <row r="15" spans="1:7">
      <c r="A15" s="84">
        <f t="shared" si="3"/>
        <v>1967</v>
      </c>
      <c r="B15" s="86">
        <v>5.7000000000000002E-2</v>
      </c>
      <c r="C15" s="86">
        <v>3.2806799999999997E-2</v>
      </c>
      <c r="D15" s="86">
        <v>2.4837699999999997E-2</v>
      </c>
      <c r="E15" s="86">
        <f t="shared" si="1"/>
        <v>5.7644499999999994E-2</v>
      </c>
      <c r="F15" s="86">
        <f t="shared" si="2"/>
        <v>-6.444999999999923E-4</v>
      </c>
      <c r="G15" s="86">
        <f t="shared" si="0"/>
        <v>7.2991E-2</v>
      </c>
    </row>
    <row r="16" spans="1:7">
      <c r="A16" s="84">
        <f t="shared" si="3"/>
        <v>1968</v>
      </c>
      <c r="B16" s="86">
        <v>6.0299999999999999E-2</v>
      </c>
      <c r="C16" s="86">
        <v>4.7058799999999998E-2</v>
      </c>
      <c r="D16" s="86">
        <v>4.9552500000000006E-2</v>
      </c>
      <c r="E16" s="86">
        <f t="shared" si="1"/>
        <v>9.6611300000000011E-2</v>
      </c>
      <c r="F16" s="86">
        <f t="shared" si="2"/>
        <v>-3.6311300000000012E-2</v>
      </c>
      <c r="G16" s="86">
        <f t="shared" si="0"/>
        <v>8.2140820000000003E-2</v>
      </c>
    </row>
    <row r="17" spans="1:7">
      <c r="A17" s="84">
        <f t="shared" si="3"/>
        <v>1969</v>
      </c>
      <c r="B17" s="86">
        <v>7.6499999999999999E-2</v>
      </c>
      <c r="C17" s="86">
        <v>5.8988800000000001E-2</v>
      </c>
      <c r="D17" s="86">
        <v>2.0336799999999999E-2</v>
      </c>
      <c r="E17" s="86">
        <f t="shared" si="1"/>
        <v>7.9325599999999996E-2</v>
      </c>
      <c r="F17" s="86">
        <f t="shared" si="2"/>
        <v>-2.8255999999999976E-3</v>
      </c>
      <c r="G17" s="86">
        <f t="shared" si="0"/>
        <v>8.9049519999999993E-2</v>
      </c>
    </row>
    <row r="18" spans="1:7">
      <c r="A18" s="84">
        <f t="shared" si="3"/>
        <v>1970</v>
      </c>
      <c r="B18" s="86">
        <v>6.3899999999999998E-2</v>
      </c>
      <c r="C18" s="86">
        <v>5.57029E-2</v>
      </c>
      <c r="D18" s="86">
        <v>-1.5494E-3</v>
      </c>
      <c r="E18" s="86">
        <f t="shared" si="1"/>
        <v>5.41535E-2</v>
      </c>
      <c r="F18" s="86">
        <f t="shared" si="2"/>
        <v>9.7464999999999982E-3</v>
      </c>
      <c r="G18" s="86">
        <f t="shared" si="0"/>
        <v>9.3389659999999999E-2</v>
      </c>
    </row>
    <row r="19" spans="1:7">
      <c r="A19" s="84">
        <f t="shared" si="3"/>
        <v>1971</v>
      </c>
      <c r="B19" s="86">
        <v>5.9299999999999999E-2</v>
      </c>
      <c r="C19" s="86">
        <v>3.2663299999999999E-2</v>
      </c>
      <c r="D19" s="86">
        <v>4.4556800000000001E-2</v>
      </c>
      <c r="E19" s="86">
        <f t="shared" si="1"/>
        <v>7.72201E-2</v>
      </c>
      <c r="F19" s="86">
        <f t="shared" si="2"/>
        <v>-1.7920100000000001E-2</v>
      </c>
      <c r="G19" s="86">
        <f t="shared" si="0"/>
        <v>0.10189322000000001</v>
      </c>
    </row>
    <row r="20" spans="1:7">
      <c r="A20" s="84">
        <f t="shared" si="3"/>
        <v>1972</v>
      </c>
      <c r="B20" s="86">
        <v>6.3600000000000004E-2</v>
      </c>
      <c r="C20" s="86">
        <v>3.4063299999999998E-2</v>
      </c>
      <c r="D20" s="86">
        <v>6.9330299999999997E-2</v>
      </c>
      <c r="E20" s="86">
        <f t="shared" si="1"/>
        <v>0.1033936</v>
      </c>
      <c r="F20" s="86">
        <f t="shared" si="2"/>
        <v>-3.9793599999999998E-2</v>
      </c>
      <c r="G20" s="86">
        <f t="shared" si="0"/>
        <v>0.10511906</v>
      </c>
    </row>
    <row r="21" spans="1:7">
      <c r="A21" s="84">
        <f t="shared" si="3"/>
        <v>1973</v>
      </c>
      <c r="B21" s="86">
        <v>6.7400000000000002E-2</v>
      </c>
      <c r="C21" s="86">
        <v>8.9411799999999986E-2</v>
      </c>
      <c r="D21" s="86">
        <v>4.1742999999999995E-2</v>
      </c>
      <c r="E21" s="86">
        <f t="shared" si="1"/>
        <v>0.13115479999999999</v>
      </c>
      <c r="F21" s="86">
        <f t="shared" si="2"/>
        <v>-6.3754799999999986E-2</v>
      </c>
      <c r="G21" s="86">
        <f t="shared" si="0"/>
        <v>0.10778281999999999</v>
      </c>
    </row>
    <row r="22" spans="1:7">
      <c r="A22" s="84">
        <f t="shared" si="3"/>
        <v>1974</v>
      </c>
      <c r="B22" s="86">
        <v>7.4299999999999991E-2</v>
      </c>
      <c r="C22" s="86">
        <v>0.1209503</v>
      </c>
      <c r="D22" s="86">
        <v>-1.9924000000000001E-2</v>
      </c>
      <c r="E22" s="86">
        <f t="shared" si="1"/>
        <v>0.1010263</v>
      </c>
      <c r="F22" s="86">
        <f t="shared" si="2"/>
        <v>-2.6726300000000008E-2</v>
      </c>
      <c r="G22" s="86">
        <f t="shared" si="0"/>
        <v>0.11294081999999998</v>
      </c>
    </row>
    <row r="23" spans="1:7">
      <c r="A23" s="84">
        <f t="shared" si="3"/>
        <v>1975</v>
      </c>
      <c r="B23" s="86">
        <v>0.08</v>
      </c>
      <c r="C23" s="86">
        <v>7.129089999999999E-2</v>
      </c>
      <c r="D23" s="86">
        <v>2.5380400000000001E-2</v>
      </c>
      <c r="E23" s="86">
        <f t="shared" si="1"/>
        <v>9.6671299999999988E-2</v>
      </c>
      <c r="F23" s="86">
        <f t="shared" si="2"/>
        <v>-1.6671299999999986E-2</v>
      </c>
      <c r="G23" s="86">
        <f t="shared" si="0"/>
        <v>0.12176435999999999</v>
      </c>
    </row>
    <row r="24" spans="1:7">
      <c r="A24" s="84">
        <f t="shared" si="3"/>
        <v>1976</v>
      </c>
      <c r="B24" s="86">
        <v>6.8699999999999997E-2</v>
      </c>
      <c r="C24" s="86">
        <v>5.03597E-2</v>
      </c>
      <c r="D24" s="86">
        <v>4.2989600000000003E-2</v>
      </c>
      <c r="E24" s="86">
        <f t="shared" si="1"/>
        <v>9.3349299999999996E-2</v>
      </c>
      <c r="F24" s="86">
        <f t="shared" si="2"/>
        <v>-2.4649299999999999E-2</v>
      </c>
      <c r="G24" s="86">
        <f t="shared" si="0"/>
        <v>0.12693019999999999</v>
      </c>
    </row>
    <row r="25" spans="1:7">
      <c r="A25" s="84">
        <f t="shared" si="3"/>
        <v>1977</v>
      </c>
      <c r="B25" s="86">
        <v>7.690000000000001E-2</v>
      </c>
      <c r="C25" s="86">
        <v>6.6780800000000001E-2</v>
      </c>
      <c r="D25" s="86">
        <v>4.9931599999999993E-2</v>
      </c>
      <c r="E25" s="86">
        <f t="shared" si="1"/>
        <v>0.11671239999999999</v>
      </c>
      <c r="F25" s="86">
        <f t="shared" si="2"/>
        <v>-3.9812399999999984E-2</v>
      </c>
      <c r="G25" s="86">
        <f t="shared" si="0"/>
        <v>0.12852046</v>
      </c>
    </row>
    <row r="26" spans="1:7">
      <c r="A26" s="84">
        <f t="shared" si="3"/>
        <v>1978</v>
      </c>
      <c r="B26" s="86">
        <v>9.01E-2</v>
      </c>
      <c r="C26" s="86">
        <v>8.9887599999999998E-2</v>
      </c>
      <c r="D26" s="86">
        <v>6.7057199999999997E-2</v>
      </c>
      <c r="E26" s="86">
        <f t="shared" si="1"/>
        <v>0.1569448</v>
      </c>
      <c r="F26" s="86">
        <f t="shared" si="2"/>
        <v>-6.6844799999999996E-2</v>
      </c>
      <c r="G26" s="86">
        <f t="shared" si="0"/>
        <v>0.11000590000000002</v>
      </c>
    </row>
    <row r="27" spans="1:7">
      <c r="A27" s="84">
        <f t="shared" si="3"/>
        <v>1979</v>
      </c>
      <c r="B27" s="86">
        <v>0.10390000000000001</v>
      </c>
      <c r="C27" s="86">
        <v>0.1325479</v>
      </c>
      <c r="D27" s="86">
        <v>1.2596099999999999E-2</v>
      </c>
      <c r="E27" s="86">
        <f t="shared" si="1"/>
        <v>0.145144</v>
      </c>
      <c r="F27" s="86">
        <f t="shared" si="2"/>
        <v>-4.1243999999999989E-2</v>
      </c>
      <c r="G27" s="86">
        <f t="shared" si="0"/>
        <v>0.10167699999999999</v>
      </c>
    </row>
    <row r="28" spans="1:7">
      <c r="A28" s="84">
        <f t="shared" si="3"/>
        <v>1980</v>
      </c>
      <c r="B28" s="86">
        <v>0.12839999999999999</v>
      </c>
      <c r="C28" s="86">
        <v>0.1235371</v>
      </c>
      <c r="D28" s="86">
        <v>-1.0365999999999999E-3</v>
      </c>
      <c r="E28" s="86">
        <f t="shared" si="1"/>
        <v>0.1225005</v>
      </c>
      <c r="F28" s="86">
        <f t="shared" si="2"/>
        <v>5.8994999999999881E-3</v>
      </c>
      <c r="G28" s="86">
        <f t="shared" si="0"/>
        <v>9.185488E-2</v>
      </c>
    </row>
    <row r="29" spans="1:7">
      <c r="A29" s="84">
        <f t="shared" si="3"/>
        <v>1981</v>
      </c>
      <c r="B29" s="86">
        <v>0.13720000000000002</v>
      </c>
      <c r="C29" s="86">
        <v>8.9120399999999989E-2</v>
      </c>
      <c r="D29" s="86">
        <v>1.21802E-2</v>
      </c>
      <c r="E29" s="86">
        <f t="shared" si="1"/>
        <v>0.10130059999999999</v>
      </c>
      <c r="F29" s="86">
        <f t="shared" si="2"/>
        <v>3.5899400000000026E-2</v>
      </c>
      <c r="G29" s="86">
        <f t="shared" si="0"/>
        <v>8.3283540000000003E-2</v>
      </c>
    </row>
    <row r="30" spans="1:7">
      <c r="A30" s="84">
        <f t="shared" si="3"/>
        <v>1982</v>
      </c>
      <c r="B30" s="86">
        <v>0.10539999999999999</v>
      </c>
      <c r="C30" s="86">
        <v>3.8257199999999998E-2</v>
      </c>
      <c r="D30" s="86">
        <v>-1.4117599999999999E-2</v>
      </c>
      <c r="E30" s="86">
        <f t="shared" si="1"/>
        <v>2.4139599999999997E-2</v>
      </c>
      <c r="F30" s="86">
        <f t="shared" si="2"/>
        <v>8.1260399999999997E-2</v>
      </c>
      <c r="G30" s="86">
        <f t="shared" si="0"/>
        <v>7.1075539999999993E-2</v>
      </c>
    </row>
    <row r="31" spans="1:7">
      <c r="A31" s="84">
        <f t="shared" si="3"/>
        <v>1983</v>
      </c>
      <c r="B31" s="86">
        <v>0.1183</v>
      </c>
      <c r="C31" s="86">
        <v>3.7871000000000002E-2</v>
      </c>
      <c r="D31" s="86">
        <v>7.7429300000000006E-2</v>
      </c>
      <c r="E31" s="86">
        <f t="shared" si="1"/>
        <v>0.11530030000000001</v>
      </c>
      <c r="F31" s="86">
        <f t="shared" si="2"/>
        <v>2.999699999999994E-3</v>
      </c>
      <c r="G31" s="86">
        <f t="shared" si="0"/>
        <v>8.3429779999999995E-2</v>
      </c>
    </row>
    <row r="32" spans="1:7">
      <c r="A32" s="84">
        <f t="shared" si="3"/>
        <v>1984</v>
      </c>
      <c r="B32" s="86">
        <v>0.115</v>
      </c>
      <c r="C32" s="86">
        <v>4.0433899999999995E-2</v>
      </c>
      <c r="D32" s="86">
        <v>5.5599499999999996E-2</v>
      </c>
      <c r="E32" s="86">
        <f t="shared" si="1"/>
        <v>9.6033399999999991E-2</v>
      </c>
      <c r="F32" s="86">
        <f t="shared" si="2"/>
        <v>1.8966600000000014E-2</v>
      </c>
      <c r="G32" s="86">
        <f t="shared" si="0"/>
        <v>7.6592899999999992E-2</v>
      </c>
    </row>
    <row r="33" spans="1:7">
      <c r="A33" s="84">
        <f t="shared" si="3"/>
        <v>1985</v>
      </c>
      <c r="B33" s="86">
        <v>9.2600000000000002E-2</v>
      </c>
      <c r="C33" s="86">
        <v>3.7914699999999996E-2</v>
      </c>
      <c r="D33" s="86">
        <v>4.1729099999999998E-2</v>
      </c>
      <c r="E33" s="86">
        <f t="shared" si="1"/>
        <v>7.9643799999999987E-2</v>
      </c>
      <c r="F33" s="86">
        <f t="shared" si="2"/>
        <v>1.2956200000000015E-2</v>
      </c>
      <c r="G33" s="86">
        <f t="shared" si="0"/>
        <v>7.2113559999999993E-2</v>
      </c>
    </row>
    <row r="34" spans="1:7">
      <c r="A34" s="84">
        <f t="shared" si="3"/>
        <v>1986</v>
      </c>
      <c r="B34" s="86">
        <v>7.1099999999999997E-2</v>
      </c>
      <c r="C34" s="86">
        <v>1.1872100000000002E-2</v>
      </c>
      <c r="D34" s="86">
        <v>2.8388499999999997E-2</v>
      </c>
      <c r="E34" s="86">
        <f t="shared" si="1"/>
        <v>4.0260600000000001E-2</v>
      </c>
      <c r="F34" s="86">
        <f t="shared" si="2"/>
        <v>3.0839399999999996E-2</v>
      </c>
      <c r="G34" s="86">
        <f t="shared" ref="G34:G55" si="4">AVERAGE(E34:E38)</f>
        <v>6.9805819999999991E-2</v>
      </c>
    </row>
    <row r="35" spans="1:7">
      <c r="A35" s="84">
        <f t="shared" si="3"/>
        <v>1987</v>
      </c>
      <c r="B35" s="86">
        <v>8.9900000000000008E-2</v>
      </c>
      <c r="C35" s="86">
        <v>4.33213E-2</v>
      </c>
      <c r="D35" s="86">
        <v>4.2589499999999995E-2</v>
      </c>
      <c r="E35" s="86">
        <f t="shared" si="1"/>
        <v>8.5910799999999996E-2</v>
      </c>
      <c r="F35" s="86">
        <f t="shared" si="2"/>
        <v>3.9892000000000122E-3</v>
      </c>
      <c r="G35" s="86">
        <f t="shared" si="4"/>
        <v>6.9724480000000005E-2</v>
      </c>
    </row>
    <row r="36" spans="1:7">
      <c r="A36" s="84">
        <f t="shared" si="3"/>
        <v>1988</v>
      </c>
      <c r="B36" s="86">
        <v>9.11E-2</v>
      </c>
      <c r="C36" s="86">
        <v>4.41176E-2</v>
      </c>
      <c r="D36" s="86">
        <v>3.6998299999999998E-2</v>
      </c>
      <c r="E36" s="86">
        <f t="shared" si="1"/>
        <v>8.1115899999999991E-2</v>
      </c>
      <c r="F36" s="86">
        <f t="shared" si="2"/>
        <v>9.9841000000000096E-3</v>
      </c>
      <c r="G36" s="86">
        <f t="shared" si="4"/>
        <v>6.7098699999999997E-2</v>
      </c>
    </row>
    <row r="37" spans="1:7">
      <c r="A37" s="84">
        <f t="shared" si="3"/>
        <v>1989</v>
      </c>
      <c r="B37" s="86">
        <v>7.8399999999999997E-2</v>
      </c>
      <c r="C37" s="86">
        <v>4.6396E-2</v>
      </c>
      <c r="D37" s="86">
        <v>2.7240700000000003E-2</v>
      </c>
      <c r="E37" s="86">
        <f t="shared" si="1"/>
        <v>7.3636699999999999E-2</v>
      </c>
      <c r="F37" s="86">
        <f t="shared" si="2"/>
        <v>4.7632999999999981E-3</v>
      </c>
      <c r="G37" s="86">
        <f t="shared" si="4"/>
        <v>6.1886399999999994E-2</v>
      </c>
    </row>
    <row r="38" spans="1:7">
      <c r="A38" s="84">
        <f t="shared" si="3"/>
        <v>1990</v>
      </c>
      <c r="B38" s="86">
        <v>8.0799999999999997E-2</v>
      </c>
      <c r="C38" s="86">
        <v>6.2549499999999994E-2</v>
      </c>
      <c r="D38" s="86">
        <v>5.5556000000000008E-3</v>
      </c>
      <c r="E38" s="86">
        <f t="shared" si="1"/>
        <v>6.8105100000000002E-2</v>
      </c>
      <c r="F38" s="86">
        <f t="shared" si="2"/>
        <v>1.2694899999999995E-2</v>
      </c>
      <c r="G38" s="86">
        <f t="shared" si="4"/>
        <v>6.0669819999999999E-2</v>
      </c>
    </row>
    <row r="39" spans="1:7">
      <c r="A39" s="84">
        <f t="shared" si="3"/>
        <v>1991</v>
      </c>
      <c r="B39" s="86">
        <v>7.0900000000000005E-2</v>
      </c>
      <c r="C39" s="86">
        <v>2.9806300000000001E-2</v>
      </c>
      <c r="D39" s="86">
        <v>1.00476E-2</v>
      </c>
      <c r="E39" s="86">
        <f t="shared" si="1"/>
        <v>3.9853899999999998E-2</v>
      </c>
      <c r="F39" s="86">
        <f t="shared" si="2"/>
        <v>3.1046100000000007E-2</v>
      </c>
      <c r="G39" s="86">
        <f t="shared" si="4"/>
        <v>5.6134119999999996E-2</v>
      </c>
    </row>
    <row r="40" spans="1:7">
      <c r="A40" s="84">
        <f t="shared" si="3"/>
        <v>1992</v>
      </c>
      <c r="B40" s="86">
        <v>6.7699999999999996E-2</v>
      </c>
      <c r="C40" s="86">
        <v>2.9667099999999998E-2</v>
      </c>
      <c r="D40" s="86">
        <v>4.3114800000000002E-2</v>
      </c>
      <c r="E40" s="86">
        <f t="shared" si="1"/>
        <v>7.2781899999999997E-2</v>
      </c>
      <c r="F40" s="86">
        <f t="shared" si="2"/>
        <v>-5.0819000000000003E-3</v>
      </c>
      <c r="G40" s="86">
        <f t="shared" si="4"/>
        <v>6.3811179999999995E-2</v>
      </c>
    </row>
    <row r="41" spans="1:7">
      <c r="A41" s="84">
        <f t="shared" si="3"/>
        <v>1993</v>
      </c>
      <c r="B41" s="86">
        <v>5.7699999999999994E-2</v>
      </c>
      <c r="C41" s="86">
        <v>2.8109600000000002E-2</v>
      </c>
      <c r="D41" s="86">
        <v>2.6944800000000001E-2</v>
      </c>
      <c r="E41" s="86">
        <f t="shared" si="1"/>
        <v>5.5054400000000003E-2</v>
      </c>
      <c r="F41" s="86">
        <f t="shared" si="2"/>
        <v>2.645599999999991E-3</v>
      </c>
      <c r="G41" s="86">
        <f t="shared" si="4"/>
        <v>6.1329759999999997E-2</v>
      </c>
    </row>
    <row r="42" spans="1:7">
      <c r="A42" s="84">
        <f t="shared" si="3"/>
        <v>1994</v>
      </c>
      <c r="B42" s="86">
        <v>7.8100000000000003E-2</v>
      </c>
      <c r="C42" s="86">
        <v>2.5974000000000001E-2</v>
      </c>
      <c r="D42" s="86">
        <v>4.15798E-2</v>
      </c>
      <c r="E42" s="86">
        <f t="shared" si="1"/>
        <v>6.7553799999999997E-2</v>
      </c>
      <c r="F42" s="86">
        <f t="shared" si="2"/>
        <v>1.0546200000000006E-2</v>
      </c>
      <c r="G42" s="86">
        <f t="shared" si="4"/>
        <v>6.349842E-2</v>
      </c>
    </row>
    <row r="43" spans="1:7">
      <c r="A43" s="84">
        <f t="shared" si="3"/>
        <v>1995</v>
      </c>
      <c r="B43" s="86">
        <v>5.7099999999999998E-2</v>
      </c>
      <c r="C43" s="86">
        <v>2.5316499999999999E-2</v>
      </c>
      <c r="D43" s="86">
        <v>2.0110100000000002E-2</v>
      </c>
      <c r="E43" s="86">
        <f t="shared" si="1"/>
        <v>4.5426599999999998E-2</v>
      </c>
      <c r="F43" s="86">
        <f t="shared" si="2"/>
        <v>1.16734E-2</v>
      </c>
      <c r="G43" s="86">
        <f t="shared" si="4"/>
        <v>6.4983659999999999E-2</v>
      </c>
    </row>
    <row r="44" spans="1:7">
      <c r="A44" s="84">
        <f t="shared" si="3"/>
        <v>1996</v>
      </c>
      <c r="B44" s="86">
        <v>6.3E-2</v>
      </c>
      <c r="C44" s="86">
        <v>3.3788200000000004E-2</v>
      </c>
      <c r="D44" s="86">
        <v>4.4450999999999997E-2</v>
      </c>
      <c r="E44" s="86">
        <f t="shared" si="1"/>
        <v>7.8239200000000009E-2</v>
      </c>
      <c r="F44" s="86">
        <f t="shared" si="2"/>
        <v>-1.5239200000000008E-2</v>
      </c>
      <c r="G44" s="86">
        <f t="shared" si="4"/>
        <v>6.8589659999999997E-2</v>
      </c>
    </row>
    <row r="45" spans="1:7">
      <c r="A45" s="84">
        <f t="shared" si="3"/>
        <v>1997</v>
      </c>
      <c r="B45" s="86">
        <v>5.8099999999999999E-2</v>
      </c>
      <c r="C45" s="86">
        <v>1.6970499999999999E-2</v>
      </c>
      <c r="D45" s="86">
        <v>4.3404299999999993E-2</v>
      </c>
      <c r="E45" s="86">
        <f t="shared" si="1"/>
        <v>6.0374799999999992E-2</v>
      </c>
      <c r="F45" s="86">
        <f t="shared" si="2"/>
        <v>-2.2747999999999935E-3</v>
      </c>
      <c r="G45" s="86">
        <f t="shared" si="4"/>
        <v>5.6943859999999999E-2</v>
      </c>
    </row>
    <row r="46" spans="1:7">
      <c r="A46" s="84">
        <f t="shared" si="3"/>
        <v>1998</v>
      </c>
      <c r="B46" s="86">
        <v>4.6500000000000007E-2</v>
      </c>
      <c r="C46" s="86">
        <v>1.6069199999999999E-2</v>
      </c>
      <c r="D46" s="86">
        <v>4.9828499999999998E-2</v>
      </c>
      <c r="E46" s="86">
        <f t="shared" si="1"/>
        <v>6.5897700000000003E-2</v>
      </c>
      <c r="F46" s="86">
        <f t="shared" si="2"/>
        <v>-1.9397699999999997E-2</v>
      </c>
      <c r="G46" s="86">
        <f t="shared" si="4"/>
        <v>5.3709819999999998E-2</v>
      </c>
    </row>
    <row r="47" spans="1:7">
      <c r="A47" s="84">
        <f t="shared" si="3"/>
        <v>1999</v>
      </c>
      <c r="B47" s="86">
        <v>6.2800000000000009E-2</v>
      </c>
      <c r="C47" s="86">
        <v>2.6764E-2</v>
      </c>
      <c r="D47" s="86">
        <v>4.8216000000000002E-2</v>
      </c>
      <c r="E47" s="86">
        <f t="shared" si="1"/>
        <v>7.4980000000000005E-2</v>
      </c>
      <c r="F47" s="86">
        <f t="shared" si="2"/>
        <v>-1.2179999999999996E-2</v>
      </c>
      <c r="G47" s="86">
        <f t="shared" si="4"/>
        <v>5.2331080000000009E-2</v>
      </c>
    </row>
    <row r="48" spans="1:7">
      <c r="A48" s="84">
        <f t="shared" si="3"/>
        <v>2000</v>
      </c>
      <c r="B48" s="86">
        <v>5.2400000000000002E-2</v>
      </c>
      <c r="C48" s="86">
        <v>3.43602E-2</v>
      </c>
      <c r="D48" s="86">
        <v>2.9096400000000001E-2</v>
      </c>
      <c r="E48" s="86">
        <f t="shared" si="1"/>
        <v>6.3456600000000002E-2</v>
      </c>
      <c r="F48" s="86">
        <f t="shared" si="2"/>
        <v>-1.10566E-2</v>
      </c>
      <c r="G48" s="86">
        <f t="shared" si="4"/>
        <v>4.9811099999999997E-2</v>
      </c>
    </row>
    <row r="49" spans="1:7">
      <c r="A49" s="84">
        <f t="shared" si="3"/>
        <v>2001</v>
      </c>
      <c r="B49" s="86">
        <v>5.0900000000000001E-2</v>
      </c>
      <c r="C49" s="86">
        <v>1.6036700000000001E-2</v>
      </c>
      <c r="D49" s="86">
        <v>3.9734999999999996E-3</v>
      </c>
      <c r="E49" s="86">
        <f t="shared" si="1"/>
        <v>2.0010199999999999E-2</v>
      </c>
      <c r="F49" s="86">
        <f t="shared" si="2"/>
        <v>3.0889800000000002E-2</v>
      </c>
      <c r="G49" s="86">
        <f t="shared" si="4"/>
        <v>4.9422039999999993E-2</v>
      </c>
    </row>
    <row r="50" spans="1:7">
      <c r="A50" s="84">
        <f t="shared" si="3"/>
        <v>2002</v>
      </c>
      <c r="B50" s="86">
        <v>4.0300000000000002E-2</v>
      </c>
      <c r="C50" s="86">
        <v>2.48027E-2</v>
      </c>
      <c r="D50" s="86">
        <v>1.94019E-2</v>
      </c>
      <c r="E50" s="86">
        <f t="shared" si="1"/>
        <v>4.4204599999999997E-2</v>
      </c>
      <c r="F50" s="86">
        <f t="shared" si="2"/>
        <v>-3.9045999999999942E-3</v>
      </c>
      <c r="G50" s="86">
        <f t="shared" si="4"/>
        <v>5.5223140000000004E-2</v>
      </c>
    </row>
    <row r="51" spans="1:7">
      <c r="A51" s="84">
        <f t="shared" si="3"/>
        <v>2003</v>
      </c>
      <c r="B51" s="86">
        <v>4.2699999999999995E-2</v>
      </c>
      <c r="C51" s="86">
        <v>2.0352000000000002E-2</v>
      </c>
      <c r="D51" s="86">
        <v>3.8651999999999999E-2</v>
      </c>
      <c r="E51" s="86">
        <f t="shared" si="1"/>
        <v>5.9004000000000001E-2</v>
      </c>
      <c r="F51" s="86">
        <f t="shared" si="2"/>
        <v>-1.6304000000000006E-2</v>
      </c>
      <c r="G51" s="86">
        <f t="shared" si="4"/>
        <v>5.9011419999999995E-2</v>
      </c>
    </row>
    <row r="52" spans="1:7">
      <c r="A52" s="84">
        <f t="shared" si="3"/>
        <v>2004</v>
      </c>
      <c r="B52" s="86">
        <v>4.2300000000000004E-2</v>
      </c>
      <c r="C52" s="86">
        <v>3.34232E-2</v>
      </c>
      <c r="D52" s="86">
        <v>2.8956900000000001E-2</v>
      </c>
      <c r="E52" s="86">
        <f t="shared" si="1"/>
        <v>6.2380100000000001E-2</v>
      </c>
      <c r="F52" s="86">
        <f t="shared" si="2"/>
        <v>-2.0080099999999997E-2</v>
      </c>
      <c r="G52" s="86">
        <f t="shared" si="4"/>
        <v>4.0524999999999999E-2</v>
      </c>
    </row>
    <row r="53" spans="1:7">
      <c r="A53" s="84">
        <f t="shared" si="3"/>
        <v>2005</v>
      </c>
      <c r="B53" s="86">
        <v>4.4699999999999997E-2</v>
      </c>
      <c r="C53" s="86">
        <v>3.3385499999999999E-2</v>
      </c>
      <c r="D53" s="86">
        <v>2.8125799999999999E-2</v>
      </c>
      <c r="E53" s="86">
        <f t="shared" si="1"/>
        <v>6.1511299999999998E-2</v>
      </c>
      <c r="F53" s="86">
        <f t="shared" si="2"/>
        <v>-1.6811300000000001E-2</v>
      </c>
      <c r="G53" s="86">
        <f t="shared" si="4"/>
        <v>3.3532820000000005E-2</v>
      </c>
    </row>
    <row r="54" spans="1:7">
      <c r="A54" s="84">
        <f t="shared" si="3"/>
        <v>2006</v>
      </c>
      <c r="B54" s="86">
        <v>4.5599999999999995E-2</v>
      </c>
      <c r="C54" s="86">
        <v>2.52398E-2</v>
      </c>
      <c r="D54" s="86">
        <v>2.3775900000000003E-2</v>
      </c>
      <c r="E54" s="86">
        <f t="shared" si="1"/>
        <v>4.9015700000000002E-2</v>
      </c>
      <c r="F54" s="86">
        <f t="shared" si="2"/>
        <v>-3.4157000000000076E-3</v>
      </c>
      <c r="G54" s="86">
        <f t="shared" si="4"/>
        <v>2.8872379999999996E-2</v>
      </c>
    </row>
    <row r="55" spans="1:7">
      <c r="A55" s="84">
        <f t="shared" si="3"/>
        <v>2007</v>
      </c>
      <c r="B55" s="86">
        <v>4.0999999999999995E-2</v>
      </c>
      <c r="C55" s="86">
        <v>4.1088100000000002E-2</v>
      </c>
      <c r="D55" s="86">
        <v>2.2057899999999998E-2</v>
      </c>
      <c r="E55" s="86">
        <f t="shared" si="1"/>
        <v>6.3146000000000008E-2</v>
      </c>
      <c r="F55" s="86">
        <f t="shared" si="2"/>
        <v>-2.2146000000000013E-2</v>
      </c>
      <c r="G55" s="86">
        <f t="shared" si="4"/>
        <v>2.906108E-2</v>
      </c>
    </row>
    <row r="56" spans="1:7">
      <c r="A56" s="84">
        <f t="shared" si="3"/>
        <v>2008</v>
      </c>
      <c r="B56" s="86">
        <v>2.4199999999999999E-2</v>
      </c>
      <c r="C56" s="86">
        <v>-2.2230000000000001E-4</v>
      </c>
      <c r="D56" s="86">
        <v>-3.3205800000000001E-2</v>
      </c>
      <c r="E56" s="86">
        <f t="shared" si="1"/>
        <v>-3.3428100000000002E-2</v>
      </c>
      <c r="F56" s="86">
        <f t="shared" si="2"/>
        <v>5.7628100000000002E-2</v>
      </c>
    </row>
    <row r="57" spans="1:7">
      <c r="A57" s="84">
        <f t="shared" si="3"/>
        <v>2009</v>
      </c>
      <c r="B57" s="86">
        <v>3.5900000000000001E-2</v>
      </c>
      <c r="C57" s="86">
        <v>2.8226399999999999E-2</v>
      </c>
      <c r="D57" s="86">
        <v>-8.072E-4</v>
      </c>
      <c r="E57" s="86">
        <f t="shared" si="1"/>
        <v>2.7419199999999998E-2</v>
      </c>
      <c r="F57" s="86">
        <f t="shared" si="2"/>
        <v>8.4808000000000036E-3</v>
      </c>
    </row>
    <row r="58" spans="1:7">
      <c r="A58" s="84">
        <f t="shared" si="3"/>
        <v>2010</v>
      </c>
      <c r="B58" s="86">
        <v>3.2899999999999999E-2</v>
      </c>
      <c r="C58" s="86">
        <v>1.4275500000000002E-2</v>
      </c>
      <c r="D58" s="86">
        <v>2.3933599999999999E-2</v>
      </c>
      <c r="E58" s="86">
        <f t="shared" si="1"/>
        <v>3.8209100000000003E-2</v>
      </c>
      <c r="F58" s="86">
        <f t="shared" si="2"/>
        <v>-5.3091000000000041E-3</v>
      </c>
    </row>
    <row r="59" spans="1:7">
      <c r="A59" s="84">
        <f t="shared" si="3"/>
        <v>2011</v>
      </c>
      <c r="B59" s="86">
        <v>1.9799999999999998E-2</v>
      </c>
      <c r="C59" s="86">
        <v>3.02493E-2</v>
      </c>
      <c r="D59" s="86">
        <v>1.9709899999999999E-2</v>
      </c>
      <c r="E59" s="86">
        <f t="shared" si="1"/>
        <v>4.9959199999999995E-2</v>
      </c>
      <c r="F59" s="86">
        <f t="shared" si="2"/>
        <v>-3.0159199999999997E-2</v>
      </c>
    </row>
    <row r="60" spans="1:7">
      <c r="A60" s="84">
        <f t="shared" si="3"/>
        <v>2012</v>
      </c>
      <c r="B60" s="86">
        <v>1.72E-2</v>
      </c>
      <c r="C60" s="86">
        <v>1.7610500000000001E-2</v>
      </c>
      <c r="D60" s="86">
        <v>1.66952E-2</v>
      </c>
      <c r="E60" s="86">
        <f t="shared" si="1"/>
        <v>3.4305700000000001E-2</v>
      </c>
      <c r="F60" s="86">
        <f t="shared" si="2"/>
        <v>-1.7105700000000001E-2</v>
      </c>
    </row>
    <row r="61" spans="1:7">
      <c r="A61" s="87" t="s">
        <v>112</v>
      </c>
      <c r="B61" s="33">
        <v>6.11084745762712E-2</v>
      </c>
      <c r="C61" s="33">
        <v>3.75342593220339E-2</v>
      </c>
      <c r="D61" s="33">
        <v>3.0815452542372886E-2</v>
      </c>
      <c r="E61" s="33">
        <f>AVERAGE(E2:E60)</f>
        <v>6.8349711864406776E-2</v>
      </c>
      <c r="F61" s="33">
        <f>AVERAGE(F2:F60)</f>
        <v>-7.2412372881355894E-3</v>
      </c>
      <c r="G61" s="33"/>
    </row>
    <row r="62" spans="1:7">
      <c r="A62" s="87" t="s">
        <v>113</v>
      </c>
      <c r="B62" s="33">
        <v>5.8288888888888897E-2</v>
      </c>
      <c r="C62" s="33">
        <v>4.4865725925925921E-2</v>
      </c>
      <c r="D62" s="33">
        <v>3.5424285185185173E-2</v>
      </c>
      <c r="E62" s="33">
        <f>AVERAGE(E2:E28)</f>
        <v>8.0290011111111101E-2</v>
      </c>
      <c r="F62" s="33">
        <f>AVERAGE(F2:F28)</f>
        <v>-2.2001122222222218E-2</v>
      </c>
      <c r="G62" s="33"/>
    </row>
    <row r="63" spans="1:7">
      <c r="A63" s="87" t="s">
        <v>114</v>
      </c>
      <c r="B63" s="33">
        <v>6.3487499999999988E-2</v>
      </c>
      <c r="C63" s="33">
        <v>3.1348334374999995E-2</v>
      </c>
      <c r="D63" s="33">
        <v>2.6926749999999992E-2</v>
      </c>
      <c r="E63" s="33">
        <f>AVERAGE(E29:E60)</f>
        <v>5.8275084375000001E-2</v>
      </c>
      <c r="F63" s="33">
        <f>AVERAGE(F29:F60)</f>
        <v>5.2124156250000012E-3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9"/>
  <sheetViews>
    <sheetView topLeftCell="E43" workbookViewId="0">
      <selection activeCell="R49" sqref="R49:U49"/>
    </sheetView>
  </sheetViews>
  <sheetFormatPr baseColWidth="10" defaultRowHeight="14"/>
  <cols>
    <col min="1" max="2" width="10.85546875" bestFit="1" customWidth="1"/>
    <col min="3" max="3" width="14.28515625" bestFit="1" customWidth="1"/>
    <col min="4" max="7" width="13.7109375" bestFit="1" customWidth="1"/>
    <col min="8" max="8" width="20" customWidth="1"/>
    <col min="9" max="9" width="10.85546875" bestFit="1" customWidth="1"/>
    <col min="10" max="10" width="12.85546875" bestFit="1" customWidth="1"/>
    <col min="11" max="11" width="14.140625" bestFit="1" customWidth="1"/>
    <col min="12" max="21" width="10.85546875" bestFit="1" customWidth="1"/>
  </cols>
  <sheetData>
    <row r="1" spans="1:21">
      <c r="A1" s="116" t="s">
        <v>160</v>
      </c>
    </row>
    <row r="2" spans="1:21">
      <c r="C2" s="252" t="s">
        <v>154</v>
      </c>
      <c r="D2" s="252"/>
      <c r="E2" s="252"/>
      <c r="F2" s="252"/>
      <c r="G2" s="252"/>
      <c r="H2" s="252"/>
      <c r="I2" s="252"/>
      <c r="K2" s="252" t="s">
        <v>156</v>
      </c>
      <c r="L2" s="252"/>
      <c r="M2" s="252"/>
      <c r="N2" s="252"/>
      <c r="O2" s="252"/>
      <c r="P2" s="252"/>
      <c r="Q2" s="252"/>
    </row>
    <row r="3" spans="1:21" ht="30">
      <c r="A3" s="100" t="s">
        <v>166</v>
      </c>
      <c r="B3" t="s">
        <v>149</v>
      </c>
      <c r="C3" t="s">
        <v>35</v>
      </c>
      <c r="D3" t="s">
        <v>18</v>
      </c>
      <c r="E3" t="s">
        <v>19</v>
      </c>
      <c r="F3" t="s">
        <v>150</v>
      </c>
      <c r="G3" t="s">
        <v>153</v>
      </c>
      <c r="H3" t="s">
        <v>151</v>
      </c>
      <c r="I3" t="s">
        <v>152</v>
      </c>
      <c r="J3" t="s">
        <v>155</v>
      </c>
      <c r="K3" t="s">
        <v>35</v>
      </c>
      <c r="L3" t="s">
        <v>18</v>
      </c>
      <c r="M3" t="s">
        <v>19</v>
      </c>
      <c r="N3" t="s">
        <v>150</v>
      </c>
      <c r="O3" t="s">
        <v>153</v>
      </c>
      <c r="P3" t="s">
        <v>151</v>
      </c>
      <c r="Q3" t="s">
        <v>152</v>
      </c>
      <c r="R3" t="s">
        <v>157</v>
      </c>
      <c r="S3" t="s">
        <v>5</v>
      </c>
      <c r="T3" t="s">
        <v>158</v>
      </c>
      <c r="U3" t="s">
        <v>159</v>
      </c>
    </row>
    <row r="4" spans="1:21" s="118" customFormat="1" ht="16">
      <c r="A4" s="117">
        <v>40755</v>
      </c>
      <c r="B4" s="118">
        <v>2103.84</v>
      </c>
      <c r="C4" s="119">
        <v>19712475</v>
      </c>
      <c r="D4" s="119">
        <f>261181+2627</f>
        <v>263808</v>
      </c>
      <c r="E4" s="119">
        <v>423600</v>
      </c>
      <c r="F4" s="119">
        <v>75426</v>
      </c>
      <c r="G4" s="119">
        <v>923972</v>
      </c>
      <c r="H4" s="119">
        <f t="shared" ref="H4:H20" si="0">D4+E4</f>
        <v>687408</v>
      </c>
      <c r="I4" s="120">
        <f>D4+E4-F4</f>
        <v>611982</v>
      </c>
      <c r="J4" s="121">
        <f t="shared" ref="J4:J9" si="1">B4/C4</f>
        <v>1.0672632432000548E-4</v>
      </c>
      <c r="K4" s="122">
        <f t="shared" ref="K4:Q4" si="2">$J4*C4</f>
        <v>2103.84</v>
      </c>
      <c r="L4" s="123">
        <f t="shared" si="2"/>
        <v>28.155258166212008</v>
      </c>
      <c r="M4" s="123">
        <f t="shared" si="2"/>
        <v>45.209270981954326</v>
      </c>
      <c r="N4" s="123">
        <f t="shared" si="2"/>
        <v>8.0499397381607345</v>
      </c>
      <c r="O4" s="123">
        <f t="shared" si="2"/>
        <v>98.612135334604105</v>
      </c>
      <c r="P4" s="123">
        <f t="shared" si="2"/>
        <v>73.364529148166326</v>
      </c>
      <c r="Q4" s="123">
        <f t="shared" si="2"/>
        <v>65.314589410005595</v>
      </c>
      <c r="R4" s="124">
        <f t="shared" ref="R4:R9" si="3">L4/O4</f>
        <v>0.28551514548059898</v>
      </c>
      <c r="S4" s="124">
        <f t="shared" ref="S4:S9" si="4">L4/K4</f>
        <v>1.3382794397963726E-2</v>
      </c>
      <c r="T4" s="124">
        <f t="shared" ref="T4:T9" si="5">P4/O4</f>
        <v>0.74397059651158259</v>
      </c>
      <c r="U4" s="124">
        <f t="shared" ref="U4:U9" si="6">Q4/O4</f>
        <v>0.66233825267432345</v>
      </c>
    </row>
    <row r="5" spans="1:21" s="118" customFormat="1" ht="16">
      <c r="A5" s="117">
        <v>40816</v>
      </c>
      <c r="B5" s="118">
        <v>1920.03</v>
      </c>
      <c r="C5" s="119">
        <v>17981669</v>
      </c>
      <c r="D5" s="119">
        <v>357140</v>
      </c>
      <c r="E5" s="119">
        <v>558052</v>
      </c>
      <c r="F5" s="119">
        <v>99552</v>
      </c>
      <c r="G5" s="119">
        <v>907379</v>
      </c>
      <c r="H5" s="119">
        <f t="shared" si="0"/>
        <v>915192</v>
      </c>
      <c r="I5" s="120">
        <f t="shared" ref="I5:I20" si="7">E5+F5</f>
        <v>657604</v>
      </c>
      <c r="J5" s="121">
        <f t="shared" si="1"/>
        <v>1.0677707391900052E-4</v>
      </c>
      <c r="K5" s="122">
        <f t="shared" ref="K5:Q5" si="8">$J5*C5</f>
        <v>1920.0300000000002</v>
      </c>
      <c r="L5" s="123">
        <f t="shared" si="8"/>
        <v>38.134364179431842</v>
      </c>
      <c r="M5" s="123">
        <f t="shared" si="8"/>
        <v>59.587159654646079</v>
      </c>
      <c r="N5" s="123">
        <f t="shared" si="8"/>
        <v>10.62987126278434</v>
      </c>
      <c r="O5" s="123">
        <f t="shared" si="8"/>
        <v>96.887274555548771</v>
      </c>
      <c r="P5" s="123">
        <f t="shared" si="8"/>
        <v>97.721523834077914</v>
      </c>
      <c r="Q5" s="123">
        <f t="shared" si="8"/>
        <v>70.217030917430421</v>
      </c>
      <c r="R5" s="124">
        <f t="shared" si="3"/>
        <v>0.39359517908172875</v>
      </c>
      <c r="S5" s="124">
        <f t="shared" si="4"/>
        <v>1.9861337676719552E-2</v>
      </c>
      <c r="T5" s="124">
        <f t="shared" si="5"/>
        <v>1.0086105144597792</v>
      </c>
      <c r="U5" s="124">
        <f t="shared" si="6"/>
        <v>0.72472913743871092</v>
      </c>
    </row>
    <row r="6" spans="1:21" s="118" customFormat="1" ht="16">
      <c r="A6" s="117">
        <v>40847</v>
      </c>
      <c r="B6" s="118">
        <v>2079.36</v>
      </c>
      <c r="C6" s="119">
        <v>19353109.5</v>
      </c>
      <c r="D6" s="119">
        <f>243638+8431</f>
        <v>252069</v>
      </c>
      <c r="E6" s="119">
        <v>416930</v>
      </c>
      <c r="F6" s="119">
        <v>83536</v>
      </c>
      <c r="G6" s="119">
        <v>882624</v>
      </c>
      <c r="H6" s="119">
        <f t="shared" si="0"/>
        <v>668999</v>
      </c>
      <c r="I6" s="120">
        <f t="shared" si="7"/>
        <v>500466</v>
      </c>
      <c r="J6" s="121">
        <f t="shared" si="1"/>
        <v>1.0744319924402847E-4</v>
      </c>
      <c r="K6" s="122">
        <f t="shared" ref="K6:Q6" si="9">$J6*C6</f>
        <v>2079.36</v>
      </c>
      <c r="L6" s="123">
        <f t="shared" si="9"/>
        <v>27.083099790243011</v>
      </c>
      <c r="M6" s="123">
        <f t="shared" si="9"/>
        <v>44.796293060812793</v>
      </c>
      <c r="N6" s="123">
        <f t="shared" si="9"/>
        <v>8.9753750920491626</v>
      </c>
      <c r="O6" s="123">
        <f t="shared" si="9"/>
        <v>94.831946289561387</v>
      </c>
      <c r="P6" s="123">
        <f t="shared" si="9"/>
        <v>71.879392851055798</v>
      </c>
      <c r="Q6" s="123">
        <f t="shared" si="9"/>
        <v>53.771668152861949</v>
      </c>
      <c r="R6" s="124">
        <f t="shared" si="3"/>
        <v>0.28559046660865778</v>
      </c>
      <c r="S6" s="124">
        <f t="shared" si="4"/>
        <v>1.3024728661820469E-2</v>
      </c>
      <c r="T6" s="124">
        <f t="shared" si="5"/>
        <v>0.75796601950547449</v>
      </c>
      <c r="U6" s="124">
        <f t="shared" si="6"/>
        <v>0.56702061126821834</v>
      </c>
    </row>
    <row r="7" spans="1:21" s="118" customFormat="1" ht="16">
      <c r="A7" s="117">
        <v>40877</v>
      </c>
      <c r="B7" s="118">
        <v>2080.41</v>
      </c>
      <c r="C7" s="125">
        <v>19361440</v>
      </c>
      <c r="D7" s="126">
        <f>364445+9295</f>
        <v>373740</v>
      </c>
      <c r="E7" s="126">
        <v>567962</v>
      </c>
      <c r="F7" s="126">
        <v>110058</v>
      </c>
      <c r="G7" s="126">
        <v>881259</v>
      </c>
      <c r="H7" s="119">
        <f t="shared" si="0"/>
        <v>941702</v>
      </c>
      <c r="I7" s="119">
        <f t="shared" si="7"/>
        <v>678020</v>
      </c>
      <c r="J7" s="121">
        <f t="shared" si="1"/>
        <v>1.0745120197671247E-4</v>
      </c>
      <c r="K7" s="122">
        <f t="shared" ref="K7:Q7" si="10">$J7*C7</f>
        <v>2080.41</v>
      </c>
      <c r="L7" s="123">
        <f t="shared" si="10"/>
        <v>40.158812226776519</v>
      </c>
      <c r="M7" s="123">
        <f t="shared" si="10"/>
        <v>61.028199577097567</v>
      </c>
      <c r="N7" s="123">
        <f t="shared" si="10"/>
        <v>11.82586438715302</v>
      </c>
      <c r="O7" s="123">
        <f t="shared" si="10"/>
        <v>94.692338802795646</v>
      </c>
      <c r="P7" s="123">
        <f t="shared" si="10"/>
        <v>101.18701180387409</v>
      </c>
      <c r="Q7" s="123">
        <f t="shared" si="10"/>
        <v>72.854063964250585</v>
      </c>
      <c r="R7" s="124">
        <f t="shared" si="3"/>
        <v>0.4240977964480363</v>
      </c>
      <c r="S7" s="124">
        <f t="shared" si="4"/>
        <v>1.9303316282259998E-2</v>
      </c>
      <c r="T7" s="124">
        <f t="shared" si="5"/>
        <v>1.0685871009544301</v>
      </c>
      <c r="U7" s="124">
        <f t="shared" si="6"/>
        <v>0.7693765397005875</v>
      </c>
    </row>
    <row r="8" spans="1:21" ht="16">
      <c r="A8" s="73">
        <v>40908</v>
      </c>
      <c r="B8" s="118">
        <v>2043.94</v>
      </c>
      <c r="C8" s="131">
        <v>19205382.699999999</v>
      </c>
      <c r="D8">
        <f>363367.4+10105.5</f>
        <v>373472.9</v>
      </c>
      <c r="E8" s="119">
        <v>569620</v>
      </c>
      <c r="F8" s="119">
        <v>108973</v>
      </c>
      <c r="G8" s="119">
        <v>882415</v>
      </c>
      <c r="H8" s="119">
        <f t="shared" si="0"/>
        <v>943092.9</v>
      </c>
      <c r="I8" s="119">
        <f t="shared" si="7"/>
        <v>678593</v>
      </c>
      <c r="J8" s="121">
        <f t="shared" si="1"/>
        <v>1.0642537209112736E-4</v>
      </c>
      <c r="K8" s="122">
        <f t="shared" ref="K8:Q8" si="11">$J8*C8</f>
        <v>2043.94</v>
      </c>
      <c r="L8" s="123">
        <f t="shared" si="11"/>
        <v>39.746992348452402</v>
      </c>
      <c r="M8" s="123">
        <f t="shared" si="11"/>
        <v>60.622020450547964</v>
      </c>
      <c r="N8" s="123">
        <f t="shared" si="11"/>
        <v>11.597492072886421</v>
      </c>
      <c r="O8" s="123">
        <f t="shared" si="11"/>
        <v>93.911344713792147</v>
      </c>
      <c r="P8" s="123">
        <f t="shared" si="11"/>
        <v>100.36901279900037</v>
      </c>
      <c r="Q8" s="123">
        <f t="shared" si="11"/>
        <v>72.219512523434389</v>
      </c>
      <c r="R8" s="124">
        <f t="shared" si="3"/>
        <v>0.42323951882050964</v>
      </c>
      <c r="S8" s="124">
        <f t="shared" si="4"/>
        <v>1.9446261802426881E-2</v>
      </c>
      <c r="T8" s="124">
        <f t="shared" si="5"/>
        <v>1.0687634503039953</v>
      </c>
      <c r="U8" s="124">
        <f t="shared" si="6"/>
        <v>0.76901797906880554</v>
      </c>
    </row>
    <row r="9" spans="1:21" ht="16">
      <c r="A9" s="73">
        <v>40939</v>
      </c>
      <c r="B9" s="118">
        <v>1940.24</v>
      </c>
      <c r="C9">
        <v>17972170.600000001</v>
      </c>
      <c r="D9">
        <f>267942+9991</f>
        <v>277933</v>
      </c>
      <c r="E9" s="119">
        <v>459600</v>
      </c>
      <c r="F9" s="119">
        <v>84612</v>
      </c>
      <c r="G9" s="119">
        <v>827436</v>
      </c>
      <c r="H9" s="119">
        <f t="shared" si="0"/>
        <v>737533</v>
      </c>
      <c r="I9" s="120">
        <f t="shared" si="7"/>
        <v>544212</v>
      </c>
      <c r="J9" s="121">
        <f t="shared" si="1"/>
        <v>1.079580226108025E-4</v>
      </c>
      <c r="K9" s="122">
        <f t="shared" ref="K9:Q9" si="12">$J9*C9</f>
        <v>1940.24</v>
      </c>
      <c r="L9" s="123">
        <f t="shared" si="12"/>
        <v>30.005097098288172</v>
      </c>
      <c r="M9" s="123">
        <f t="shared" si="12"/>
        <v>49.61750719192483</v>
      </c>
      <c r="N9" s="123">
        <f t="shared" si="12"/>
        <v>9.1345442091452203</v>
      </c>
      <c r="O9" s="123">
        <f t="shared" si="12"/>
        <v>89.328354396991969</v>
      </c>
      <c r="P9" s="123">
        <f t="shared" si="12"/>
        <v>79.622604290213005</v>
      </c>
      <c r="Q9" s="123">
        <f t="shared" si="12"/>
        <v>58.752051401070048</v>
      </c>
      <c r="R9" s="124">
        <f t="shared" si="3"/>
        <v>0.33589667357958808</v>
      </c>
      <c r="S9" s="124">
        <f t="shared" si="4"/>
        <v>1.5464631745705774E-2</v>
      </c>
      <c r="T9" s="124">
        <f t="shared" si="5"/>
        <v>0.89134748790238771</v>
      </c>
      <c r="U9" s="124">
        <f t="shared" si="6"/>
        <v>0.65770887416066015</v>
      </c>
    </row>
    <row r="10" spans="1:21" ht="16">
      <c r="A10" s="73">
        <v>40968</v>
      </c>
      <c r="B10" s="118">
        <v>1932.23</v>
      </c>
      <c r="C10">
        <v>17910494</v>
      </c>
      <c r="D10">
        <v>345472</v>
      </c>
      <c r="E10" s="119">
        <v>552312</v>
      </c>
      <c r="F10" s="119">
        <v>86105</v>
      </c>
      <c r="G10" s="119">
        <v>842836</v>
      </c>
      <c r="H10" s="119">
        <f t="shared" si="0"/>
        <v>897784</v>
      </c>
      <c r="I10" s="120">
        <f t="shared" si="7"/>
        <v>638417</v>
      </c>
      <c r="J10" s="121">
        <f t="shared" ref="J10:J17" si="13">B10/C10</f>
        <v>1.0788256314984947E-4</v>
      </c>
      <c r="K10" s="122">
        <f t="shared" ref="K10:Q10" si="14">$J10*C10</f>
        <v>1932.23</v>
      </c>
      <c r="L10" s="123">
        <f t="shared" si="14"/>
        <v>37.270404856504797</v>
      </c>
      <c r="M10" s="123">
        <f t="shared" si="14"/>
        <v>59.584834218419665</v>
      </c>
      <c r="N10" s="123">
        <f t="shared" si="14"/>
        <v>9.2892281000177892</v>
      </c>
      <c r="O10" s="123">
        <f t="shared" si="14"/>
        <v>90.927307994966526</v>
      </c>
      <c r="P10" s="123">
        <f t="shared" si="14"/>
        <v>96.855239074924455</v>
      </c>
      <c r="Q10" s="123">
        <f t="shared" si="14"/>
        <v>68.874062318437453</v>
      </c>
      <c r="R10" s="124">
        <f t="shared" ref="R10:R15" si="15">L10/O10</f>
        <v>0.40989231594284065</v>
      </c>
      <c r="S10" s="124">
        <f t="shared" ref="S10:S15" si="16">L10/K10</f>
        <v>1.9288803536072204E-2</v>
      </c>
      <c r="T10" s="124">
        <f t="shared" ref="T10:T15" si="17">P10/O10</f>
        <v>1.0651941777522556</v>
      </c>
      <c r="U10" s="124">
        <f t="shared" ref="U10:U15" si="18">Q10/O10</f>
        <v>0.75746289906933262</v>
      </c>
    </row>
    <row r="11" spans="1:21" ht="16">
      <c r="A11" s="73">
        <v>40999</v>
      </c>
      <c r="B11" s="155">
        <v>2059.7399999999998</v>
      </c>
      <c r="C11">
        <v>19126109.5</v>
      </c>
      <c r="D11">
        <f>361900+9305</f>
        <v>371205</v>
      </c>
      <c r="E11" s="119">
        <v>578442</v>
      </c>
      <c r="F11" s="119">
        <v>101550</v>
      </c>
      <c r="G11" s="119">
        <v>845698</v>
      </c>
      <c r="H11" s="119">
        <f t="shared" si="0"/>
        <v>949647</v>
      </c>
      <c r="I11" s="120">
        <f t="shared" si="7"/>
        <v>679992</v>
      </c>
      <c r="J11" s="121">
        <f t="shared" si="13"/>
        <v>1.0769257595226044E-4</v>
      </c>
      <c r="K11" s="122">
        <f t="shared" ref="K11:Q11" si="19">$J11*C11</f>
        <v>2059.7399999999998</v>
      </c>
      <c r="L11" s="123">
        <f t="shared" si="19"/>
        <v>39.976022656358836</v>
      </c>
      <c r="M11" s="123">
        <f t="shared" si="19"/>
        <v>62.29390901897743</v>
      </c>
      <c r="N11" s="123">
        <f t="shared" si="19"/>
        <v>10.936181087952047</v>
      </c>
      <c r="O11" s="123">
        <f t="shared" si="19"/>
        <v>91.075396097674741</v>
      </c>
      <c r="P11" s="123">
        <f t="shared" si="19"/>
        <v>102.26993167533627</v>
      </c>
      <c r="Q11" s="123">
        <f t="shared" si="19"/>
        <v>73.230090106929481</v>
      </c>
      <c r="R11" s="124">
        <f t="shared" si="15"/>
        <v>0.43893328351255417</v>
      </c>
      <c r="S11" s="124">
        <f t="shared" si="16"/>
        <v>1.9408285830424636E-2</v>
      </c>
      <c r="T11" s="124">
        <f t="shared" si="17"/>
        <v>1.1229150358638664</v>
      </c>
      <c r="U11" s="124">
        <f t="shared" si="18"/>
        <v>0.8040600781839381</v>
      </c>
    </row>
    <row r="12" spans="1:21" ht="16">
      <c r="A12" s="73">
        <v>41029</v>
      </c>
      <c r="B12" s="118">
        <v>2065.3000000000002</v>
      </c>
      <c r="C12">
        <v>19123581</v>
      </c>
      <c r="D12">
        <f>278138+8169</f>
        <v>286307</v>
      </c>
      <c r="E12" s="119">
        <v>470983</v>
      </c>
      <c r="F12" s="119">
        <v>86635</v>
      </c>
      <c r="G12" s="119">
        <v>835997</v>
      </c>
      <c r="H12" s="119">
        <f t="shared" si="0"/>
        <v>757290</v>
      </c>
      <c r="I12" s="120">
        <f t="shared" si="7"/>
        <v>557618</v>
      </c>
      <c r="J12" s="121">
        <f t="shared" si="13"/>
        <v>1.0799755547875684E-4</v>
      </c>
      <c r="K12" s="122">
        <f t="shared" ref="K12:Q13" si="20">$J12*C12</f>
        <v>2065.3000000000002</v>
      </c>
      <c r="L12" s="123">
        <f t="shared" si="20"/>
        <v>30.920456116456435</v>
      </c>
      <c r="M12" s="123">
        <f t="shared" si="20"/>
        <v>50.865012672051336</v>
      </c>
      <c r="N12" s="123">
        <f t="shared" si="20"/>
        <v>9.356368218902098</v>
      </c>
      <c r="O12" s="123">
        <f t="shared" si="20"/>
        <v>90.285632387574282</v>
      </c>
      <c r="P12" s="123">
        <f t="shared" si="20"/>
        <v>81.785468788507771</v>
      </c>
      <c r="Q12" s="123">
        <f t="shared" si="20"/>
        <v>60.221380890953434</v>
      </c>
      <c r="R12" s="124">
        <f t="shared" si="15"/>
        <v>0.3424737170109462</v>
      </c>
      <c r="S12" s="124">
        <f t="shared" si="16"/>
        <v>1.4971411473614697E-2</v>
      </c>
      <c r="T12" s="124">
        <f t="shared" si="17"/>
        <v>0.9058525329636351</v>
      </c>
      <c r="U12" s="124">
        <f t="shared" si="18"/>
        <v>0.66700957060850696</v>
      </c>
    </row>
    <row r="13" spans="1:21" ht="16">
      <c r="A13" s="73">
        <v>41060</v>
      </c>
      <c r="B13" s="118">
        <v>2096.96</v>
      </c>
      <c r="C13">
        <v>19336209</v>
      </c>
      <c r="D13">
        <f>359632+11617</f>
        <v>371249</v>
      </c>
      <c r="E13" s="119">
        <v>594591</v>
      </c>
      <c r="F13" s="119">
        <v>96361</v>
      </c>
      <c r="G13" s="119">
        <v>848108</v>
      </c>
      <c r="H13" s="119">
        <f t="shared" si="0"/>
        <v>965840</v>
      </c>
      <c r="I13" s="120">
        <f t="shared" si="7"/>
        <v>690952</v>
      </c>
      <c r="J13" s="121">
        <f t="shared" si="13"/>
        <v>1.0844731767224899E-4</v>
      </c>
      <c r="K13" s="122">
        <f t="shared" si="20"/>
        <v>2096.96</v>
      </c>
      <c r="L13" s="123">
        <f t="shared" si="20"/>
        <v>40.26095823850477</v>
      </c>
      <c r="M13" s="123">
        <f t="shared" si="20"/>
        <v>64.481799062060205</v>
      </c>
      <c r="N13" s="123">
        <f t="shared" si="20"/>
        <v>10.450091978215585</v>
      </c>
      <c r="O13" s="123">
        <f t="shared" si="20"/>
        <v>91.97503769637575</v>
      </c>
      <c r="P13" s="123">
        <f t="shared" si="20"/>
        <v>104.74275730056497</v>
      </c>
      <c r="Q13" s="123">
        <f t="shared" si="20"/>
        <v>74.931891040275787</v>
      </c>
      <c r="R13" s="124">
        <f t="shared" si="15"/>
        <v>0.43773788243950068</v>
      </c>
      <c r="S13" s="124">
        <f t="shared" si="16"/>
        <v>1.9199678696067052E-2</v>
      </c>
      <c r="T13" s="124">
        <f t="shared" si="17"/>
        <v>1.1388172261079959</v>
      </c>
      <c r="U13" s="124">
        <f t="shared" si="18"/>
        <v>0.81469812806859498</v>
      </c>
    </row>
    <row r="14" spans="1:21" ht="16">
      <c r="A14" s="73">
        <v>41090</v>
      </c>
      <c r="B14" s="118">
        <v>2098.96</v>
      </c>
      <c r="C14">
        <v>19075239</v>
      </c>
      <c r="D14">
        <f>359313+14394</f>
        <v>373707</v>
      </c>
      <c r="E14" s="119">
        <v>597633</v>
      </c>
      <c r="F14" s="119">
        <v>95895</v>
      </c>
      <c r="G14" s="119">
        <v>848045</v>
      </c>
      <c r="H14" s="119">
        <f t="shared" si="0"/>
        <v>971340</v>
      </c>
      <c r="I14" s="120">
        <f t="shared" si="7"/>
        <v>693528</v>
      </c>
      <c r="J14" s="121">
        <f t="shared" si="13"/>
        <v>1.1003584280123567E-4</v>
      </c>
      <c r="K14" s="122">
        <f t="shared" ref="K14:Q15" si="21">$J14*C14</f>
        <v>2098.96</v>
      </c>
      <c r="L14" s="123">
        <f t="shared" si="21"/>
        <v>41.121164705721377</v>
      </c>
      <c r="M14" s="123">
        <f t="shared" si="21"/>
        <v>65.761050840830876</v>
      </c>
      <c r="N14" s="123">
        <f t="shared" si="21"/>
        <v>10.551887145424494</v>
      </c>
      <c r="O14" s="123">
        <f t="shared" si="21"/>
        <v>93.315346308373904</v>
      </c>
      <c r="P14" s="123">
        <f t="shared" si="21"/>
        <v>106.88221554655226</v>
      </c>
      <c r="Q14" s="123">
        <f t="shared" si="21"/>
        <v>76.312937986255378</v>
      </c>
      <c r="R14" s="124">
        <f t="shared" si="15"/>
        <v>0.4406688324322412</v>
      </c>
      <c r="S14" s="124">
        <f t="shared" si="16"/>
        <v>1.9591209315909488E-2</v>
      </c>
      <c r="T14" s="124">
        <f t="shared" si="17"/>
        <v>1.1453873320401631</v>
      </c>
      <c r="U14" s="124">
        <f t="shared" si="18"/>
        <v>0.81779622543615027</v>
      </c>
    </row>
    <row r="15" spans="1:21" ht="16">
      <c r="A15" s="73">
        <v>41152</v>
      </c>
      <c r="B15" s="118">
        <v>2170.9499999999998</v>
      </c>
      <c r="C15">
        <v>19933639</v>
      </c>
      <c r="D15">
        <f>369218+12150</f>
        <v>381368</v>
      </c>
      <c r="E15">
        <v>593239.9</v>
      </c>
      <c r="F15" s="119">
        <v>85132</v>
      </c>
      <c r="G15" s="119">
        <v>843244</v>
      </c>
      <c r="H15" s="119">
        <f t="shared" si="0"/>
        <v>974607.9</v>
      </c>
      <c r="I15" s="120">
        <f t="shared" si="7"/>
        <v>678371.9</v>
      </c>
      <c r="J15" s="121">
        <f t="shared" si="13"/>
        <v>1.0890886505971137E-4</v>
      </c>
      <c r="K15" s="122">
        <f t="shared" si="21"/>
        <v>2170.9499999999998</v>
      </c>
      <c r="L15" s="123">
        <f t="shared" si="21"/>
        <v>41.534356050092008</v>
      </c>
      <c r="M15" s="123">
        <f t="shared" si="21"/>
        <v>64.609084217136669</v>
      </c>
      <c r="N15" s="123">
        <f t="shared" si="21"/>
        <v>9.271629500263348</v>
      </c>
      <c r="O15" s="123">
        <f t="shared" si="21"/>
        <v>91.836747008411251</v>
      </c>
      <c r="P15" s="123">
        <f t="shared" si="21"/>
        <v>106.14344026722868</v>
      </c>
      <c r="Q15" s="123">
        <f t="shared" si="21"/>
        <v>73.880713717400013</v>
      </c>
      <c r="R15" s="124">
        <f t="shared" si="15"/>
        <v>0.45226292745634722</v>
      </c>
      <c r="S15" s="124">
        <f t="shared" si="16"/>
        <v>1.9131880536213185E-2</v>
      </c>
      <c r="T15" s="124">
        <f t="shared" si="17"/>
        <v>1.1557839723733583</v>
      </c>
      <c r="U15" s="124">
        <f t="shared" si="18"/>
        <v>0.80447877482674057</v>
      </c>
    </row>
    <row r="16" spans="1:21" ht="16">
      <c r="A16" s="73">
        <v>41182</v>
      </c>
      <c r="B16" s="118">
        <v>2168.27</v>
      </c>
      <c r="C16">
        <v>19917170</v>
      </c>
      <c r="D16">
        <v>367339</v>
      </c>
      <c r="E16" s="119">
        <v>588442</v>
      </c>
      <c r="F16" s="119">
        <v>89369</v>
      </c>
      <c r="G16" s="119">
        <v>847378</v>
      </c>
      <c r="H16" s="119">
        <f t="shared" si="0"/>
        <v>955781</v>
      </c>
      <c r="I16" s="120">
        <f t="shared" si="7"/>
        <v>677811</v>
      </c>
      <c r="J16" s="121">
        <f t="shared" si="13"/>
        <v>1.0886436175420504E-4</v>
      </c>
      <c r="K16" s="122">
        <f t="shared" ref="K16:Q17" si="22">$J16*C16</f>
        <v>2168.27</v>
      </c>
      <c r="L16" s="123">
        <f t="shared" si="22"/>
        <v>39.990125782427924</v>
      </c>
      <c r="M16" s="123">
        <f t="shared" si="22"/>
        <v>64.060362759367919</v>
      </c>
      <c r="N16" s="123">
        <f t="shared" si="22"/>
        <v>9.7290991456115492</v>
      </c>
      <c r="O16" s="123">
        <f t="shared" si="22"/>
        <v>92.249265134554761</v>
      </c>
      <c r="P16" s="123">
        <f t="shared" si="22"/>
        <v>104.05048854179584</v>
      </c>
      <c r="Q16" s="123">
        <f t="shared" si="22"/>
        <v>73.789461904979476</v>
      </c>
      <c r="R16" s="124">
        <f>L16/O16</f>
        <v>0.43350075173063257</v>
      </c>
      <c r="S16" s="124">
        <f>L16/K16</f>
        <v>1.8443333063884074E-2</v>
      </c>
      <c r="T16" s="124">
        <f>P16/O16</f>
        <v>1.1279275600735443</v>
      </c>
      <c r="U16" s="124">
        <f>Q16/O16</f>
        <v>0.7998921378652738</v>
      </c>
    </row>
    <row r="17" spans="1:21" ht="16">
      <c r="A17" s="73">
        <v>41213</v>
      </c>
      <c r="B17" s="118">
        <v>2126.41</v>
      </c>
      <c r="C17">
        <v>19516057</v>
      </c>
      <c r="D17">
        <v>277522</v>
      </c>
      <c r="E17" s="119">
        <v>451147</v>
      </c>
      <c r="F17" s="119">
        <v>78524</v>
      </c>
      <c r="G17" s="119">
        <v>846267</v>
      </c>
      <c r="H17" s="119">
        <f t="shared" si="0"/>
        <v>728669</v>
      </c>
      <c r="I17" s="120">
        <f t="shared" si="7"/>
        <v>529671</v>
      </c>
      <c r="J17" s="121">
        <f t="shared" si="13"/>
        <v>1.0895694760473388E-4</v>
      </c>
      <c r="K17" s="122">
        <f t="shared" si="22"/>
        <v>2126.41</v>
      </c>
      <c r="L17" s="123">
        <f t="shared" si="22"/>
        <v>30.237950013160955</v>
      </c>
      <c r="M17" s="123">
        <f t="shared" si="22"/>
        <v>49.155600041032876</v>
      </c>
      <c r="N17" s="123">
        <f t="shared" si="22"/>
        <v>8.5557353537141232</v>
      </c>
      <c r="O17" s="123">
        <f t="shared" si="22"/>
        <v>92.206669178615329</v>
      </c>
      <c r="P17" s="123">
        <f t="shared" si="22"/>
        <v>79.393550054193824</v>
      </c>
      <c r="Q17" s="123">
        <f t="shared" si="22"/>
        <v>57.711335394746996</v>
      </c>
      <c r="R17" s="124">
        <f>L17/O17</f>
        <v>0.32793669137518061</v>
      </c>
      <c r="S17" s="124">
        <f>L17/K17</f>
        <v>1.4220188022611329E-2</v>
      </c>
      <c r="T17" s="124">
        <f>P17/O17</f>
        <v>0.86103912831293183</v>
      </c>
      <c r="U17" s="124">
        <f>Q17/O17</f>
        <v>0.62589111946938725</v>
      </c>
    </row>
    <row r="18" spans="1:21" ht="16">
      <c r="A18" s="73">
        <v>41243</v>
      </c>
      <c r="B18" s="118">
        <v>2198.81</v>
      </c>
      <c r="C18">
        <v>20107276</v>
      </c>
      <c r="D18">
        <f>360726.5+8696</f>
        <v>369422.5</v>
      </c>
      <c r="E18">
        <v>554869.30000000005</v>
      </c>
      <c r="F18" s="119">
        <v>86206</v>
      </c>
      <c r="G18" s="119">
        <v>872851</v>
      </c>
      <c r="H18" s="119">
        <f t="shared" si="0"/>
        <v>924291.8</v>
      </c>
      <c r="I18" s="120">
        <f t="shared" si="7"/>
        <v>641075.30000000005</v>
      </c>
      <c r="J18" s="121">
        <f>B18/C18</f>
        <v>1.0935394729748574E-4</v>
      </c>
      <c r="K18" s="122">
        <f t="shared" ref="K18:Q19" si="23">$J18*C18</f>
        <v>2198.81</v>
      </c>
      <c r="L18" s="123">
        <f t="shared" si="23"/>
        <v>40.397808595505424</v>
      </c>
      <c r="M18" s="123">
        <f t="shared" si="23"/>
        <v>60.677148189192813</v>
      </c>
      <c r="N18" s="123">
        <f t="shared" si="23"/>
        <v>9.4269663807270554</v>
      </c>
      <c r="O18" s="123">
        <f t="shared" si="23"/>
        <v>95.449702252557728</v>
      </c>
      <c r="P18" s="123">
        <f t="shared" si="23"/>
        <v>101.07495678469823</v>
      </c>
      <c r="Q18" s="123">
        <f t="shared" si="23"/>
        <v>70.104114569919872</v>
      </c>
      <c r="R18" s="124">
        <f>L18/O18</f>
        <v>0.42323661197615625</v>
      </c>
      <c r="S18" s="124">
        <f>L18/K18</f>
        <v>1.83725781652373E-2</v>
      </c>
      <c r="T18" s="124">
        <f>P18/O18</f>
        <v>1.0589342281786926</v>
      </c>
      <c r="U18" s="124">
        <f>Q18/O18</f>
        <v>0.73446132272289322</v>
      </c>
    </row>
    <row r="19" spans="1:21" ht="16">
      <c r="A19" s="73">
        <v>41274</v>
      </c>
      <c r="B19" s="118">
        <v>2238.83</v>
      </c>
      <c r="C19">
        <v>20443576.600000001</v>
      </c>
      <c r="D19">
        <f>359942+9238</f>
        <v>369180</v>
      </c>
      <c r="E19" s="119">
        <v>543217</v>
      </c>
      <c r="F19" s="119">
        <v>85882</v>
      </c>
      <c r="G19" s="119">
        <v>872102</v>
      </c>
      <c r="H19" s="119">
        <f t="shared" si="0"/>
        <v>912397</v>
      </c>
      <c r="I19" s="120">
        <f t="shared" si="7"/>
        <v>629099</v>
      </c>
      <c r="J19" s="121">
        <f>B19/C19</f>
        <v>1.0951263782287487E-4</v>
      </c>
      <c r="K19" s="122">
        <f t="shared" si="23"/>
        <v>2238.83</v>
      </c>
      <c r="L19" s="123">
        <f t="shared" ref="L19:Q20" si="24">$J19*D19</f>
        <v>40.429875631448944</v>
      </c>
      <c r="M19" s="123">
        <f t="shared" si="24"/>
        <v>59.489126580228621</v>
      </c>
      <c r="N19" s="123">
        <f t="shared" si="24"/>
        <v>9.4051643615041396</v>
      </c>
      <c r="O19" s="123">
        <f t="shared" si="24"/>
        <v>95.506190470604821</v>
      </c>
      <c r="P19" s="123">
        <f t="shared" si="24"/>
        <v>99.919002211677565</v>
      </c>
      <c r="Q19" s="123">
        <f t="shared" si="24"/>
        <v>68.894290941732763</v>
      </c>
      <c r="R19" s="124">
        <f>L19/O19</f>
        <v>0.42332204260510808</v>
      </c>
      <c r="S19" s="124">
        <f>L19/K19</f>
        <v>1.8058483954319419E-2</v>
      </c>
      <c r="T19" s="124">
        <f>P19/O19</f>
        <v>1.0462044577354483</v>
      </c>
      <c r="U19" s="124">
        <f>Q19/O19</f>
        <v>0.72135942814028642</v>
      </c>
    </row>
    <row r="20" spans="1:21" ht="16">
      <c r="A20" s="73">
        <v>41305</v>
      </c>
      <c r="B20" s="118">
        <v>2278.87</v>
      </c>
      <c r="C20">
        <v>20818728.300000001</v>
      </c>
      <c r="D20">
        <f>247097+5399</f>
        <v>252496</v>
      </c>
      <c r="E20" s="119">
        <v>372491</v>
      </c>
      <c r="F20" s="119">
        <v>87186</v>
      </c>
      <c r="G20" s="119">
        <v>906789</v>
      </c>
      <c r="H20" s="119">
        <f t="shared" si="0"/>
        <v>624987</v>
      </c>
      <c r="I20" s="120">
        <f t="shared" si="7"/>
        <v>459677</v>
      </c>
      <c r="J20" s="121">
        <f>B20/C20</f>
        <v>1.0946249776457286E-4</v>
      </c>
      <c r="K20" s="122">
        <f>$J20*C20</f>
        <v>2278.87</v>
      </c>
      <c r="L20" s="123">
        <f t="shared" si="24"/>
        <v>27.63884283556359</v>
      </c>
      <c r="M20" s="123">
        <f t="shared" si="24"/>
        <v>40.773795254823511</v>
      </c>
      <c r="N20" s="123">
        <f t="shared" si="24"/>
        <v>9.5435973301020489</v>
      </c>
      <c r="O20" s="123">
        <f t="shared" si="24"/>
        <v>99.259388885439265</v>
      </c>
      <c r="P20" s="123">
        <f t="shared" si="24"/>
        <v>68.412638090387105</v>
      </c>
      <c r="Q20" s="123">
        <f t="shared" si="24"/>
        <v>50.317392584925557</v>
      </c>
      <c r="R20" s="124">
        <f>L20/O20</f>
        <v>0.27845066492866588</v>
      </c>
      <c r="S20" s="124">
        <f>L20/K20</f>
        <v>1.212831045016328E-2</v>
      </c>
      <c r="T20" s="124">
        <f>P20/O20</f>
        <v>0.68923090156585498</v>
      </c>
      <c r="U20" s="124">
        <f>Q20/O20</f>
        <v>0.50692829313103704</v>
      </c>
    </row>
    <row r="21" spans="1:21">
      <c r="A21" s="73">
        <v>41333</v>
      </c>
    </row>
    <row r="22" spans="1:21" ht="16">
      <c r="A22" s="73">
        <v>41364</v>
      </c>
      <c r="B22" s="118">
        <v>2362.7199999999998</v>
      </c>
      <c r="C22">
        <v>21572562.300000001</v>
      </c>
      <c r="D22">
        <f>363825.1+10190</f>
        <v>374015.1</v>
      </c>
      <c r="E22" s="119">
        <v>537011</v>
      </c>
      <c r="F22" s="119">
        <v>89251</v>
      </c>
      <c r="G22" s="119">
        <v>926091</v>
      </c>
      <c r="H22" s="119">
        <f>D22+E22</f>
        <v>911026.1</v>
      </c>
      <c r="I22" s="120">
        <f>E22+F22</f>
        <v>626262</v>
      </c>
      <c r="J22" s="121">
        <f>B22/C22</f>
        <v>1.0952430996108421E-4</v>
      </c>
      <c r="K22" s="122">
        <f t="shared" ref="K22:Q22" si="25">$J22*C22</f>
        <v>2362.7199999999998</v>
      </c>
      <c r="L22" s="123">
        <f t="shared" si="25"/>
        <v>40.963745742525909</v>
      </c>
      <c r="M22" s="123">
        <f t="shared" si="25"/>
        <v>58.815759216511793</v>
      </c>
      <c r="N22" s="123">
        <f t="shared" si="25"/>
        <v>9.7751541883367281</v>
      </c>
      <c r="O22" s="123">
        <f t="shared" si="25"/>
        <v>101.42947773617044</v>
      </c>
      <c r="P22" s="123">
        <f t="shared" si="25"/>
        <v>99.779504959037695</v>
      </c>
      <c r="Q22" s="123">
        <f t="shared" si="25"/>
        <v>68.590913404848521</v>
      </c>
      <c r="R22" s="124">
        <f>L22/O22</f>
        <v>0.4038643070713353</v>
      </c>
      <c r="S22" s="124">
        <f>L22/K22</f>
        <v>1.7337537136235318E-2</v>
      </c>
      <c r="T22" s="124">
        <f>P22/O22</f>
        <v>0.98373280811496921</v>
      </c>
      <c r="U22" s="124">
        <f>Q22/O22</f>
        <v>0.67624239950501619</v>
      </c>
    </row>
    <row r="23" spans="1:21">
      <c r="A23" s="73">
        <v>41394</v>
      </c>
    </row>
    <row r="24" spans="1:21" ht="16">
      <c r="A24" s="73">
        <v>41425</v>
      </c>
      <c r="B24" s="118">
        <v>2430.06</v>
      </c>
      <c r="C24">
        <v>22209214</v>
      </c>
      <c r="D24">
        <v>364899.1</v>
      </c>
      <c r="E24" s="119">
        <v>508712</v>
      </c>
      <c r="F24" s="119">
        <v>85032</v>
      </c>
      <c r="G24" s="119">
        <v>955904</v>
      </c>
      <c r="H24" s="119">
        <f t="shared" ref="H24:I27" si="26">D24+E24</f>
        <v>873611.1</v>
      </c>
      <c r="I24" s="120">
        <f t="shared" si="26"/>
        <v>593744</v>
      </c>
      <c r="J24" s="121">
        <f t="shared" ref="J24:J29" si="27">B24/C24</f>
        <v>1.0941674928252751E-4</v>
      </c>
      <c r="K24" s="122">
        <f t="shared" ref="K24:Q24" si="28">$J24*C24</f>
        <v>2430.06</v>
      </c>
      <c r="L24" s="123">
        <f t="shared" si="28"/>
        <v>39.926073338119934</v>
      </c>
      <c r="M24" s="123">
        <f t="shared" si="28"/>
        <v>55.661613361013139</v>
      </c>
      <c r="N24" s="123">
        <f t="shared" si="28"/>
        <v>9.3039250249918801</v>
      </c>
      <c r="O24" s="123">
        <f t="shared" si="28"/>
        <v>104.59190830616518</v>
      </c>
      <c r="P24" s="123">
        <f t="shared" si="28"/>
        <v>95.587686699133073</v>
      </c>
      <c r="Q24" s="123">
        <f t="shared" si="28"/>
        <v>64.965538386005022</v>
      </c>
      <c r="R24" s="124">
        <f t="shared" ref="R24:R29" si="29">L24/O24</f>
        <v>0.38173195216256023</v>
      </c>
      <c r="S24" s="124">
        <f t="shared" ref="S24:S29" si="30">L24/K24</f>
        <v>1.6430077174275505E-2</v>
      </c>
      <c r="T24" s="124">
        <f t="shared" ref="T24:T29" si="31">P24/O24</f>
        <v>0.91391091574049277</v>
      </c>
      <c r="U24" s="124">
        <f t="shared" ref="U24:U29" si="32">Q24/O24</f>
        <v>0.62113350294590253</v>
      </c>
    </row>
    <row r="25" spans="1:21" ht="16">
      <c r="A25" s="73">
        <v>41455</v>
      </c>
      <c r="B25">
        <v>2423.41</v>
      </c>
      <c r="C25">
        <v>22121323.800000001</v>
      </c>
      <c r="D25">
        <f>362613+3282</f>
        <v>365895</v>
      </c>
      <c r="E25">
        <v>509083</v>
      </c>
      <c r="F25">
        <v>85031</v>
      </c>
      <c r="G25">
        <v>963795</v>
      </c>
      <c r="H25" s="119">
        <f t="shared" si="26"/>
        <v>874978</v>
      </c>
      <c r="I25" s="120">
        <f t="shared" si="26"/>
        <v>594114</v>
      </c>
      <c r="J25" s="121">
        <f t="shared" si="27"/>
        <v>1.0955085789214837E-4</v>
      </c>
      <c r="K25" s="122">
        <f t="shared" ref="K25:Q25" si="33">$J25*C25</f>
        <v>2423.41</v>
      </c>
      <c r="L25" s="123">
        <f t="shared" si="33"/>
        <v>40.084111148447626</v>
      </c>
      <c r="M25" s="123">
        <f t="shared" si="33"/>
        <v>55.770479388308573</v>
      </c>
      <c r="N25" s="123">
        <f t="shared" si="33"/>
        <v>9.3152189974272677</v>
      </c>
      <c r="O25" s="123">
        <f t="shared" si="33"/>
        <v>105.58456908216314</v>
      </c>
      <c r="P25" s="123">
        <f t="shared" si="33"/>
        <v>95.854590536756206</v>
      </c>
      <c r="Q25" s="123">
        <f t="shared" si="33"/>
        <v>65.085698385735839</v>
      </c>
      <c r="R25" s="124">
        <f t="shared" si="29"/>
        <v>0.37963986117379728</v>
      </c>
      <c r="S25" s="124">
        <f t="shared" si="30"/>
        <v>1.6540375400137669E-2</v>
      </c>
      <c r="T25" s="124">
        <f t="shared" si="31"/>
        <v>0.90784658563283693</v>
      </c>
      <c r="U25" s="124">
        <f t="shared" si="32"/>
        <v>0.61643191757583304</v>
      </c>
    </row>
    <row r="26" spans="1:21" ht="16">
      <c r="A26" s="73">
        <v>41486</v>
      </c>
      <c r="B26" s="118">
        <v>2470.3000000000002</v>
      </c>
      <c r="C26">
        <v>22519701.199999999</v>
      </c>
      <c r="D26">
        <v>289134</v>
      </c>
      <c r="E26" s="119">
        <v>411244</v>
      </c>
      <c r="F26" s="119">
        <v>66289</v>
      </c>
      <c r="G26" s="119">
        <v>989342</v>
      </c>
      <c r="H26" s="119">
        <f t="shared" si="26"/>
        <v>700378</v>
      </c>
      <c r="I26" s="120">
        <f t="shared" si="26"/>
        <v>477533</v>
      </c>
      <c r="J26" s="121">
        <f t="shared" si="27"/>
        <v>1.0969506114050928E-4</v>
      </c>
      <c r="K26" s="122">
        <f t="shared" ref="K26:Q26" si="34">$J26*C26</f>
        <v>2470.3000000000002</v>
      </c>
      <c r="L26" s="123">
        <f t="shared" si="34"/>
        <v>31.716571807800012</v>
      </c>
      <c r="M26" s="123">
        <f t="shared" si="34"/>
        <v>45.111435723667597</v>
      </c>
      <c r="N26" s="123">
        <f t="shared" si="34"/>
        <v>7.2715759079432196</v>
      </c>
      <c r="O26" s="123">
        <f t="shared" si="34"/>
        <v>108.52593117887373</v>
      </c>
      <c r="P26" s="123">
        <f t="shared" si="34"/>
        <v>76.828007531467605</v>
      </c>
      <c r="Q26" s="123">
        <f t="shared" si="34"/>
        <v>52.38301163161082</v>
      </c>
      <c r="R26" s="124">
        <f t="shared" si="29"/>
        <v>0.29224878757800643</v>
      </c>
      <c r="S26" s="124">
        <f t="shared" si="30"/>
        <v>1.2839157919200102E-2</v>
      </c>
      <c r="T26" s="124">
        <f t="shared" si="31"/>
        <v>0.70792304380082915</v>
      </c>
      <c r="U26" s="124">
        <f t="shared" si="32"/>
        <v>0.48267737546773515</v>
      </c>
    </row>
    <row r="27" spans="1:21" ht="16">
      <c r="A27" s="73">
        <v>41517</v>
      </c>
      <c r="B27">
        <v>2417.65</v>
      </c>
      <c r="C27">
        <v>22448306.600000001</v>
      </c>
      <c r="D27">
        <v>371495</v>
      </c>
      <c r="E27">
        <v>507930</v>
      </c>
      <c r="F27">
        <v>81741</v>
      </c>
      <c r="G27">
        <v>987268</v>
      </c>
      <c r="H27" s="119">
        <f t="shared" si="26"/>
        <v>879425</v>
      </c>
      <c r="I27" s="120">
        <f t="shared" si="26"/>
        <v>589671</v>
      </c>
      <c r="J27" s="121">
        <f t="shared" si="27"/>
        <v>1.0769854684718178E-4</v>
      </c>
      <c r="K27" s="122">
        <f t="shared" ref="K27:Q27" si="35">$J27*C27</f>
        <v>2417.65</v>
      </c>
      <c r="L27" s="123">
        <f t="shared" si="35"/>
        <v>40.009471660993796</v>
      </c>
      <c r="M27" s="123">
        <f t="shared" si="35"/>
        <v>54.703322900089042</v>
      </c>
      <c r="N27" s="123">
        <f t="shared" si="35"/>
        <v>8.8033869178354855</v>
      </c>
      <c r="O27" s="123">
        <f t="shared" si="35"/>
        <v>106.32732894872346</v>
      </c>
      <c r="P27" s="123">
        <f t="shared" si="35"/>
        <v>94.712794561082831</v>
      </c>
      <c r="Q27" s="123">
        <f t="shared" si="35"/>
        <v>63.506709817924524</v>
      </c>
      <c r="R27" s="124">
        <f t="shared" si="29"/>
        <v>0.3762858717187228</v>
      </c>
      <c r="S27" s="124">
        <f t="shared" si="30"/>
        <v>1.6548909751615739E-2</v>
      </c>
      <c r="T27" s="124">
        <f t="shared" si="31"/>
        <v>0.8907662357130991</v>
      </c>
      <c r="U27" s="124">
        <f t="shared" si="32"/>
        <v>0.597275511816447</v>
      </c>
    </row>
    <row r="28" spans="1:21" ht="16">
      <c r="A28" s="73">
        <v>41547</v>
      </c>
      <c r="B28" s="118">
        <v>2519.36</v>
      </c>
      <c r="C28">
        <v>22902823</v>
      </c>
      <c r="D28">
        <f>370671+3729</f>
        <v>374400</v>
      </c>
      <c r="E28" s="119">
        <v>501871</v>
      </c>
      <c r="F28" s="119">
        <v>82365</v>
      </c>
      <c r="G28" s="119">
        <v>989591</v>
      </c>
      <c r="H28" s="119">
        <f t="shared" ref="H28:I30" si="36">D28+E28</f>
        <v>876271</v>
      </c>
      <c r="I28" s="120">
        <f t="shared" si="36"/>
        <v>584236</v>
      </c>
      <c r="J28" s="121">
        <f t="shared" si="27"/>
        <v>1.1000215999573503E-4</v>
      </c>
      <c r="K28" s="122">
        <f t="shared" ref="K28:Q29" si="37">$J28*C28</f>
        <v>2519.36</v>
      </c>
      <c r="L28" s="123">
        <f t="shared" si="37"/>
        <v>41.184808702403195</v>
      </c>
      <c r="M28" s="123">
        <f t="shared" si="37"/>
        <v>55.206894039219534</v>
      </c>
      <c r="N28" s="123">
        <f t="shared" si="37"/>
        <v>9.0603279080487162</v>
      </c>
      <c r="O28" s="123">
        <f t="shared" si="37"/>
        <v>108.85714751233942</v>
      </c>
      <c r="P28" s="123">
        <f t="shared" si="37"/>
        <v>96.391702741622723</v>
      </c>
      <c r="Q28" s="123">
        <f t="shared" si="37"/>
        <v>64.267221947268254</v>
      </c>
      <c r="R28" s="124">
        <f t="shared" si="29"/>
        <v>0.37833812150676394</v>
      </c>
      <c r="S28" s="124">
        <f t="shared" si="30"/>
        <v>1.6347329759305217E-2</v>
      </c>
      <c r="T28" s="124">
        <f t="shared" si="31"/>
        <v>0.88548804506104029</v>
      </c>
      <c r="U28" s="124">
        <f t="shared" si="32"/>
        <v>0.59038127873030377</v>
      </c>
    </row>
    <row r="29" spans="1:21" ht="16">
      <c r="A29" s="73">
        <v>41578</v>
      </c>
      <c r="B29">
        <v>2575.2600000000002</v>
      </c>
      <c r="C29">
        <v>23369534.5</v>
      </c>
      <c r="D29">
        <f>285171+5528</f>
        <v>290699</v>
      </c>
      <c r="E29">
        <v>418418</v>
      </c>
      <c r="F29">
        <v>76878</v>
      </c>
      <c r="G29">
        <v>982449.5</v>
      </c>
      <c r="H29" s="119">
        <f t="shared" si="36"/>
        <v>709117</v>
      </c>
      <c r="I29" s="120">
        <f t="shared" si="36"/>
        <v>495296</v>
      </c>
      <c r="J29" s="121">
        <f t="shared" si="27"/>
        <v>1.1019731693842683E-4</v>
      </c>
      <c r="K29" s="122">
        <f t="shared" si="37"/>
        <v>2575.2600000000002</v>
      </c>
      <c r="L29" s="123">
        <f t="shared" si="37"/>
        <v>32.034249836683742</v>
      </c>
      <c r="M29" s="123">
        <f t="shared" si="37"/>
        <v>46.108540958742672</v>
      </c>
      <c r="N29" s="123">
        <f t="shared" si="37"/>
        <v>8.4717493315923775</v>
      </c>
      <c r="O29" s="123">
        <f t="shared" si="37"/>
        <v>108.26329892749897</v>
      </c>
      <c r="P29" s="123">
        <f t="shared" si="37"/>
        <v>78.142790795426421</v>
      </c>
      <c r="Q29" s="123">
        <f t="shared" si="37"/>
        <v>54.58029029033505</v>
      </c>
      <c r="R29" s="124">
        <f t="shared" si="29"/>
        <v>0.29589205348468295</v>
      </c>
      <c r="S29" s="124">
        <f t="shared" si="30"/>
        <v>1.243922937361033E-2</v>
      </c>
      <c r="T29" s="124">
        <f t="shared" si="31"/>
        <v>0.72178468206253865</v>
      </c>
      <c r="U29" s="124">
        <f t="shared" si="32"/>
        <v>0.50414397890171447</v>
      </c>
    </row>
    <row r="30" spans="1:21" ht="16">
      <c r="A30" s="73">
        <v>41608</v>
      </c>
      <c r="B30" s="118">
        <v>2647.58</v>
      </c>
      <c r="C30">
        <v>24029080</v>
      </c>
      <c r="D30">
        <v>374193.3</v>
      </c>
      <c r="E30" s="119">
        <v>523718</v>
      </c>
      <c r="F30" s="119">
        <v>87041</v>
      </c>
      <c r="G30" s="119">
        <v>988610</v>
      </c>
      <c r="H30" s="119">
        <f t="shared" si="36"/>
        <v>897911.3</v>
      </c>
      <c r="I30" s="120">
        <f t="shared" si="36"/>
        <v>610759</v>
      </c>
      <c r="J30" s="121">
        <f t="shared" ref="J30:J35" si="38">B30/C30</f>
        <v>1.101823290779339E-4</v>
      </c>
      <c r="K30" s="122">
        <f t="shared" ref="K30:Q30" si="39">$J30*C30</f>
        <v>2647.58</v>
      </c>
      <c r="L30" s="123">
        <f t="shared" si="39"/>
        <v>41.229489319358045</v>
      </c>
      <c r="M30" s="123">
        <f t="shared" si="39"/>
        <v>57.704469020037386</v>
      </c>
      <c r="N30" s="123">
        <f t="shared" si="39"/>
        <v>9.5903801052724447</v>
      </c>
      <c r="O30" s="123">
        <f t="shared" si="39"/>
        <v>108.92735234973622</v>
      </c>
      <c r="P30" s="123">
        <f t="shared" si="39"/>
        <v>98.933958339395431</v>
      </c>
      <c r="Q30" s="123">
        <f t="shared" si="39"/>
        <v>67.294849125309824</v>
      </c>
      <c r="R30" s="124">
        <f t="shared" ref="R30:R35" si="40">L30/O30</f>
        <v>0.37850446586621622</v>
      </c>
      <c r="S30" s="124">
        <f t="shared" ref="S30:S35" si="41">L30/K30</f>
        <v>1.5572518798056356E-2</v>
      </c>
      <c r="T30" s="124">
        <f t="shared" ref="T30:T35" si="42">P30/O30</f>
        <v>0.90825633970928887</v>
      </c>
      <c r="U30" s="124">
        <f t="shared" ref="U30:U35" si="43">Q30/O30</f>
        <v>0.61779569294261638</v>
      </c>
    </row>
    <row r="31" spans="1:21" ht="16">
      <c r="A31" s="73">
        <v>41639</v>
      </c>
      <c r="B31">
        <v>2673.61</v>
      </c>
      <c r="C31">
        <v>24376166.800000001</v>
      </c>
      <c r="D31">
        <v>373252.7</v>
      </c>
      <c r="E31">
        <v>520226.1</v>
      </c>
      <c r="F31">
        <v>87910.6</v>
      </c>
      <c r="G31">
        <v>992869</v>
      </c>
      <c r="H31" s="119">
        <f t="shared" ref="H31:I35" si="44">D31+E31</f>
        <v>893478.8</v>
      </c>
      <c r="I31" s="120">
        <f t="shared" si="44"/>
        <v>608136.69999999995</v>
      </c>
      <c r="J31" s="121">
        <f t="shared" si="38"/>
        <v>1.0968131379868962E-4</v>
      </c>
      <c r="K31" s="122">
        <f t="shared" ref="K31:Q31" si="45">$J31*C31</f>
        <v>2673.61</v>
      </c>
      <c r="L31" s="123">
        <f t="shared" si="45"/>
        <v>40.938846514908157</v>
      </c>
      <c r="M31" s="123">
        <f t="shared" si="45"/>
        <v>57.059082120368487</v>
      </c>
      <c r="N31" s="123">
        <f t="shared" si="45"/>
        <v>9.6421501048310851</v>
      </c>
      <c r="O31" s="123">
        <f t="shared" si="45"/>
        <v>108.89917634999117</v>
      </c>
      <c r="P31" s="123">
        <f t="shared" si="45"/>
        <v>97.997928635276651</v>
      </c>
      <c r="Q31" s="123">
        <f t="shared" si="45"/>
        <v>66.701232225199561</v>
      </c>
      <c r="R31" s="124">
        <f t="shared" si="40"/>
        <v>0.37593348165770107</v>
      </c>
      <c r="S31" s="124">
        <f t="shared" si="41"/>
        <v>1.5312198306749359E-2</v>
      </c>
      <c r="T31" s="124">
        <f t="shared" si="42"/>
        <v>0.89989595807704748</v>
      </c>
      <c r="U31" s="124">
        <f t="shared" si="43"/>
        <v>0.61250446937108516</v>
      </c>
    </row>
    <row r="32" spans="1:21" ht="16">
      <c r="A32" s="73">
        <v>41670</v>
      </c>
      <c r="B32" s="118">
        <v>2823.81</v>
      </c>
      <c r="C32">
        <v>25604673.899999999</v>
      </c>
      <c r="D32">
        <f>298624+5529</f>
        <v>304153</v>
      </c>
      <c r="E32" s="119">
        <v>383309</v>
      </c>
      <c r="F32" s="119">
        <v>72068</v>
      </c>
      <c r="G32" s="119">
        <v>918296</v>
      </c>
      <c r="H32" s="119">
        <f t="shared" si="44"/>
        <v>687462</v>
      </c>
      <c r="I32" s="120">
        <f t="shared" si="44"/>
        <v>455377</v>
      </c>
      <c r="J32" s="121">
        <f t="shared" si="38"/>
        <v>1.1028494293770326E-4</v>
      </c>
      <c r="K32" s="122">
        <f t="shared" ref="K32:Q32" si="46">$J32*C32</f>
        <v>2823.81</v>
      </c>
      <c r="L32" s="123">
        <f t="shared" si="46"/>
        <v>33.543496249331263</v>
      </c>
      <c r="M32" s="123">
        <f t="shared" si="46"/>
        <v>42.2732111925081</v>
      </c>
      <c r="N32" s="123">
        <f t="shared" si="46"/>
        <v>7.9480152676343989</v>
      </c>
      <c r="O32" s="123">
        <f t="shared" si="46"/>
        <v>101.27422195992115</v>
      </c>
      <c r="P32" s="123">
        <f t="shared" si="46"/>
        <v>75.816707441839355</v>
      </c>
      <c r="Q32" s="123">
        <f t="shared" si="46"/>
        <v>50.221226460142496</v>
      </c>
      <c r="R32" s="124">
        <f t="shared" si="40"/>
        <v>0.33121455391289956</v>
      </c>
      <c r="S32" s="124">
        <f t="shared" si="41"/>
        <v>1.1878807798446519E-2</v>
      </c>
      <c r="T32" s="124">
        <f t="shared" si="42"/>
        <v>0.74862789340256297</v>
      </c>
      <c r="U32" s="124">
        <f t="shared" si="43"/>
        <v>0.4958934809690993</v>
      </c>
    </row>
    <row r="33" spans="1:21" ht="16">
      <c r="A33" s="73">
        <v>41698</v>
      </c>
      <c r="B33">
        <v>2713.83</v>
      </c>
      <c r="C33">
        <v>24543964.5</v>
      </c>
      <c r="D33">
        <f>329469.6+5103.5</f>
        <v>334573.09999999998</v>
      </c>
      <c r="E33">
        <v>456528</v>
      </c>
      <c r="F33">
        <v>80725</v>
      </c>
      <c r="G33">
        <v>1005336</v>
      </c>
      <c r="H33" s="119">
        <f t="shared" si="44"/>
        <v>791101.1</v>
      </c>
      <c r="I33" s="120">
        <f t="shared" si="44"/>
        <v>537253</v>
      </c>
      <c r="J33" s="121">
        <f t="shared" si="38"/>
        <v>1.105701566672328E-4</v>
      </c>
      <c r="K33" s="122">
        <f t="shared" ref="K33" si="47">$J33*C33</f>
        <v>2713.83</v>
      </c>
      <c r="L33" s="123">
        <f t="shared" ref="L33" si="48">$J33*D33</f>
        <v>36.993800083641744</v>
      </c>
      <c r="M33" s="123">
        <f t="shared" ref="M33" si="49">$J33*E33</f>
        <v>50.478372482978457</v>
      </c>
      <c r="N33" s="123">
        <f t="shared" ref="N33" si="50">$J33*F33</f>
        <v>8.9257758969623673</v>
      </c>
      <c r="O33" s="123">
        <f t="shared" ref="O33" si="51">$J33*G33</f>
        <v>111.16015902320915</v>
      </c>
      <c r="P33" s="123">
        <f t="shared" ref="P33" si="52">$J33*H33</f>
        <v>87.472172566620202</v>
      </c>
      <c r="Q33" s="123">
        <f t="shared" ref="Q33" si="53">$J33*I33</f>
        <v>59.404148379940821</v>
      </c>
      <c r="R33" s="124">
        <f t="shared" si="40"/>
        <v>0.33279729364113092</v>
      </c>
      <c r="S33" s="124">
        <f t="shared" si="41"/>
        <v>1.363158343877168E-2</v>
      </c>
      <c r="T33" s="124">
        <f t="shared" si="42"/>
        <v>0.78690218991461569</v>
      </c>
      <c r="U33" s="124">
        <f t="shared" si="43"/>
        <v>0.53440143394845108</v>
      </c>
    </row>
    <row r="34" spans="1:21" ht="16">
      <c r="A34" s="73">
        <v>41729</v>
      </c>
      <c r="B34" s="118">
        <v>2640.87</v>
      </c>
      <c r="C34">
        <v>23909563.899999999</v>
      </c>
      <c r="D34">
        <f>383383.3+5306.4</f>
        <v>388689.7</v>
      </c>
      <c r="E34" s="119">
        <v>521958</v>
      </c>
      <c r="F34" s="119">
        <v>85184</v>
      </c>
      <c r="G34" s="119">
        <v>1012082</v>
      </c>
      <c r="H34" s="119">
        <f t="shared" si="44"/>
        <v>910647.7</v>
      </c>
      <c r="I34" s="120">
        <f t="shared" si="44"/>
        <v>607142</v>
      </c>
      <c r="J34" s="121">
        <f t="shared" si="38"/>
        <v>1.1045245371455729E-4</v>
      </c>
      <c r="K34" s="122">
        <f t="shared" ref="K34" si="54">$J34*C34</f>
        <v>2640.87</v>
      </c>
      <c r="L34" s="123">
        <f t="shared" ref="L34" si="55">$J34*D34</f>
        <v>42.931731098575163</v>
      </c>
      <c r="M34" s="123">
        <f t="shared" ref="M34" si="56">$J34*E34</f>
        <v>57.651541835942893</v>
      </c>
      <c r="N34" s="123">
        <f t="shared" ref="N34" si="57">$J34*F34</f>
        <v>9.4087818172208486</v>
      </c>
      <c r="O34" s="123">
        <f t="shared" ref="O34" si="58">$J34*G34</f>
        <v>111.78694026033658</v>
      </c>
      <c r="P34" s="123">
        <f t="shared" ref="P34" si="59">$J34*H34</f>
        <v>100.58327293451805</v>
      </c>
      <c r="Q34" s="123">
        <f t="shared" ref="Q34" si="60">$J34*I34</f>
        <v>67.060323653163749</v>
      </c>
      <c r="R34" s="124">
        <f t="shared" si="40"/>
        <v>0.38404961258079878</v>
      </c>
      <c r="S34" s="124">
        <f t="shared" si="41"/>
        <v>1.6256662046437411E-2</v>
      </c>
      <c r="T34" s="124">
        <f t="shared" si="42"/>
        <v>0.89977659912931951</v>
      </c>
      <c r="U34" s="124">
        <f t="shared" si="43"/>
        <v>0.59989407972871767</v>
      </c>
    </row>
    <row r="35" spans="1:21" ht="16">
      <c r="A35" s="73">
        <v>41759</v>
      </c>
      <c r="B35">
        <v>2648.05</v>
      </c>
      <c r="C35">
        <v>23974382.300000001</v>
      </c>
      <c r="D35">
        <f>300590.7+4390.6</f>
        <v>304981.3</v>
      </c>
      <c r="E35">
        <v>428172.4</v>
      </c>
      <c r="F35">
        <v>73158</v>
      </c>
      <c r="G35">
        <v>1054625.8</v>
      </c>
      <c r="H35" s="119">
        <f t="shared" si="44"/>
        <v>733153.7</v>
      </c>
      <c r="I35" s="120">
        <f t="shared" si="44"/>
        <v>501330.4</v>
      </c>
      <c r="J35" s="121">
        <f t="shared" si="38"/>
        <v>1.1045331499531482E-4</v>
      </c>
      <c r="K35" s="122">
        <f t="shared" ref="K35" si="61">$J35*C35</f>
        <v>2648.05</v>
      </c>
      <c r="L35" s="123">
        <f t="shared" ref="L35" si="62">$J35*D35</f>
        <v>33.686195596580603</v>
      </c>
      <c r="M35" s="123">
        <f t="shared" ref="M35" si="63">$J35*E35</f>
        <v>47.29306096949994</v>
      </c>
      <c r="N35" s="123">
        <f t="shared" ref="N35" si="64">$J35*F35</f>
        <v>8.0805436184272423</v>
      </c>
      <c r="O35" s="123">
        <f t="shared" ref="O35" si="65">$J35*G35</f>
        <v>116.4869156895859</v>
      </c>
      <c r="P35" s="123">
        <f t="shared" ref="P35" si="66">$J35*H35</f>
        <v>80.979256566080537</v>
      </c>
      <c r="Q35" s="123">
        <f t="shared" ref="Q35" si="67">$J35*I35</f>
        <v>55.373604587927183</v>
      </c>
      <c r="R35" s="124">
        <f t="shared" si="40"/>
        <v>0.28918437231480582</v>
      </c>
      <c r="S35" s="124">
        <f t="shared" si="41"/>
        <v>1.2721132756775968E-2</v>
      </c>
      <c r="T35" s="124">
        <f t="shared" si="42"/>
        <v>0.69517899144891004</v>
      </c>
      <c r="U35" s="124">
        <f t="shared" si="43"/>
        <v>0.47536329947551065</v>
      </c>
    </row>
    <row r="36" spans="1:21" ht="16">
      <c r="A36" s="73">
        <v>41790</v>
      </c>
      <c r="B36" s="118">
        <v>2705.27</v>
      </c>
      <c r="C36">
        <v>24386058.600000001</v>
      </c>
      <c r="D36">
        <f>395039.2+2809.3</f>
        <v>397848.5</v>
      </c>
      <c r="E36">
        <v>570702.5</v>
      </c>
      <c r="F36">
        <v>81516.399999999994</v>
      </c>
      <c r="G36">
        <v>1055383.8</v>
      </c>
      <c r="H36" s="119">
        <f t="shared" ref="H36:H37" si="68">D36+E36</f>
        <v>968551</v>
      </c>
      <c r="I36" s="120">
        <f t="shared" ref="I36:I37" si="69">E36+F36</f>
        <v>652218.9</v>
      </c>
      <c r="J36" s="121">
        <f t="shared" ref="J36:J37" si="70">B36/C36</f>
        <v>1.1093510617578848E-4</v>
      </c>
      <c r="K36" s="122">
        <f t="shared" ref="K36" si="71">$J36*C36</f>
        <v>2705.27</v>
      </c>
      <c r="L36" s="123">
        <f t="shared" ref="L36" si="72">$J36*D36</f>
        <v>44.135365589378182</v>
      </c>
      <c r="M36" s="123">
        <f t="shared" ref="M36" si="73">$J36*E36</f>
        <v>63.310942432287924</v>
      </c>
      <c r="N36" s="123">
        <f t="shared" ref="N36" si="74">$J36*F36</f>
        <v>9.0430304890680429</v>
      </c>
      <c r="O36" s="123">
        <f t="shared" ref="O36" si="75">$J36*G36</f>
        <v>117.07911390920712</v>
      </c>
      <c r="P36" s="123">
        <f t="shared" ref="P36" si="76">$J36*H36</f>
        <v>107.44630802166611</v>
      </c>
      <c r="Q36" s="123">
        <f t="shared" ref="Q36" si="77">$J36*I36</f>
        <v>72.353972921355975</v>
      </c>
      <c r="R36" s="124">
        <f t="shared" ref="R36" si="78">L36/O36</f>
        <v>0.37697044430661147</v>
      </c>
      <c r="S36" s="124">
        <f t="shared" ref="S36" si="79">L36/K36</f>
        <v>1.6314588040889887E-2</v>
      </c>
      <c r="T36" s="124">
        <f t="shared" ref="T36" si="80">P36/O36</f>
        <v>0.91772395975757826</v>
      </c>
      <c r="U36" s="124">
        <f t="shared" ref="U36" si="81">Q36/O36</f>
        <v>0.61799214655369927</v>
      </c>
    </row>
    <row r="37" spans="1:21" ht="16">
      <c r="A37" s="73">
        <v>41820</v>
      </c>
      <c r="B37">
        <v>2718.37</v>
      </c>
      <c r="C37">
        <v>24481041.199999999</v>
      </c>
      <c r="D37">
        <v>396328.9</v>
      </c>
      <c r="E37">
        <v>579623.9</v>
      </c>
      <c r="F37">
        <v>81266.5</v>
      </c>
      <c r="G37">
        <v>1064656.8</v>
      </c>
      <c r="H37" s="119">
        <f t="shared" si="68"/>
        <v>975952.8</v>
      </c>
      <c r="I37" s="120">
        <f t="shared" si="69"/>
        <v>660890.4</v>
      </c>
      <c r="J37" s="121">
        <f t="shared" si="70"/>
        <v>1.1103980332339787E-4</v>
      </c>
      <c r="K37" s="122">
        <f t="shared" ref="K37" si="82">$J37*C37</f>
        <v>2718.37</v>
      </c>
      <c r="L37" s="123">
        <f t="shared" ref="L37" si="83">$J37*D37</f>
        <v>44.008283107378624</v>
      </c>
      <c r="M37" s="123">
        <f t="shared" ref="M37" si="84">$J37*E37</f>
        <v>64.361323857540839</v>
      </c>
      <c r="N37" s="123">
        <f t="shared" ref="N37" si="85">$J37*F37</f>
        <v>9.0238161767809135</v>
      </c>
      <c r="O37" s="123">
        <f t="shared" ref="O37" si="86">$J37*G37</f>
        <v>118.21928167891814</v>
      </c>
      <c r="P37" s="123">
        <f t="shared" ref="P37" si="87">$J37*H37</f>
        <v>108.36960696491946</v>
      </c>
      <c r="Q37" s="123">
        <f t="shared" ref="Q37" si="88">$J37*I37</f>
        <v>73.385140034321751</v>
      </c>
      <c r="R37" s="124">
        <f t="shared" ref="R37" si="89">L37/O37</f>
        <v>0.37225977422959217</v>
      </c>
      <c r="S37" s="124">
        <f t="shared" ref="S37" si="90">L37/K37</f>
        <v>1.6189217474949558E-2</v>
      </c>
      <c r="T37" s="124">
        <f t="shared" ref="T37" si="91">P37/O37</f>
        <v>0.91668300996151997</v>
      </c>
      <c r="U37" s="124">
        <f t="shared" ref="U37" si="92">Q37/O37</f>
        <v>0.62075440649042968</v>
      </c>
    </row>
    <row r="38" spans="1:21" ht="16">
      <c r="A38" s="73">
        <v>41851</v>
      </c>
      <c r="B38" s="118">
        <v>2816.29</v>
      </c>
      <c r="C38">
        <v>25354326.5</v>
      </c>
      <c r="D38">
        <v>310655.8</v>
      </c>
      <c r="E38">
        <v>547112.6</v>
      </c>
      <c r="F38">
        <v>68316.3</v>
      </c>
      <c r="G38">
        <v>1116871.5</v>
      </c>
      <c r="H38" s="119">
        <f t="shared" ref="H38" si="93">D38+E38</f>
        <v>857768.39999999991</v>
      </c>
      <c r="I38" s="120">
        <f t="shared" ref="I38" si="94">E38+F38</f>
        <v>615428.9</v>
      </c>
      <c r="J38" s="121">
        <f t="shared" ref="J38" si="95">B38/C38</f>
        <v>1.1107729483565655E-4</v>
      </c>
      <c r="K38" s="122">
        <f t="shared" ref="K38" si="96">$J38*C38</f>
        <v>2816.29</v>
      </c>
      <c r="L38" s="123">
        <f t="shared" ref="L38" si="97">$J38*D38</f>
        <v>34.506805889006749</v>
      </c>
      <c r="M38" s="123">
        <f t="shared" ref="M38" si="98">$J38*E38</f>
        <v>60.771787578502625</v>
      </c>
      <c r="N38" s="123">
        <f t="shared" ref="N38" si="99">$J38*F38</f>
        <v>7.588389797181164</v>
      </c>
      <c r="O38" s="123">
        <f t="shared" ref="O38" si="100">$J38*G38</f>
        <v>124.05906489904199</v>
      </c>
      <c r="P38" s="123">
        <f t="shared" ref="P38" si="101">$J38*H38</f>
        <v>95.278593467509367</v>
      </c>
      <c r="Q38" s="123">
        <f t="shared" ref="Q38" si="102">$J38*I38</f>
        <v>68.36017737568379</v>
      </c>
      <c r="R38" s="124">
        <f t="shared" ref="R38" si="103">L38/O38</f>
        <v>0.27814820236705828</v>
      </c>
      <c r="S38" s="124">
        <f t="shared" ref="S38" si="104">L38/K38</f>
        <v>1.22525755121123E-2</v>
      </c>
      <c r="T38" s="124">
        <f t="shared" ref="T38" si="105">P38/O38</f>
        <v>0.76800992773116683</v>
      </c>
      <c r="U38" s="124">
        <f t="shared" ref="U38" si="106">Q38/O38</f>
        <v>0.55102928134525775</v>
      </c>
    </row>
    <row r="39" spans="1:21" ht="16">
      <c r="A39" s="73">
        <v>41882</v>
      </c>
      <c r="B39">
        <v>2901.52</v>
      </c>
      <c r="C39">
        <v>26029576.100000001</v>
      </c>
      <c r="D39">
        <v>394563</v>
      </c>
      <c r="E39">
        <v>649949.19999999995</v>
      </c>
      <c r="F39">
        <v>80481.8</v>
      </c>
      <c r="G39">
        <v>1123218.2</v>
      </c>
      <c r="H39" s="119">
        <f t="shared" ref="H39:H40" si="107">D39+E39</f>
        <v>1044512.2</v>
      </c>
      <c r="I39" s="120">
        <f t="shared" ref="I39:I40" si="108">E39+F39</f>
        <v>730431</v>
      </c>
      <c r="J39" s="121">
        <f t="shared" ref="J39" si="109">B39/C39</f>
        <v>1.1147012109813036E-4</v>
      </c>
      <c r="K39" s="122">
        <f t="shared" ref="K39" si="110">$J39*C39</f>
        <v>2901.52</v>
      </c>
      <c r="L39" s="123">
        <f t="shared" ref="L39" si="111">$J39*D39</f>
        <v>43.981985390841608</v>
      </c>
      <c r="M39" s="123">
        <f t="shared" ref="M39" si="112">$J39*E39</f>
        <v>72.449916031632938</v>
      </c>
      <c r="N39" s="123">
        <f t="shared" ref="N39" si="113">$J39*F39</f>
        <v>8.9713159921955086</v>
      </c>
      <c r="O39" s="123">
        <f t="shared" ref="O39" si="114">$J39*G39</f>
        <v>125.205268773624</v>
      </c>
      <c r="P39" s="123">
        <f t="shared" ref="P39" si="115">$J39*H39</f>
        <v>116.43190142247455</v>
      </c>
      <c r="Q39" s="123">
        <f t="shared" ref="Q39" si="116">$J39*I39</f>
        <v>81.421232023828452</v>
      </c>
      <c r="R39" s="124">
        <f t="shared" ref="R39" si="117">L39/O39</f>
        <v>0.35127903020089951</v>
      </c>
      <c r="S39" s="124">
        <f t="shared" ref="S39" si="118">L39/K39</f>
        <v>1.5158256841531889E-2</v>
      </c>
      <c r="T39" s="124">
        <f t="shared" ref="T39" si="119">P39/O39</f>
        <v>0.92992812972581818</v>
      </c>
      <c r="U39" s="124">
        <f t="shared" ref="U39" si="120">Q39/O39</f>
        <v>0.65030196269967844</v>
      </c>
    </row>
    <row r="40" spans="1:21" ht="16">
      <c r="A40" s="73">
        <v>41912</v>
      </c>
      <c r="B40" s="118">
        <v>2913.98</v>
      </c>
      <c r="C40">
        <v>26107042.600000001</v>
      </c>
      <c r="D40">
        <f>394437+7041</f>
        <v>401478</v>
      </c>
      <c r="E40">
        <v>665829.19999999995</v>
      </c>
      <c r="F40">
        <v>76770.3</v>
      </c>
      <c r="G40">
        <v>1128412.8999999999</v>
      </c>
      <c r="H40" s="119">
        <f t="shared" si="107"/>
        <v>1067307.2</v>
      </c>
      <c r="I40" s="120">
        <f t="shared" si="108"/>
        <v>742599.5</v>
      </c>
      <c r="J40" s="121">
        <f t="shared" ref="J40" si="121">B40/C40</f>
        <v>1.1161662562269691E-4</v>
      </c>
      <c r="K40" s="122">
        <f t="shared" ref="K40" si="122">$J40*C40</f>
        <v>2913.98</v>
      </c>
      <c r="L40" s="123">
        <f t="shared" ref="L40" si="123">$J40*D40</f>
        <v>44.811619621749109</v>
      </c>
      <c r="M40" s="123">
        <f t="shared" ref="M40" si="124">$J40*E40</f>
        <v>74.317608545059784</v>
      </c>
      <c r="N40" s="123">
        <f t="shared" ref="N40" si="125">$J40*F40</f>
        <v>8.5688418340421286</v>
      </c>
      <c r="O40" s="123">
        <f t="shared" ref="O40" si="126">$J40*G40</f>
        <v>125.94964020712172</v>
      </c>
      <c r="P40" s="123">
        <f t="shared" ref="P40" si="127">$J40*H40</f>
        <v>119.1292281668089</v>
      </c>
      <c r="Q40" s="123">
        <f t="shared" ref="Q40" si="128">$J40*I40</f>
        <v>82.886450379101916</v>
      </c>
      <c r="R40" s="124">
        <f t="shared" ref="R40" si="129">L40/O40</f>
        <v>0.35578997723262473</v>
      </c>
      <c r="S40" s="124">
        <f t="shared" ref="S40" si="130">L40/K40</f>
        <v>1.5378149342737119E-2</v>
      </c>
      <c r="T40" s="124">
        <f t="shared" ref="T40" si="131">P40/O40</f>
        <v>0.94584810223279092</v>
      </c>
      <c r="U40" s="124">
        <f t="shared" ref="U40" si="132">Q40/O40</f>
        <v>0.65809199806205698</v>
      </c>
    </row>
    <row r="41" spans="1:21" ht="16">
      <c r="A41" s="73">
        <v>41943</v>
      </c>
      <c r="B41" s="118"/>
      <c r="H41" s="119"/>
      <c r="I41" s="120"/>
      <c r="J41" s="121"/>
      <c r="K41" s="122"/>
      <c r="L41" s="123"/>
      <c r="M41" s="123"/>
      <c r="N41" s="123"/>
      <c r="O41" s="123"/>
      <c r="P41" s="123"/>
      <c r="Q41" s="123"/>
      <c r="R41" s="124"/>
      <c r="S41" s="124"/>
      <c r="T41" s="124"/>
      <c r="U41" s="124"/>
    </row>
    <row r="42" spans="1:21" ht="16">
      <c r="A42" s="73">
        <v>41973</v>
      </c>
      <c r="B42" s="118">
        <v>2760.17</v>
      </c>
      <c r="C42">
        <v>24676330.600000001</v>
      </c>
      <c r="D42">
        <f>401003+3573</f>
        <v>404576</v>
      </c>
      <c r="E42">
        <v>734207.7</v>
      </c>
      <c r="F42">
        <v>72862.8</v>
      </c>
      <c r="G42">
        <v>1199189.8</v>
      </c>
      <c r="H42" s="119">
        <f t="shared" ref="H42" si="133">D42+E42</f>
        <v>1138783.7</v>
      </c>
      <c r="I42" s="120">
        <f t="shared" ref="I42" si="134">E42+F42</f>
        <v>807070.5</v>
      </c>
      <c r="J42" s="121">
        <f t="shared" ref="J42" si="135">B42/C42</f>
        <v>1.1185496112618948E-4</v>
      </c>
      <c r="K42" s="122">
        <f t="shared" ref="K42" si="136">$J42*C42</f>
        <v>2760.17</v>
      </c>
      <c r="L42" s="123">
        <f t="shared" ref="L42" si="137">$J42*D42</f>
        <v>45.253832752589233</v>
      </c>
      <c r="M42" s="123">
        <f t="shared" ref="M42" si="138">$J42*E42</f>
        <v>82.124773742048987</v>
      </c>
      <c r="N42" s="123">
        <f t="shared" ref="N42" si="139">$J42*F42</f>
        <v>8.1500656615453195</v>
      </c>
      <c r="O42" s="123">
        <f t="shared" ref="O42" si="140">$J42*G42</f>
        <v>134.13532846192294</v>
      </c>
      <c r="P42" s="123">
        <f t="shared" ref="P42" si="141">$J42*H42</f>
        <v>127.37860649463822</v>
      </c>
      <c r="Q42" s="123">
        <f t="shared" ref="Q42" si="142">$J42*I42</f>
        <v>90.274839403594299</v>
      </c>
      <c r="R42" s="124">
        <f t="shared" ref="R42" si="143">L42/O42</f>
        <v>0.33737445064993044</v>
      </c>
      <c r="S42" s="124">
        <f t="shared" ref="S42" si="144">L42/K42</f>
        <v>1.6395306358879792E-2</v>
      </c>
      <c r="T42" s="124">
        <f t="shared" ref="T42" si="145">P42/O42</f>
        <v>0.94962757355007521</v>
      </c>
      <c r="U42" s="124">
        <f t="shared" ref="U42" si="146">Q42/O42</f>
        <v>0.67301314604243623</v>
      </c>
    </row>
    <row r="43" spans="1:21" ht="16">
      <c r="A43" s="73">
        <v>42004</v>
      </c>
      <c r="B43" s="118">
        <v>2506.85</v>
      </c>
      <c r="C43">
        <v>22155169.399999999</v>
      </c>
      <c r="D43">
        <f>400090+3573</f>
        <v>403663</v>
      </c>
      <c r="E43">
        <v>737587.9</v>
      </c>
      <c r="F43">
        <v>71285.7</v>
      </c>
      <c r="G43">
        <v>1193827.5</v>
      </c>
      <c r="H43" s="119">
        <f t="shared" ref="H43:H45" si="147">D43+E43</f>
        <v>1141250.8999999999</v>
      </c>
      <c r="I43" s="120">
        <f t="shared" ref="I43:I45" si="148">E43+F43</f>
        <v>808873.6</v>
      </c>
      <c r="J43" s="121">
        <f t="shared" ref="J43" si="149">B43/C43</f>
        <v>1.1314966519732411E-4</v>
      </c>
      <c r="K43" s="122">
        <f t="shared" ref="K43" si="150">$J43*C43</f>
        <v>2506.85</v>
      </c>
      <c r="L43" s="123">
        <f t="shared" ref="L43" si="151">$J43*D43</f>
        <v>45.674333302547446</v>
      </c>
      <c r="M43" s="123">
        <f t="shared" ref="M43" si="152">$J43*E43</f>
        <v>83.457823938597386</v>
      </c>
      <c r="N43" s="123">
        <f t="shared" ref="N43" si="153">$J43*F43</f>
        <v>8.0659530883568866</v>
      </c>
      <c r="O43" s="123">
        <f t="shared" ref="O43" si="154">$J43*G43</f>
        <v>135.08118192835846</v>
      </c>
      <c r="P43" s="123">
        <f t="shared" ref="P43" si="155">$J43*H43</f>
        <v>129.13215724114482</v>
      </c>
      <c r="Q43" s="123">
        <f t="shared" ref="Q43" si="156">$J43*I43</f>
        <v>91.523777026954264</v>
      </c>
      <c r="R43" s="124">
        <f t="shared" ref="R43" si="157">L43/O43</f>
        <v>0.33812506413196208</v>
      </c>
      <c r="S43" s="124">
        <f t="shared" ref="S43" si="158">L43/K43</f>
        <v>1.8219811038772741E-2</v>
      </c>
      <c r="T43" s="124">
        <f t="shared" ref="T43" si="159">P43/O43</f>
        <v>0.95595963403423023</v>
      </c>
      <c r="U43" s="124">
        <f t="shared" ref="U43:U44" si="160">Q43/O43</f>
        <v>0.67754646295214338</v>
      </c>
    </row>
    <row r="44" spans="1:21" ht="16">
      <c r="A44" s="73">
        <v>42035</v>
      </c>
      <c r="B44" s="118">
        <v>2704.1</v>
      </c>
      <c r="C44">
        <v>24262871.800000001</v>
      </c>
      <c r="D44">
        <f>311946+2654</f>
        <v>314600</v>
      </c>
      <c r="E44">
        <v>589695</v>
      </c>
      <c r="F44">
        <v>62900</v>
      </c>
      <c r="G44">
        <v>1256001.7</v>
      </c>
      <c r="H44" s="119">
        <f t="shared" si="147"/>
        <v>904295</v>
      </c>
      <c r="I44" s="120">
        <f t="shared" si="148"/>
        <v>652595</v>
      </c>
      <c r="J44" s="121">
        <f t="shared" ref="J44" si="161">B44/C44</f>
        <v>1.1145012108583122E-4</v>
      </c>
      <c r="K44" s="122">
        <f t="shared" ref="K44" si="162">$J44*C44</f>
        <v>2704.1</v>
      </c>
      <c r="L44" s="123">
        <f t="shared" ref="L44" si="163">$J44*D44</f>
        <v>35.0622080936025</v>
      </c>
      <c r="M44" s="123">
        <f t="shared" ref="M44" si="164">$J44*E44</f>
        <v>65.721579153709243</v>
      </c>
      <c r="N44" s="123">
        <f t="shared" ref="N44" si="165">$J44*F44</f>
        <v>7.0102126162987837</v>
      </c>
      <c r="O44" s="123">
        <f t="shared" ref="O44" si="166">$J44*G44</f>
        <v>139.98154154900985</v>
      </c>
      <c r="P44" s="123">
        <f t="shared" ref="P44" si="167">$J44*H44</f>
        <v>100.78378724731175</v>
      </c>
      <c r="Q44" s="123">
        <f t="shared" ref="Q44" si="168">$J44*I44</f>
        <v>72.73179177000803</v>
      </c>
      <c r="R44" s="124">
        <f t="shared" ref="R44" si="169">L44/O44</f>
        <v>0.25047736798445419</v>
      </c>
      <c r="S44" s="124">
        <f t="shared" ref="S44" si="170">L44/K44</f>
        <v>1.2966313410599645E-2</v>
      </c>
      <c r="T44" s="124">
        <f t="shared" ref="T44" si="171">P44/O44</f>
        <v>0.71997912104736816</v>
      </c>
      <c r="U44" s="124">
        <f t="shared" si="160"/>
        <v>0.51958130311447837</v>
      </c>
    </row>
    <row r="45" spans="1:21" ht="16">
      <c r="A45" s="73">
        <v>42063</v>
      </c>
      <c r="B45" s="118">
        <v>2784.49</v>
      </c>
      <c r="C45">
        <v>24780982.5</v>
      </c>
      <c r="D45">
        <f>360695+2621.9</f>
        <v>363316.9</v>
      </c>
      <c r="E45">
        <v>731700</v>
      </c>
      <c r="F45">
        <v>72146</v>
      </c>
      <c r="G45">
        <v>1207380</v>
      </c>
      <c r="H45" s="119">
        <f t="shared" si="147"/>
        <v>1095016.8999999999</v>
      </c>
      <c r="I45" s="120">
        <f t="shared" si="148"/>
        <v>803846</v>
      </c>
      <c r="J45" s="121">
        <f t="shared" ref="J45" si="172">B45/C45</f>
        <v>1.123639871825098E-4</v>
      </c>
      <c r="K45" s="122">
        <f t="shared" ref="K45" si="173">$J45*C45</f>
        <v>2784.49</v>
      </c>
      <c r="L45" s="123">
        <f t="shared" ref="L45" si="174">$J45*D45</f>
        <v>40.823735494789197</v>
      </c>
      <c r="M45" s="123">
        <f t="shared" ref="M45" si="175">$J45*E45</f>
        <v>82.216729421442423</v>
      </c>
      <c r="N45" s="123">
        <f t="shared" ref="N45" si="176">$J45*F45</f>
        <v>8.106612219269353</v>
      </c>
      <c r="O45" s="123">
        <f t="shared" ref="O45" si="177">$J45*G45</f>
        <v>135.66603084441869</v>
      </c>
      <c r="P45" s="123">
        <f t="shared" ref="P45" si="178">$J45*H45</f>
        <v>123.04046491623161</v>
      </c>
      <c r="Q45" s="123">
        <f t="shared" ref="Q45" si="179">$J45*I45</f>
        <v>90.323341640711774</v>
      </c>
      <c r="R45" s="124">
        <f t="shared" ref="R45" si="180">L45/O45</f>
        <v>0.30091346552038301</v>
      </c>
      <c r="S45" s="124">
        <f t="shared" ref="S45" si="181">L45/K45</f>
        <v>1.4661117653426373E-2</v>
      </c>
      <c r="T45" s="124">
        <f t="shared" ref="T45" si="182">P45/O45</f>
        <v>0.90693642432374233</v>
      </c>
      <c r="U45" s="124">
        <f t="shared" ref="U45" si="183">Q45/O45</f>
        <v>0.66577713727244114</v>
      </c>
    </row>
    <row r="46" spans="1:21" ht="16">
      <c r="A46" s="73">
        <v>42094</v>
      </c>
      <c r="B46" s="118">
        <v>2834.41</v>
      </c>
      <c r="C46">
        <v>24914151.899999999</v>
      </c>
      <c r="D46">
        <f>412142.3+2651.2</f>
        <v>414793.5</v>
      </c>
      <c r="E46">
        <v>819315.9</v>
      </c>
      <c r="F46">
        <v>78375.600000000006</v>
      </c>
      <c r="G46">
        <v>1191895.1000000001</v>
      </c>
      <c r="H46" s="119">
        <f t="shared" ref="H46" si="184">D46+E46</f>
        <v>1234109.3999999999</v>
      </c>
      <c r="I46" s="120">
        <f t="shared" ref="I46" si="185">E46+F46</f>
        <v>897691.5</v>
      </c>
      <c r="J46" s="121">
        <f t="shared" ref="J46" si="186">B46/C46</f>
        <v>1.137670674633721E-4</v>
      </c>
      <c r="K46" s="122">
        <f t="shared" ref="K46" si="187">$J46*C46</f>
        <v>2834.41</v>
      </c>
      <c r="L46" s="123">
        <f t="shared" ref="L46" si="188">$J46*D46</f>
        <v>47.189840097868235</v>
      </c>
      <c r="M46" s="123">
        <f t="shared" ref="M46" si="189">$J46*E46</f>
        <v>93.211167269113432</v>
      </c>
      <c r="N46" s="123">
        <f t="shared" ref="N46" si="190">$J46*F46</f>
        <v>8.9165621726822675</v>
      </c>
      <c r="O46" s="123">
        <f t="shared" ref="O46" si="191">$J46*G46</f>
        <v>135.59841025096264</v>
      </c>
      <c r="P46" s="123">
        <f t="shared" ref="P46" si="192">$J46*H46</f>
        <v>140.40100736698164</v>
      </c>
      <c r="Q46" s="123">
        <f t="shared" ref="Q46" si="193">$J46*I46</f>
        <v>102.12772944179569</v>
      </c>
      <c r="R46" s="124">
        <f t="shared" ref="R46" si="194">L46/O46</f>
        <v>0.34801175036293042</v>
      </c>
      <c r="S46" s="124">
        <f t="shared" ref="S46" si="195">L46/K46</f>
        <v>1.6648911095384307E-2</v>
      </c>
      <c r="T46" s="124">
        <f t="shared" ref="T46" si="196">P46/O46</f>
        <v>1.0354177980931374</v>
      </c>
      <c r="U46" s="124">
        <f t="shared" ref="U46" si="197">Q46/O46</f>
        <v>0.75316317686011125</v>
      </c>
    </row>
    <row r="47" spans="1:21">
      <c r="A47" s="73">
        <v>42124</v>
      </c>
    </row>
    <row r="48" spans="1:21" ht="16">
      <c r="A48" s="73">
        <v>42155</v>
      </c>
      <c r="B48" s="118">
        <v>2752.06</v>
      </c>
      <c r="C48">
        <v>24281854.899999999</v>
      </c>
      <c r="D48">
        <v>422436.2</v>
      </c>
      <c r="E48">
        <v>829320.4</v>
      </c>
      <c r="F48">
        <v>79844.5</v>
      </c>
      <c r="G48">
        <v>1221982.3999999999</v>
      </c>
      <c r="H48" s="119">
        <f t="shared" ref="H48:H49" si="198">D48+E48</f>
        <v>1251756.6000000001</v>
      </c>
      <c r="I48" s="120">
        <f t="shared" ref="I48:I49" si="199">E48+F48</f>
        <v>909164.9</v>
      </c>
      <c r="J48" s="121">
        <f t="shared" ref="J48:J49" si="200">B48/C48</f>
        <v>1.1333812887581336E-4</v>
      </c>
      <c r="K48" s="122">
        <f t="shared" ref="K48:K49" si="201">$J48*C48</f>
        <v>2752.06</v>
      </c>
      <c r="L48" s="123">
        <f t="shared" ref="L48:L49" si="202">$J48*D48</f>
        <v>47.878128477408872</v>
      </c>
      <c r="M48" s="123">
        <f t="shared" ref="M48:M49" si="203">$J48*E48</f>
        <v>93.99362237454109</v>
      </c>
      <c r="N48" s="123">
        <f t="shared" ref="N48:N49" si="204">$J48*F48</f>
        <v>9.0494262310248796</v>
      </c>
      <c r="O48" s="123">
        <f t="shared" ref="O48:O49" si="205">$J48*G48</f>
        <v>138.49719873517569</v>
      </c>
      <c r="P48" s="123">
        <f t="shared" ref="P48:P49" si="206">$J48*H48</f>
        <v>141.87175085194997</v>
      </c>
      <c r="Q48" s="123">
        <f t="shared" ref="Q48:Q49" si="207">$J48*I48</f>
        <v>103.04304860556597</v>
      </c>
      <c r="R48" s="124">
        <f t="shared" ref="R48" si="208">L48/O48</f>
        <v>0.34569745030697668</v>
      </c>
      <c r="S48" s="124">
        <f t="shared" ref="S48" si="209">L48/K48</f>
        <v>1.7397196455531082E-2</v>
      </c>
      <c r="T48" s="124">
        <f t="shared" ref="T48" si="210">P48/O48</f>
        <v>1.0243654900430648</v>
      </c>
      <c r="U48" s="124">
        <f t="shared" ref="U48" si="211">Q48/O48</f>
        <v>0.74400817884120118</v>
      </c>
    </row>
    <row r="49" spans="1:21" ht="16">
      <c r="A49" s="73">
        <v>42185</v>
      </c>
      <c r="B49" s="118">
        <v>2941.76</v>
      </c>
      <c r="C49">
        <v>26311128</v>
      </c>
      <c r="D49" s="253">
        <f>429928.4+1955.2</f>
        <v>431883.60000000003</v>
      </c>
      <c r="E49">
        <v>828654.1</v>
      </c>
      <c r="F49">
        <v>80096</v>
      </c>
      <c r="G49">
        <v>1211798.3999999999</v>
      </c>
      <c r="H49" s="119">
        <f t="shared" si="198"/>
        <v>1260537.7</v>
      </c>
      <c r="I49" s="120">
        <f t="shared" si="199"/>
        <v>908750.1</v>
      </c>
      <c r="J49" s="121">
        <f t="shared" si="200"/>
        <v>1.1180668498895222E-4</v>
      </c>
      <c r="K49" s="122">
        <f t="shared" si="201"/>
        <v>2941.76</v>
      </c>
      <c r="L49" s="123">
        <f t="shared" si="202"/>
        <v>48.287473617094648</v>
      </c>
      <c r="M49" s="123">
        <f t="shared" si="203"/>
        <v>92.649067923503708</v>
      </c>
      <c r="N49" s="123">
        <f t="shared" si="204"/>
        <v>8.9552682408751174</v>
      </c>
      <c r="O49" s="123">
        <f t="shared" si="205"/>
        <v>135.4871619789163</v>
      </c>
      <c r="P49" s="123">
        <f t="shared" si="206"/>
        <v>140.93654154059834</v>
      </c>
      <c r="Q49" s="123">
        <f t="shared" si="207"/>
        <v>101.60433616437882</v>
      </c>
      <c r="R49" s="124">
        <f t="shared" ref="R49" si="212">L49/O49</f>
        <v>0.35639888615135989</v>
      </c>
      <c r="S49" s="124">
        <f t="shared" ref="S49" si="213">L49/K49</f>
        <v>1.641448439610799E-2</v>
      </c>
      <c r="T49" s="124">
        <f t="shared" ref="T49" si="214">P49/O49</f>
        <v>1.0402206340592626</v>
      </c>
      <c r="U49" s="124">
        <f t="shared" ref="U49" si="215">Q49/O49</f>
        <v>0.74991855080845138</v>
      </c>
    </row>
  </sheetData>
  <mergeCells count="2">
    <mergeCell ref="C2:I2"/>
    <mergeCell ref="K2:Q2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workbookViewId="0">
      <selection activeCell="A44" sqref="A44"/>
    </sheetView>
  </sheetViews>
  <sheetFormatPr baseColWidth="10" defaultRowHeight="14"/>
  <sheetData>
    <row r="1" spans="1:1">
      <c r="A1" t="s">
        <v>178</v>
      </c>
    </row>
    <row r="2" spans="1:1">
      <c r="A2" t="s">
        <v>176</v>
      </c>
    </row>
    <row r="3" spans="1:1">
      <c r="A3" t="s">
        <v>177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Impl premium calculator</vt:lpstr>
      <vt:lpstr>Buyback &amp; Dividend computation</vt:lpstr>
      <vt:lpstr>Implied ERP- Annual since 1960</vt:lpstr>
      <vt:lpstr>Implied ERP (Monthly from 9-08)</vt:lpstr>
      <vt:lpstr>Expected growth rate</vt:lpstr>
      <vt:lpstr>Historical ERP</vt:lpstr>
      <vt:lpstr>T.Bond vs Nominal growth</vt:lpstr>
      <vt:lpstr>S&amp;P 500 Monthly Data (Cap IQ)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cp:lastPrinted>2011-09-21T14:04:20Z</cp:lastPrinted>
  <dcterms:created xsi:type="dcterms:W3CDTF">2005-01-04T16:33:33Z</dcterms:created>
  <dcterms:modified xsi:type="dcterms:W3CDTF">2019-07-10T17:48:07Z</dcterms:modified>
</cp:coreProperties>
</file>