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ropbox/TEACHING/Schools/1_NUS/Courses/2022/Public/1-Tidyverse/4_applied_corporate_finance/1-lecture/validation/"/>
    </mc:Choice>
  </mc:AlternateContent>
  <xr:revisionPtr revIDLastSave="0" documentId="13_ncr:1_{34952BBC-4E3A-6941-8B03-8312582AEC8D}" xr6:coauthVersionLast="47" xr6:coauthVersionMax="47" xr10:uidLastSave="{00000000-0000-0000-0000-000000000000}"/>
  <bookViews>
    <workbookView xWindow="0" yWindow="500" windowWidth="28800" windowHeight="16080" xr2:uid="{F2B0D292-82C9-6941-AB77-4A29618B5981}"/>
  </bookViews>
  <sheets>
    <sheet name="2019" sheetId="3" r:id="rId1"/>
  </sheets>
  <definedNames>
    <definedName name="_xlnm.Print_Area" localSheetId="0">'2019'!$B$2:$E$23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3" l="1"/>
  <c r="E13" i="3"/>
  <c r="E12" i="3"/>
  <c r="F46" i="3" l="1"/>
  <c r="E18" i="3"/>
  <c r="E20" i="3"/>
  <c r="E10" i="3" l="1"/>
  <c r="E6" i="3" l="1"/>
  <c r="E4" i="3"/>
  <c r="C23" i="3"/>
  <c r="E9" i="3" s="1"/>
  <c r="E23" i="3"/>
  <c r="E22" i="3"/>
  <c r="C22" i="3"/>
  <c r="C21" i="3"/>
  <c r="C19" i="3"/>
  <c r="C18" i="3"/>
  <c r="C15" i="3"/>
  <c r="E16" i="3"/>
  <c r="E11" i="3" s="1"/>
  <c r="E15" i="3"/>
  <c r="C16" i="3"/>
  <c r="C8" i="3"/>
  <c r="C6" i="3"/>
  <c r="C5" i="3"/>
  <c r="C4" i="3"/>
  <c r="E8" i="3" l="1"/>
  <c r="C20" i="3"/>
  <c r="D24" i="3" s="1"/>
  <c r="C17" i="3"/>
  <c r="E14" i="3"/>
  <c r="C24" i="3" s="1"/>
  <c r="D25" i="3" l="1"/>
  <c r="E7" i="3"/>
  <c r="C10" i="3"/>
  <c r="F43" i="3" l="1"/>
  <c r="F44" i="3"/>
  <c r="F45" i="3" l="1"/>
  <c r="F41" i="3"/>
  <c r="F42" i="3"/>
  <c r="C37" i="3"/>
  <c r="C7" i="3" l="1"/>
  <c r="E5" i="3"/>
  <c r="E3" i="3" s="1"/>
  <c r="C33" i="3" l="1"/>
  <c r="E21" i="3" l="1"/>
  <c r="E17" i="3" s="1"/>
  <c r="C12" i="3" s="1"/>
  <c r="C14" i="3" l="1"/>
  <c r="C13" i="3" s="1"/>
  <c r="C11" i="3" s="1"/>
  <c r="C9" i="3" l="1"/>
  <c r="C3" i="3" s="1"/>
  <c r="C2" i="3" l="1"/>
  <c r="C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Nicolas Fermin Cota</author>
  </authors>
  <commentList>
    <comment ref="B13" authorId="0" shapeId="0" xr:uid="{D5211A33-B1B7-1D44-B906-CF41D4C31534}">
      <text>
        <r>
          <rPr>
            <b/>
            <sz val="10"/>
            <color rgb="FF000000"/>
            <rFont val="Tahoma"/>
            <family val="2"/>
          </rPr>
          <t>Rafael Nicolas Fermin Cota: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Reinvestment = Capital Expenditure + Working Capital + M&amp;A</t>
        </r>
      </text>
    </comment>
  </commentList>
</comments>
</file>

<file path=xl/sharedStrings.xml><?xml version="1.0" encoding="utf-8"?>
<sst xmlns="http://schemas.openxmlformats.org/spreadsheetml/2006/main" count="143" uniqueCount="73">
  <si>
    <t>Fiscal Year</t>
  </si>
  <si>
    <t>2018G</t>
  </si>
  <si>
    <t>https://data.worldbank.org/indicator/NY.GDP.MKTP.KD.ZG</t>
  </si>
  <si>
    <t>Link</t>
  </si>
  <si>
    <t xml:space="preserve"> </t>
  </si>
  <si>
    <t>https://www.saudiaramco.com/-/media/images/investors/saudi-aramco-prospectus-en.pdf?la=en&amp;hash=8DE2DCD689D6E383BB8F4C393033D8964C9F5585</t>
  </si>
  <si>
    <t>https://www.treasury.gov/resource-center/data-chart-center/interest-rates/pages/textview.aspx?data=yield</t>
  </si>
  <si>
    <t>https://www.bloomberg.com/news/articles/2019-04-01/saudi-oil-giant-aramco-starts-bond-roadshow-gets-a-rating</t>
  </si>
  <si>
    <t>A1</t>
  </si>
  <si>
    <t>http://pages.stern.nyu.edu/~adamodar/pc/datasets/ctrypremJuly19.xlsx</t>
  </si>
  <si>
    <t xml:space="preserve"> Oil/Gas (Integrated)</t>
  </si>
  <si>
    <t>http://www.stern.nyu.edu/~adamodar/pc/datasets/betaGlobal.xls</t>
  </si>
  <si>
    <t xml:space="preserve"> A1/A+ for large manufacturing firms</t>
  </si>
  <si>
    <t xml:space="preserve"> Saudi Arabia</t>
  </si>
  <si>
    <t>http://www.stern.nyu.edu/~adamodar/pc/ratings.xls</t>
  </si>
  <si>
    <t>LONG_RESERVES_LIFE</t>
  </si>
  <si>
    <t>OPERATING_INCOME</t>
  </si>
  <si>
    <t>INCOME_TAXES</t>
  </si>
  <si>
    <t>INCOME_BEFORE_INCOME_TAXES</t>
  </si>
  <si>
    <t>NET_INCOME</t>
  </si>
  <si>
    <t>TOTAL_BORROWINGS</t>
  </si>
  <si>
    <t>CASH_AND_CASH_EQUIVALENTS</t>
  </si>
  <si>
    <t>SHAREHOLDERS_EQUITY</t>
  </si>
  <si>
    <t>TOTAL_EQUITY</t>
  </si>
  <si>
    <t>CAPITAL_EMPLOYED</t>
  </si>
  <si>
    <t>INVESTED_CAPITAL</t>
  </si>
  <si>
    <t>DEBT_RATIO</t>
  </si>
  <si>
    <t>EFFECTIVE_TAX_RATE</t>
  </si>
  <si>
    <t>GDP_GROWTH</t>
  </si>
  <si>
    <t>UNLEVERED_BETA</t>
  </si>
  <si>
    <t>EQUITY_RISK_PREMIUM</t>
  </si>
  <si>
    <t>BOND_SPREAD</t>
  </si>
  <si>
    <t>MOODYS_RATING</t>
  </si>
  <si>
    <t>NON_CONTROLLING_INTERESTS</t>
  </si>
  <si>
    <t>INVESTMENT_JOINT_VENTURES_ASSOCIATES</t>
  </si>
  <si>
    <t>INVESTMENT_SECURITIES</t>
  </si>
  <si>
    <t>TREASURY_YIELD_10YR</t>
  </si>
  <si>
    <t>EXPECTED_ROIC</t>
  </si>
  <si>
    <t>REINVESTMENT_RATE</t>
  </si>
  <si>
    <t>EXPECTED_OPERATING_INCOME_AFTER_TAX</t>
  </si>
  <si>
    <t>EXPECTED_GROWTH_RATE</t>
  </si>
  <si>
    <t>EXPECTED_FCFF</t>
  </si>
  <si>
    <t>VALUE_OPERATING_ASSETS</t>
  </si>
  <si>
    <t>COST_DEBT</t>
  </si>
  <si>
    <t>COST_EQUITY</t>
  </si>
  <si>
    <t>COST_CAPITAL</t>
  </si>
  <si>
    <t>MARGINAL_TAX_RATE</t>
  </si>
  <si>
    <t>NUMBER_YEARS</t>
  </si>
  <si>
    <t>VALUE_EQUITY</t>
  </si>
  <si>
    <t>Source</t>
  </si>
  <si>
    <t>World Bank</t>
  </si>
  <si>
    <t>Damodaran</t>
  </si>
  <si>
    <t>Bloomberg</t>
  </si>
  <si>
    <t>Treasury.gov</t>
  </si>
  <si>
    <t>EXPECTED_GROWTH_EARNINGS</t>
  </si>
  <si>
    <t>EXPECTED_RETURN_EQUITY</t>
  </si>
  <si>
    <t>PAYOUT_RATIO</t>
  </si>
  <si>
    <t>FCFF_EQUITY_VALUATION</t>
  </si>
  <si>
    <t>FCFE_EQUITY_VALUATION</t>
  </si>
  <si>
    <t>SAUDI ARAMCO WEIGHTED EQUITY VALUATION</t>
  </si>
  <si>
    <t>TRILLIONS</t>
  </si>
  <si>
    <t>Notes</t>
  </si>
  <si>
    <t>Aramco</t>
  </si>
  <si>
    <t>Section 4.6.1.2 (pg 47)</t>
  </si>
  <si>
    <t>Table 45 (pg 133)</t>
  </si>
  <si>
    <t>Table 42 (pg 131)</t>
  </si>
  <si>
    <t>Table 43 (pg 132)</t>
  </si>
  <si>
    <t>Table 52 (pg 144)</t>
  </si>
  <si>
    <t>2018 Value</t>
  </si>
  <si>
    <t>INPUTS</t>
  </si>
  <si>
    <t>http://www.stern.nyu.edu/~adamodar/pc/datasets/countrytaxrates.xls</t>
  </si>
  <si>
    <t>1.792</t>
  </si>
  <si>
    <t>2.214969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</si>
</sst>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[$-1009]mmmm\ d\,\ yyyy;@"/>
    <numFmt numFmtId="166" formatCode="_(* #,##0.0000_);_(* \(#,##0.0000\);_(* &quot;-&quot;??_);_(@_)"/>
    <numFmt numFmtId="167" formatCode="0.000000%"/>
    <numFmt numFmtId="168" formatCode="0.00000000000000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vertical="center"/>
    </xf>
    <xf numFmtId="0" fontId="5" fillId="0" borderId="0" xfId="3" applyFill="1" applyBorder="1" applyAlignment="1">
      <alignment horizontal="left" vertical="center"/>
    </xf>
    <xf numFmtId="0" fontId="5" fillId="0" borderId="0" xfId="3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center" vertical="center"/>
    </xf>
    <xf numFmtId="0" fontId="0" fillId="0" borderId="4" xfId="0" applyFill="1" applyBorder="1" applyAlignment="1">
      <alignment horizontal="right" vertical="center"/>
    </xf>
    <xf numFmtId="164" fontId="0" fillId="0" borderId="0" xfId="0" applyNumberFormat="1" applyFill="1" applyBorder="1" applyAlignment="1">
      <alignment vertical="center"/>
    </xf>
    <xf numFmtId="164" fontId="0" fillId="0" borderId="5" xfId="0" applyNumberFormat="1" applyBorder="1" applyAlignment="1">
      <alignment vertical="center"/>
    </xf>
    <xf numFmtId="10" fontId="0" fillId="0" borderId="5" xfId="1" applyNumberFormat="1" applyFont="1" applyBorder="1" applyAlignment="1">
      <alignment vertical="center"/>
    </xf>
    <xf numFmtId="0" fontId="0" fillId="0" borderId="6" xfId="0" applyFont="1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64" fontId="0" fillId="0" borderId="0" xfId="0" applyNumberFormat="1" applyBorder="1" applyAlignment="1">
      <alignment vertical="center"/>
    </xf>
    <xf numFmtId="2" fontId="0" fillId="0" borderId="5" xfId="0" applyNumberFormat="1" applyBorder="1" applyAlignment="1">
      <alignment vertical="center"/>
    </xf>
    <xf numFmtId="10" fontId="0" fillId="0" borderId="0" xfId="1" applyNumberFormat="1" applyFont="1" applyBorder="1" applyAlignment="1">
      <alignment vertical="center"/>
    </xf>
    <xf numFmtId="10" fontId="0" fillId="0" borderId="0" xfId="0" applyNumberFormat="1" applyBorder="1" applyAlignment="1">
      <alignment vertical="center"/>
    </xf>
    <xf numFmtId="10" fontId="1" fillId="0" borderId="5" xfId="1" applyNumberFormat="1" applyFont="1" applyFill="1" applyBorder="1" applyAlignment="1">
      <alignment vertical="center"/>
    </xf>
    <xf numFmtId="0" fontId="0" fillId="0" borderId="6" xfId="0" applyBorder="1" applyAlignment="1">
      <alignment horizontal="right" vertical="center"/>
    </xf>
    <xf numFmtId="164" fontId="0" fillId="0" borderId="7" xfId="0" applyNumberFormat="1" applyBorder="1" applyAlignment="1">
      <alignment vertical="center"/>
    </xf>
    <xf numFmtId="10" fontId="1" fillId="0" borderId="8" xfId="1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164" fontId="1" fillId="0" borderId="5" xfId="2" applyNumberFormat="1" applyFon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vertical="center"/>
    </xf>
    <xf numFmtId="0" fontId="0" fillId="0" borderId="6" xfId="0" applyFill="1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164" fontId="0" fillId="3" borderId="3" xfId="0" applyNumberFormat="1" applyFill="1" applyBorder="1" applyAlignment="1">
      <alignment vertical="center"/>
    </xf>
    <xf numFmtId="164" fontId="1" fillId="3" borderId="2" xfId="2" applyNumberFormat="1" applyFont="1" applyFill="1" applyBorder="1" applyAlignment="1">
      <alignment vertical="center"/>
    </xf>
    <xf numFmtId="10" fontId="1" fillId="3" borderId="3" xfId="1" applyNumberFormat="1" applyFont="1" applyFill="1" applyBorder="1" applyAlignment="1">
      <alignment vertical="center"/>
    </xf>
    <xf numFmtId="10" fontId="0" fillId="3" borderId="3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164" fontId="2" fillId="3" borderId="2" xfId="0" applyNumberFormat="1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vertical="center"/>
    </xf>
    <xf numFmtId="9" fontId="0" fillId="0" borderId="5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5" xfId="0" applyFill="1" applyBorder="1" applyAlignment="1">
      <alignment horizontal="right" vertical="center"/>
    </xf>
    <xf numFmtId="0" fontId="5" fillId="0" borderId="0" xfId="3" applyFill="1" applyAlignment="1">
      <alignment vertical="center"/>
    </xf>
    <xf numFmtId="0" fontId="5" fillId="0" borderId="0" xfId="3" applyFill="1" applyAlignment="1">
      <alignment horizontal="left" vertical="center"/>
    </xf>
    <xf numFmtId="0" fontId="6" fillId="0" borderId="5" xfId="0" applyFont="1" applyFill="1" applyBorder="1" applyAlignment="1">
      <alignment horizontal="right" vertical="center"/>
    </xf>
    <xf numFmtId="164" fontId="0" fillId="3" borderId="5" xfId="0" applyNumberFormat="1" applyFill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165" fontId="0" fillId="0" borderId="10" xfId="0" applyNumberFormat="1" applyFill="1" applyBorder="1" applyAlignment="1">
      <alignment vertical="center"/>
    </xf>
    <xf numFmtId="165" fontId="0" fillId="0" borderId="11" xfId="0" applyNumberFormat="1" applyFill="1" applyBorder="1" applyAlignment="1">
      <alignment vertical="center"/>
    </xf>
    <xf numFmtId="10" fontId="0" fillId="3" borderId="0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vertical="center"/>
    </xf>
    <xf numFmtId="10" fontId="0" fillId="5" borderId="5" xfId="1" applyNumberFormat="1" applyFont="1" applyFill="1" applyBorder="1" applyAlignment="1">
      <alignment vertical="center"/>
    </xf>
    <xf numFmtId="10" fontId="0" fillId="5" borderId="8" xfId="0" applyNumberFormat="1" applyFill="1" applyBorder="1" applyAlignment="1">
      <alignment vertical="center"/>
    </xf>
    <xf numFmtId="10" fontId="0" fillId="5" borderId="5" xfId="0" applyNumberFormat="1" applyFill="1" applyBorder="1" applyAlignment="1">
      <alignment vertical="center"/>
    </xf>
    <xf numFmtId="167" fontId="0" fillId="0" borderId="0" xfId="1" applyNumberFormat="1" applyFont="1" applyAlignment="1">
      <alignment vertical="center"/>
    </xf>
    <xf numFmtId="168" fontId="0" fillId="0" borderId="0" xfId="0" applyNumberFormat="1" applyAlignment="1">
      <alignment vertical="center"/>
    </xf>
    <xf numFmtId="10" fontId="1" fillId="5" borderId="2" xfId="1" applyNumberFormat="1" applyFont="1" applyFill="1" applyBorder="1" applyAlignment="1">
      <alignment vertical="center"/>
    </xf>
    <xf numFmtId="10" fontId="0" fillId="5" borderId="7" xfId="0" applyNumberFormat="1" applyFont="1" applyFill="1" applyBorder="1" applyAlignment="1">
      <alignment vertical="center"/>
    </xf>
    <xf numFmtId="10" fontId="0" fillId="4" borderId="5" xfId="0" applyNumberFormat="1" applyFill="1" applyBorder="1" applyAlignment="1">
      <alignment vertical="center"/>
    </xf>
    <xf numFmtId="164" fontId="0" fillId="5" borderId="2" xfId="0" applyNumberFormat="1" applyFill="1" applyBorder="1" applyAlignment="1">
      <alignment vertical="center"/>
    </xf>
    <xf numFmtId="0" fontId="0" fillId="0" borderId="0" xfId="0" quotePrefix="1" applyFill="1" applyBorder="1" applyAlignment="1">
      <alignment horizontal="left" vertical="center"/>
    </xf>
    <xf numFmtId="164" fontId="9" fillId="0" borderId="0" xfId="2" applyNumberFormat="1" applyFont="1" applyFill="1" applyBorder="1" applyAlignment="1">
      <alignment vertical="center"/>
    </xf>
    <xf numFmtId="10" fontId="9" fillId="0" borderId="0" xfId="1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2" fontId="9" fillId="0" borderId="0" xfId="1" applyNumberFormat="1" applyFont="1" applyFill="1" applyBorder="1" applyAlignment="1">
      <alignment vertical="center"/>
    </xf>
    <xf numFmtId="10" fontId="9" fillId="0" borderId="0" xfId="0" applyNumberFormat="1" applyFont="1" applyFill="1" applyBorder="1" applyAlignment="1">
      <alignment vertical="center"/>
    </xf>
    <xf numFmtId="9" fontId="9" fillId="0" borderId="7" xfId="0" applyNumberFormat="1" applyFont="1" applyFill="1" applyBorder="1" applyAlignment="1">
      <alignment vertical="center"/>
    </xf>
    <xf numFmtId="10" fontId="10" fillId="0" borderId="0" xfId="1" applyNumberFormat="1" applyFont="1" applyFill="1" applyBorder="1" applyAlignment="1">
      <alignment vertic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540008</xdr:colOff>
      <xdr:row>0</xdr:row>
      <xdr:rowOff>0</xdr:rowOff>
    </xdr:from>
    <xdr:to>
      <xdr:col>17</xdr:col>
      <xdr:colOff>123696</xdr:colOff>
      <xdr:row>19</xdr:row>
      <xdr:rowOff>127723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3C0D8A-7055-0A42-86D5-FB36AF36E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9508" y="0"/>
          <a:ext cx="9913021" cy="3948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udiaramco.com/-/media/images/investors/saudi-aramco-prospectus-en.pdf?la=en&amp;hash=8DE2DCD689D6E383BB8F4C393033D8964C9F5585" TargetMode="External"/><Relationship Id="rId3" Type="http://schemas.openxmlformats.org/officeDocument/2006/relationships/hyperlink" Target="https://www.bloomberg.com/news/articles/2019-04-01/saudi-oil-giant-aramco-starts-bond-roadshow-gets-a-rating" TargetMode="External"/><Relationship Id="rId7" Type="http://schemas.openxmlformats.org/officeDocument/2006/relationships/hyperlink" Target="http://www.stern.nyu.edu/~adamodar/pc/datasets/betaGlobal.xls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treasury.gov/resource-center/data-chart-center/interest-rates/pages/textview.aspx?data=yield" TargetMode="External"/><Relationship Id="rId1" Type="http://schemas.openxmlformats.org/officeDocument/2006/relationships/hyperlink" Target="https://data.worldbank.org/indicator/NY.GDP.MKTP.KD.ZG" TargetMode="External"/><Relationship Id="rId6" Type="http://schemas.openxmlformats.org/officeDocument/2006/relationships/hyperlink" Target="http://pages.stern.nyu.edu/~adamodar/pc/datasets/ctrypremJuly19.xlsx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saudiaramco.com/-/media/images/investors/saudi-aramco-prospectus-en.pdf?la=en&amp;hash=8DE2DCD689D6E383BB8F4C393033D8964C9F5585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stern.nyu.edu/~adamodar/pc/ratings.xls" TargetMode="External"/><Relationship Id="rId9" Type="http://schemas.openxmlformats.org/officeDocument/2006/relationships/hyperlink" Target="http://www.stern.nyu.edu/~adamodar/pc/datasets/countrytaxrates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D144-66BC-BF45-B201-52290500B223}">
  <sheetPr>
    <pageSetUpPr fitToPage="1"/>
  </sheetPr>
  <dimension ref="A1:G46"/>
  <sheetViews>
    <sheetView showGridLines="0" tabSelected="1" zoomScale="120" zoomScaleNormal="120" workbookViewId="0">
      <selection activeCell="E1" sqref="E1"/>
    </sheetView>
  </sheetViews>
  <sheetFormatPr baseColWidth="10" defaultRowHeight="16" x14ac:dyDescent="0.2"/>
  <cols>
    <col min="1" max="1" width="10.83203125" style="55"/>
    <col min="2" max="2" width="48.1640625" style="1" customWidth="1"/>
    <col min="3" max="3" width="20.33203125" style="1" bestFit="1" customWidth="1"/>
    <col min="4" max="4" width="40" style="1" bestFit="1" customWidth="1"/>
    <col min="5" max="5" width="11.5" style="1" bestFit="1" customWidth="1"/>
    <col min="6" max="6" width="16.33203125" style="1" bestFit="1" customWidth="1"/>
    <col min="7" max="16384" width="10.83203125" style="1"/>
  </cols>
  <sheetData>
    <row r="1" spans="2:5" x14ac:dyDescent="0.2">
      <c r="C1" s="56">
        <f>(C3+E3)/2</f>
        <v>1758025.275405813</v>
      </c>
      <c r="E1" s="56">
        <f>E8*E20</f>
        <v>105065.28875402</v>
      </c>
    </row>
    <row r="2" spans="2:5" x14ac:dyDescent="0.2">
      <c r="B2" s="5" t="s">
        <v>59</v>
      </c>
      <c r="C2" s="6">
        <f>(C3+E3)/2/1000000</f>
        <v>1.758025275405813</v>
      </c>
      <c r="D2" s="24" t="s">
        <v>60</v>
      </c>
      <c r="E2" s="25"/>
    </row>
    <row r="3" spans="2:5" x14ac:dyDescent="0.2">
      <c r="B3" s="33" t="s">
        <v>57</v>
      </c>
      <c r="C3" s="34">
        <f>C9+C8+C7+C6-C5-C4</f>
        <v>1830458.4230115858</v>
      </c>
      <c r="D3" s="33" t="s">
        <v>58</v>
      </c>
      <c r="E3" s="35">
        <f>E7+E4+E5+E6</f>
        <v>1685592.1278000402</v>
      </c>
    </row>
    <row r="4" spans="2:5" x14ac:dyDescent="0.2">
      <c r="B4" s="7" t="s">
        <v>33</v>
      </c>
      <c r="C4" s="8">
        <f>$C$39</f>
        <v>3107</v>
      </c>
      <c r="D4" s="12" t="s">
        <v>35</v>
      </c>
      <c r="E4" s="9">
        <f>$C$38</f>
        <v>4590</v>
      </c>
    </row>
    <row r="5" spans="2:5" x14ac:dyDescent="0.2">
      <c r="B5" s="7" t="s">
        <v>20</v>
      </c>
      <c r="C5" s="8">
        <f>$C$28</f>
        <v>27018</v>
      </c>
      <c r="D5" s="12" t="s">
        <v>34</v>
      </c>
      <c r="E5" s="9">
        <f>$C$37</f>
        <v>6021</v>
      </c>
    </row>
    <row r="6" spans="2:5" x14ac:dyDescent="0.2">
      <c r="B6" s="7" t="s">
        <v>35</v>
      </c>
      <c r="C6" s="8">
        <f>$C$38</f>
        <v>4590</v>
      </c>
      <c r="D6" s="12" t="s">
        <v>21</v>
      </c>
      <c r="E6" s="9">
        <f>$C$29</f>
        <v>48841</v>
      </c>
    </row>
    <row r="7" spans="2:5" x14ac:dyDescent="0.2">
      <c r="B7" s="7" t="s">
        <v>34</v>
      </c>
      <c r="C7" s="8">
        <f>$C$37</f>
        <v>6021</v>
      </c>
      <c r="D7" s="40" t="s">
        <v>48</v>
      </c>
      <c r="E7" s="46">
        <f>E20*E8*(1-((1+E10)^C16/(1+E11)^C16))/(E11-E10)</f>
        <v>1626140.1278000402</v>
      </c>
    </row>
    <row r="8" spans="2:5" x14ac:dyDescent="0.2">
      <c r="B8" s="7" t="s">
        <v>21</v>
      </c>
      <c r="C8" s="8">
        <f>$C$29</f>
        <v>48841</v>
      </c>
      <c r="D8" s="12" t="s">
        <v>56</v>
      </c>
      <c r="E8" s="10">
        <f>1-E10/E9</f>
        <v>0.94592907918376534</v>
      </c>
    </row>
    <row r="9" spans="2:5" x14ac:dyDescent="0.2">
      <c r="B9" s="40" t="s">
        <v>42</v>
      </c>
      <c r="C9" s="47">
        <f>C11*(1-((1+C15)^C16/(1+C10)^C16))/(C10-C15)</f>
        <v>1801131.4230115858</v>
      </c>
      <c r="D9" s="12" t="s">
        <v>55</v>
      </c>
      <c r="E9" s="57">
        <f>E20/C23</f>
        <v>0.40964144249138829</v>
      </c>
    </row>
    <row r="10" spans="2:5" x14ac:dyDescent="0.2">
      <c r="B10" s="11" t="s">
        <v>45</v>
      </c>
      <c r="C10" s="63">
        <f>E14*(1-E18)*C20+E11*(1-C20)</f>
        <v>7.8345341826125223E-2</v>
      </c>
      <c r="D10" s="18" t="s">
        <v>54</v>
      </c>
      <c r="E10" s="58">
        <f>$C$40</f>
        <v>2.214969E-2</v>
      </c>
    </row>
    <row r="11" spans="2:5" x14ac:dyDescent="0.2">
      <c r="B11" s="28" t="s">
        <v>41</v>
      </c>
      <c r="C11" s="65">
        <f>C12*(1-C13)</f>
        <v>107888.75523601103</v>
      </c>
      <c r="D11" s="28" t="s">
        <v>44</v>
      </c>
      <c r="E11" s="32">
        <f>E16+E12*E13</f>
        <v>8.3666142986597081E-2</v>
      </c>
    </row>
    <row r="12" spans="2:5" x14ac:dyDescent="0.2">
      <c r="B12" s="12" t="s">
        <v>39</v>
      </c>
      <c r="C12" s="13">
        <f>E23*(1-E17)*(1+C15)</f>
        <v>113603.75529259403</v>
      </c>
      <c r="D12" s="12" t="s">
        <v>29</v>
      </c>
      <c r="E12" s="14">
        <f>$C$43</f>
        <v>1.0172073426198236</v>
      </c>
    </row>
    <row r="13" spans="2:5" x14ac:dyDescent="0.2">
      <c r="B13" s="12" t="s">
        <v>38</v>
      </c>
      <c r="C13" s="15">
        <f>C15/C14</f>
        <v>5.0306436102078113E-2</v>
      </c>
      <c r="D13" s="12" t="s">
        <v>30</v>
      </c>
      <c r="E13" s="64">
        <f>$C$44</f>
        <v>6.4633964219396503E-2</v>
      </c>
    </row>
    <row r="14" spans="2:5" x14ac:dyDescent="0.2">
      <c r="B14" s="40" t="s">
        <v>37</v>
      </c>
      <c r="C14" s="54">
        <f>E23*(1-E17)/C17</f>
        <v>0.44029535217035609</v>
      </c>
      <c r="D14" s="40" t="s">
        <v>43</v>
      </c>
      <c r="E14" s="59">
        <f>E15+E16</f>
        <v>3.0419999999999999E-2</v>
      </c>
    </row>
    <row r="15" spans="2:5" x14ac:dyDescent="0.2">
      <c r="B15" s="12" t="s">
        <v>40</v>
      </c>
      <c r="C15" s="16">
        <f>$C$40</f>
        <v>2.214969E-2</v>
      </c>
      <c r="D15" s="7" t="s">
        <v>31</v>
      </c>
      <c r="E15" s="17">
        <f>$C$45</f>
        <v>1.2500000000000001E-2</v>
      </c>
    </row>
    <row r="16" spans="2:5" x14ac:dyDescent="0.2">
      <c r="B16" s="18" t="s">
        <v>47</v>
      </c>
      <c r="C16" s="19">
        <f>$C$27</f>
        <v>52</v>
      </c>
      <c r="D16" s="26" t="s">
        <v>36</v>
      </c>
      <c r="E16" s="20">
        <f>$C$42</f>
        <v>1.7919999999999998E-2</v>
      </c>
    </row>
    <row r="17" spans="2:7" x14ac:dyDescent="0.2">
      <c r="B17" s="28" t="s">
        <v>25</v>
      </c>
      <c r="C17" s="30">
        <f>C18-C19</f>
        <v>252426</v>
      </c>
      <c r="D17" s="28" t="s">
        <v>27</v>
      </c>
      <c r="E17" s="31">
        <f>E21/E22</f>
        <v>0.47798112533604048</v>
      </c>
    </row>
    <row r="18" spans="2:7" x14ac:dyDescent="0.2">
      <c r="B18" s="12" t="s">
        <v>24</v>
      </c>
      <c r="C18" s="13">
        <f>$C$31</f>
        <v>301267</v>
      </c>
      <c r="D18" s="12" t="s">
        <v>46</v>
      </c>
      <c r="E18" s="36">
        <f>$C$46</f>
        <v>0.2</v>
      </c>
    </row>
    <row r="19" spans="2:7" x14ac:dyDescent="0.2">
      <c r="B19" s="18" t="s">
        <v>21</v>
      </c>
      <c r="C19" s="19">
        <f>$C$29</f>
        <v>48841</v>
      </c>
      <c r="D19" s="27"/>
      <c r="E19" s="21"/>
    </row>
    <row r="20" spans="2:7" x14ac:dyDescent="0.2">
      <c r="B20" s="28" t="s">
        <v>26</v>
      </c>
      <c r="C20" s="62">
        <f>C21/(C21+C22)</f>
        <v>8.9681246203533738E-2</v>
      </c>
      <c r="D20" s="28" t="s">
        <v>19</v>
      </c>
      <c r="E20" s="29">
        <f>$C$35</f>
        <v>111071</v>
      </c>
    </row>
    <row r="21" spans="2:7" x14ac:dyDescent="0.2">
      <c r="B21" s="12" t="s">
        <v>20</v>
      </c>
      <c r="C21" s="13">
        <f>$C$28</f>
        <v>27018</v>
      </c>
      <c r="D21" s="12" t="s">
        <v>17</v>
      </c>
      <c r="E21" s="22">
        <f>$C$33</f>
        <v>101701</v>
      </c>
    </row>
    <row r="22" spans="2:7" x14ac:dyDescent="0.2">
      <c r="B22" s="12" t="s">
        <v>23</v>
      </c>
      <c r="C22" s="13">
        <f>$C$30</f>
        <v>274249</v>
      </c>
      <c r="D22" s="12" t="s">
        <v>18</v>
      </c>
      <c r="E22" s="22">
        <f>$C$34</f>
        <v>212772</v>
      </c>
    </row>
    <row r="23" spans="2:7" x14ac:dyDescent="0.2">
      <c r="B23" s="18" t="s">
        <v>22</v>
      </c>
      <c r="C23" s="19">
        <f>C36</f>
        <v>271142</v>
      </c>
      <c r="D23" s="18" t="s">
        <v>16</v>
      </c>
      <c r="E23" s="23">
        <f>$C$32</f>
        <v>212908</v>
      </c>
    </row>
    <row r="24" spans="2:7" x14ac:dyDescent="0.2">
      <c r="C24" s="60">
        <f>E14*(1-E18)*C20</f>
        <v>2.1824828076091969E-3</v>
      </c>
      <c r="D24" s="61">
        <f>E11*(1-C20)</f>
        <v>7.6162859018516021E-2</v>
      </c>
    </row>
    <row r="25" spans="2:7" x14ac:dyDescent="0.2">
      <c r="D25" s="61">
        <f>D24+C24</f>
        <v>7.8345341826125223E-2</v>
      </c>
    </row>
    <row r="26" spans="2:7" x14ac:dyDescent="0.2">
      <c r="B26" s="37" t="s">
        <v>69</v>
      </c>
      <c r="C26" s="38" t="s">
        <v>68</v>
      </c>
      <c r="D26" s="38" t="s">
        <v>61</v>
      </c>
      <c r="E26" s="39" t="s">
        <v>49</v>
      </c>
      <c r="F26" s="50" t="s">
        <v>0</v>
      </c>
      <c r="G26" s="4" t="s">
        <v>3</v>
      </c>
    </row>
    <row r="27" spans="2:7" x14ac:dyDescent="0.2">
      <c r="B27" s="7" t="s">
        <v>15</v>
      </c>
      <c r="C27" s="67">
        <v>52</v>
      </c>
      <c r="D27" s="41" t="s">
        <v>63</v>
      </c>
      <c r="E27" s="42" t="s">
        <v>62</v>
      </c>
      <c r="F27" s="51" t="e">
        <v>#N/A</v>
      </c>
      <c r="G27" s="43" t="s">
        <v>5</v>
      </c>
    </row>
    <row r="28" spans="2:7" x14ac:dyDescent="0.2">
      <c r="B28" s="7" t="s">
        <v>20</v>
      </c>
      <c r="C28" s="67">
        <v>27018</v>
      </c>
      <c r="D28" s="41" t="s">
        <v>65</v>
      </c>
      <c r="E28" s="42" t="s">
        <v>62</v>
      </c>
      <c r="F28" s="51" t="s">
        <v>1</v>
      </c>
      <c r="G28" s="43" t="s">
        <v>5</v>
      </c>
    </row>
    <row r="29" spans="2:7" x14ac:dyDescent="0.2">
      <c r="B29" s="7" t="s">
        <v>21</v>
      </c>
      <c r="C29" s="67">
        <v>48841</v>
      </c>
      <c r="D29" s="41" t="s">
        <v>65</v>
      </c>
      <c r="E29" s="42" t="s">
        <v>62</v>
      </c>
      <c r="F29" s="51" t="s">
        <v>1</v>
      </c>
      <c r="G29" s="43" t="s">
        <v>5</v>
      </c>
    </row>
    <row r="30" spans="2:7" x14ac:dyDescent="0.2">
      <c r="B30" s="7" t="s">
        <v>23</v>
      </c>
      <c r="C30" s="67">
        <v>274249</v>
      </c>
      <c r="D30" s="41" t="s">
        <v>65</v>
      </c>
      <c r="E30" s="42" t="s">
        <v>62</v>
      </c>
      <c r="F30" s="51" t="s">
        <v>1</v>
      </c>
      <c r="G30" s="43" t="s">
        <v>5</v>
      </c>
    </row>
    <row r="31" spans="2:7" x14ac:dyDescent="0.2">
      <c r="B31" s="7" t="s">
        <v>24</v>
      </c>
      <c r="C31" s="67">
        <v>301267</v>
      </c>
      <c r="D31" s="41" t="s">
        <v>66</v>
      </c>
      <c r="E31" s="42" t="s">
        <v>62</v>
      </c>
      <c r="F31" s="51" t="s">
        <v>1</v>
      </c>
      <c r="G31" s="43" t="s">
        <v>5</v>
      </c>
    </row>
    <row r="32" spans="2:7" x14ac:dyDescent="0.2">
      <c r="B32" s="7" t="s">
        <v>16</v>
      </c>
      <c r="C32" s="67">
        <v>212908</v>
      </c>
      <c r="D32" s="41" t="s">
        <v>64</v>
      </c>
      <c r="E32" s="42" t="s">
        <v>62</v>
      </c>
      <c r="F32" s="51" t="s">
        <v>1</v>
      </c>
      <c r="G32" s="43" t="s">
        <v>5</v>
      </c>
    </row>
    <row r="33" spans="2:7" x14ac:dyDescent="0.2">
      <c r="B33" s="7" t="s">
        <v>17</v>
      </c>
      <c r="C33" s="67">
        <f>101701</f>
        <v>101701</v>
      </c>
      <c r="D33" s="41" t="s">
        <v>64</v>
      </c>
      <c r="E33" s="42" t="s">
        <v>62</v>
      </c>
      <c r="F33" s="51" t="s">
        <v>1</v>
      </c>
      <c r="G33" s="43" t="s">
        <v>5</v>
      </c>
    </row>
    <row r="34" spans="2:7" x14ac:dyDescent="0.2">
      <c r="B34" s="7" t="s">
        <v>18</v>
      </c>
      <c r="C34" s="67">
        <v>212772</v>
      </c>
      <c r="D34" s="41" t="s">
        <v>64</v>
      </c>
      <c r="E34" s="42" t="s">
        <v>62</v>
      </c>
      <c r="F34" s="51" t="s">
        <v>1</v>
      </c>
      <c r="G34" s="43" t="s">
        <v>5</v>
      </c>
    </row>
    <row r="35" spans="2:7" x14ac:dyDescent="0.2">
      <c r="B35" s="7" t="s">
        <v>19</v>
      </c>
      <c r="C35" s="67">
        <v>111071</v>
      </c>
      <c r="D35" s="41" t="s">
        <v>64</v>
      </c>
      <c r="E35" s="42" t="s">
        <v>62</v>
      </c>
      <c r="F35" s="51" t="s">
        <v>1</v>
      </c>
      <c r="G35" s="43" t="s">
        <v>5</v>
      </c>
    </row>
    <row r="36" spans="2:7" x14ac:dyDescent="0.2">
      <c r="B36" s="7" t="s">
        <v>22</v>
      </c>
      <c r="C36" s="67">
        <v>271142</v>
      </c>
      <c r="D36" s="41" t="s">
        <v>67</v>
      </c>
      <c r="E36" s="42" t="s">
        <v>62</v>
      </c>
      <c r="F36" s="51" t="s">
        <v>1</v>
      </c>
      <c r="G36" s="43" t="s">
        <v>5</v>
      </c>
    </row>
    <row r="37" spans="2:7" x14ac:dyDescent="0.2">
      <c r="B37" s="7" t="s">
        <v>34</v>
      </c>
      <c r="C37" s="67">
        <f>6021+0</f>
        <v>6021</v>
      </c>
      <c r="D37" s="41" t="s">
        <v>67</v>
      </c>
      <c r="E37" s="42" t="s">
        <v>62</v>
      </c>
      <c r="F37" s="51" t="s">
        <v>1</v>
      </c>
      <c r="G37" s="43" t="s">
        <v>5</v>
      </c>
    </row>
    <row r="38" spans="2:7" x14ac:dyDescent="0.2">
      <c r="B38" s="7" t="s">
        <v>35</v>
      </c>
      <c r="C38" s="67">
        <v>4590</v>
      </c>
      <c r="D38" s="41" t="s">
        <v>67</v>
      </c>
      <c r="E38" s="42" t="s">
        <v>62</v>
      </c>
      <c r="F38" s="51" t="s">
        <v>1</v>
      </c>
      <c r="G38" s="43" t="s">
        <v>5</v>
      </c>
    </row>
    <row r="39" spans="2:7" x14ac:dyDescent="0.2">
      <c r="B39" s="7" t="s">
        <v>33</v>
      </c>
      <c r="C39" s="67">
        <v>3107</v>
      </c>
      <c r="D39" s="41" t="s">
        <v>67</v>
      </c>
      <c r="E39" s="42" t="s">
        <v>62</v>
      </c>
      <c r="F39" s="51" t="s">
        <v>1</v>
      </c>
      <c r="G39" s="43" t="s">
        <v>5</v>
      </c>
    </row>
    <row r="40" spans="2:7" x14ac:dyDescent="0.2">
      <c r="B40" s="7" t="s">
        <v>28</v>
      </c>
      <c r="C40" s="73">
        <v>2.214969E-2</v>
      </c>
      <c r="D40" s="66" t="s">
        <v>72</v>
      </c>
      <c r="E40" s="42" t="s">
        <v>50</v>
      </c>
      <c r="F40" s="51" t="s">
        <v>1</v>
      </c>
      <c r="G40" s="44" t="s">
        <v>2</v>
      </c>
    </row>
    <row r="41" spans="2:7" x14ac:dyDescent="0.2">
      <c r="B41" s="7" t="s">
        <v>32</v>
      </c>
      <c r="C41" s="69" t="s">
        <v>8</v>
      </c>
      <c r="D41" s="41" t="s">
        <v>4</v>
      </c>
      <c r="E41" s="42" t="s">
        <v>52</v>
      </c>
      <c r="F41" s="52">
        <f>DATE(2019,4,1)</f>
        <v>43556</v>
      </c>
      <c r="G41" s="3" t="s">
        <v>7</v>
      </c>
    </row>
    <row r="42" spans="2:7" x14ac:dyDescent="0.2">
      <c r="B42" s="7" t="s">
        <v>36</v>
      </c>
      <c r="C42" s="73">
        <v>1.7919999999999998E-2</v>
      </c>
      <c r="D42" s="66" t="s">
        <v>71</v>
      </c>
      <c r="E42" s="45" t="s">
        <v>53</v>
      </c>
      <c r="F42" s="52">
        <f>DATE(2019,12,4)</f>
        <v>43803</v>
      </c>
      <c r="G42" s="2" t="s">
        <v>6</v>
      </c>
    </row>
    <row r="43" spans="2:7" x14ac:dyDescent="0.2">
      <c r="B43" s="7" t="s">
        <v>29</v>
      </c>
      <c r="C43" s="70">
        <v>1.0172073426198236</v>
      </c>
      <c r="D43" s="41" t="s">
        <v>10</v>
      </c>
      <c r="E43" s="42" t="s">
        <v>51</v>
      </c>
      <c r="F43" s="52">
        <f>DATE(2019,1,1)</f>
        <v>43466</v>
      </c>
      <c r="G43" s="43" t="s">
        <v>11</v>
      </c>
    </row>
    <row r="44" spans="2:7" x14ac:dyDescent="0.2">
      <c r="B44" s="7" t="s">
        <v>30</v>
      </c>
      <c r="C44" s="71">
        <v>6.4633964219396503E-2</v>
      </c>
      <c r="D44" s="41" t="s">
        <v>13</v>
      </c>
      <c r="E44" s="42" t="s">
        <v>51</v>
      </c>
      <c r="F44" s="52">
        <f>DATE(2019,7,1)</f>
        <v>43647</v>
      </c>
      <c r="G44" s="43" t="s">
        <v>9</v>
      </c>
    </row>
    <row r="45" spans="2:7" x14ac:dyDescent="0.2">
      <c r="B45" s="7" t="s">
        <v>31</v>
      </c>
      <c r="C45" s="68">
        <v>1.2500000000000001E-2</v>
      </c>
      <c r="D45" s="41" t="s">
        <v>12</v>
      </c>
      <c r="E45" s="42" t="s">
        <v>51</v>
      </c>
      <c r="F45" s="52">
        <f>DATE(2018,1,1)</f>
        <v>43101</v>
      </c>
      <c r="G45" s="43" t="s">
        <v>14</v>
      </c>
    </row>
    <row r="46" spans="2:7" x14ac:dyDescent="0.2">
      <c r="B46" s="26" t="s">
        <v>46</v>
      </c>
      <c r="C46" s="72">
        <v>0.2</v>
      </c>
      <c r="D46" s="48" t="s">
        <v>13</v>
      </c>
      <c r="E46" s="49" t="s">
        <v>51</v>
      </c>
      <c r="F46" s="53">
        <f>DATE(2019,1,1)</f>
        <v>43466</v>
      </c>
      <c r="G46" s="43" t="s">
        <v>70</v>
      </c>
    </row>
  </sheetData>
  <hyperlinks>
    <hyperlink ref="G40" r:id="rId1" xr:uid="{A37E0D12-034A-2E4B-BE1B-D7D5BEBA7306}"/>
    <hyperlink ref="G42" r:id="rId2" xr:uid="{50C1833F-4A0C-CE42-A5EF-625BFD73311B}"/>
    <hyperlink ref="G41" r:id="rId3" xr:uid="{121E1B8B-59FC-6E47-9496-E59017C0E910}"/>
    <hyperlink ref="G45" r:id="rId4" xr:uid="{1B330E8B-8BFC-F14C-9B21-111B8C2E2FB4}"/>
    <hyperlink ref="G37" r:id="rId5" xr:uid="{CC221B15-2569-3942-A3BE-66648B73C844}"/>
    <hyperlink ref="G44" r:id="rId6" xr:uid="{91D85698-13C7-9E4C-A4EF-CFFB03271BDC}"/>
    <hyperlink ref="G43" r:id="rId7" xr:uid="{07065F77-7378-E040-B58C-6618CEB1518D}"/>
    <hyperlink ref="G27" r:id="rId8" xr:uid="{83B24476-0159-F440-97DC-4B142597A6A4}"/>
    <hyperlink ref="G46" r:id="rId9" xr:uid="{1A31E2FF-FD45-C446-97B0-51B81285864D}"/>
  </hyperlinks>
  <pageMargins left="0.7" right="0.7" top="0.75" bottom="0.75" header="0.3" footer="0.3"/>
  <pageSetup orientation="landscape" horizontalDpi="0" verticalDpi="0"/>
  <drawing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</vt:lpstr>
      <vt:lpstr>'2019'!Print_Area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Nicolas Fermin Cota</cp:lastModifiedBy>
  <cp:lastPrinted>2019-12-06T09:28:23Z</cp:lastPrinted>
  <dcterms:created xsi:type="dcterms:W3CDTF">2019-11-15T22:59:24Z</dcterms:created>
  <dcterms:modified xsi:type="dcterms:W3CDTF">2022-08-07T08:20:23Z</dcterms:modified>
</cp:coreProperties>
</file>