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/Dropbox/RHAPSODY/1_FUNDAMENTALS/MODELS/valuation/examples/Saudi-Aramco/2024/"/>
    </mc:Choice>
  </mc:AlternateContent>
  <xr:revisionPtr revIDLastSave="0" documentId="13_ncr:1_{345768AC-B39F-C34F-81AA-3CC5E545ABF8}" xr6:coauthVersionLast="47" xr6:coauthVersionMax="47" xr10:uidLastSave="{00000000-0000-0000-0000-000000000000}"/>
  <bookViews>
    <workbookView xWindow="420" yWindow="500" windowWidth="27640" windowHeight="15780" xr2:uid="{5E83E124-873F-114B-B9EE-A6BE2B264AC4}"/>
  </bookViews>
  <sheets>
    <sheet name="Aramco-Valuation-2024" sheetId="1" r:id="rId1"/>
  </sheets>
  <definedNames>
    <definedName name="_xlnm.Print_Area" localSheetId="0">'Aramco-Valuation-2024'!$B$2:$K$72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72" i="1"/>
  <c r="C43" i="1" s="1"/>
  <c r="C71" i="1"/>
  <c r="C53" i="1" s="1"/>
  <c r="D70" i="1"/>
  <c r="D55" i="1" s="1"/>
  <c r="C67" i="1"/>
  <c r="C66" i="1"/>
  <c r="D64" i="1"/>
  <c r="C64" i="1"/>
  <c r="D63" i="1"/>
  <c r="C63" i="1"/>
  <c r="C60" i="1" s="1"/>
  <c r="D61" i="1"/>
  <c r="C61" i="1"/>
  <c r="C59" i="1"/>
  <c r="D54" i="1"/>
  <c r="D53" i="1"/>
  <c r="D50" i="1"/>
  <c r="D49" i="1"/>
  <c r="D44" i="1"/>
  <c r="D66" i="1" s="1"/>
  <c r="C44" i="1"/>
  <c r="D42" i="1"/>
  <c r="C42" i="1"/>
  <c r="D41" i="1"/>
  <c r="C41" i="1"/>
  <c r="D40" i="1"/>
  <c r="D62" i="1" s="1"/>
  <c r="C40" i="1"/>
  <c r="C35" i="1"/>
  <c r="C70" i="1" s="1"/>
  <c r="C34" i="1"/>
  <c r="C54" i="1" s="1"/>
  <c r="C32" i="1"/>
  <c r="C50" i="1" s="1"/>
  <c r="B32" i="1"/>
  <c r="B50" i="1" s="1"/>
  <c r="C31" i="1"/>
  <c r="C49" i="1" s="1"/>
  <c r="B31" i="1"/>
  <c r="B49" i="1" s="1"/>
  <c r="B30" i="1"/>
  <c r="B48" i="1" s="1"/>
  <c r="D26" i="1"/>
  <c r="C26" i="1"/>
  <c r="D25" i="1"/>
  <c r="C25" i="1"/>
  <c r="C22" i="1"/>
  <c r="C21" i="1"/>
  <c r="D19" i="1"/>
  <c r="C19" i="1"/>
  <c r="C37" i="1" l="1"/>
  <c r="C38" i="1"/>
  <c r="C36" i="1" s="1"/>
  <c r="C33" i="1" s="1"/>
  <c r="C30" i="1" s="1"/>
  <c r="C13" i="1" s="1"/>
  <c r="C69" i="1"/>
  <c r="C55" i="1"/>
  <c r="C65" i="1"/>
  <c r="C20" i="1"/>
  <c r="C17" i="1" s="1"/>
  <c r="C12" i="1" s="1"/>
  <c r="C62" i="1"/>
  <c r="C58" i="1" s="1"/>
  <c r="C57" i="1"/>
  <c r="C56" i="1" l="1"/>
  <c r="C51" i="1" s="1"/>
  <c r="C48" i="1" s="1"/>
  <c r="C14" i="1" s="1"/>
  <c r="C11" i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Nicolas Fermin Cota</author>
  </authors>
  <commentList>
    <comment ref="C4" authorId="0" shapeId="0" xr:uid="{66CA482B-0231-404F-9672-1AE10E67BE3C}">
      <text>
        <r>
          <rPr>
            <sz val="10"/>
            <color rgb="FF000000"/>
            <rFont val="Tahoma"/>
            <family val="2"/>
          </rPr>
          <t xml:space="preserve">US Risk Free: 4.1%
</t>
        </r>
        <r>
          <rPr>
            <sz val="10"/>
            <color rgb="FF000000"/>
            <rFont val="Tahoma"/>
            <family val="2"/>
          </rPr>
          <t xml:space="preserve">Saudi Risk Free: 4.78%
</t>
        </r>
        <r>
          <rPr>
            <sz val="10"/>
            <color rgb="FF000000"/>
            <rFont val="Tahoma"/>
            <family val="2"/>
          </rPr>
          <t xml:space="preserve">Saudi Inflation in SAR: 2.11%
</t>
        </r>
        <r>
          <rPr>
            <sz val="10"/>
            <color rgb="FF000000"/>
            <rFont val="Tahoma"/>
            <family val="2"/>
          </rPr>
          <t xml:space="preserve">Saudi Inflation in USD: 1.447%
</t>
        </r>
      </text>
    </comment>
  </commentList>
</comments>
</file>

<file path=xl/sharedStrings.xml><?xml version="1.0" encoding="utf-8"?>
<sst xmlns="http://schemas.openxmlformats.org/spreadsheetml/2006/main" count="86" uniqueCount="65">
  <si>
    <t>Key Valuaton Inputs</t>
  </si>
  <si>
    <t>Date of valuation</t>
  </si>
  <si>
    <t>Expected inflation rate</t>
  </si>
  <si>
    <t>from IMF Global Inflation rates @ https://rpubs.com/rafael_nicolas/global_interest_rates_dynamics_inflation</t>
  </si>
  <si>
    <t>Number of years of production left</t>
  </si>
  <si>
    <t>from 2.2.3 Reserves Life @ https://rpubs.com/rafael_nicolas/aramco</t>
  </si>
  <si>
    <t>Probability of regime change</t>
  </si>
  <si>
    <t>from https://aswathdamodaran.blogspot.com/2019/11/regime-change-and-value-follow-up-post.html</t>
  </si>
  <si>
    <t>Weighted Valuation</t>
  </si>
  <si>
    <t>Price as % of Value</t>
  </si>
  <si>
    <t>Market Capitalization</t>
  </si>
  <si>
    <t>Dividend Discount Value</t>
  </si>
  <si>
    <t>FCFE Value</t>
  </si>
  <si>
    <t>FCFF-based Value of Equity</t>
  </si>
  <si>
    <t>Regime Change Adjusted Value</t>
  </si>
  <si>
    <t>Value of Equity with regime change (as % of status quo value)</t>
  </si>
  <si>
    <t>If you expect expropriate, this can be 0%</t>
  </si>
  <si>
    <t xml:space="preserve">Value of Equity </t>
  </si>
  <si>
    <t>Cost of Equity</t>
  </si>
  <si>
    <t>Beta</t>
  </si>
  <si>
    <t>Guaranteed by Saudi Government</t>
  </si>
  <si>
    <t>ERP for Saudi Arabia</t>
  </si>
  <si>
    <t>ERP at the start of 2024 for Saudi Arabia: https://rpubs.com/rafael_nicolas/crp</t>
  </si>
  <si>
    <t>Risk free Rate in US $</t>
  </si>
  <si>
    <t>Number of years</t>
  </si>
  <si>
    <t>Expected Growth rate</t>
  </si>
  <si>
    <t>Expected Dividends next year</t>
  </si>
  <si>
    <t>Value of Equity</t>
  </si>
  <si>
    <t xml:space="preserve"> + Cross Holdings</t>
  </si>
  <si>
    <t>From page 164 @ https://www.aramco.com/-/media/publications/corporate-reports/annual-reports/saudi-aramco-ara-2023-english.pdf</t>
  </si>
  <si>
    <t xml:space="preserve"> + Cash</t>
  </si>
  <si>
    <t>From page 35 @ https://www.aramco.com/-/media/publications/corporate-reports/annual-reports/saudi-aramco-ara-2023-english.pdf</t>
  </si>
  <si>
    <t>Imputed Payout Ratio</t>
  </si>
  <si>
    <t>Beta for integrated oil</t>
  </si>
  <si>
    <t>Global beta for integrated oil companies, start of 2024 (https://pages.stern.nyu.edu/~adamodar/pc/datasets/betaGlobal.xls)</t>
  </si>
  <si>
    <t>Expected return on equity</t>
  </si>
  <si>
    <t>Expected growth in earnings</t>
  </si>
  <si>
    <t>Net Income</t>
  </si>
  <si>
    <t>From page 8 @ https://www.aramco.com/-/media/publications/corporate-reports/annual-reports/saudi-aramco-ara-2023-english.pdf</t>
  </si>
  <si>
    <t xml:space="preserve"> - Minority Interests</t>
  </si>
  <si>
    <t xml:space="preserve"> - Debt</t>
  </si>
  <si>
    <t>Value of Operating Assets</t>
  </si>
  <si>
    <t>Imputed Reinvestment Rate</t>
  </si>
  <si>
    <t>Cost of Capital</t>
  </si>
  <si>
    <t>Debt Ratio</t>
  </si>
  <si>
    <t>Cost of debt in USD</t>
  </si>
  <si>
    <t>Based on A1 rating assigned by Moody's to company</t>
  </si>
  <si>
    <t xml:space="preserve">Number of years </t>
  </si>
  <si>
    <t>Return on invested capital (after-tax)</t>
  </si>
  <si>
    <t>Based on Invested Capital</t>
  </si>
  <si>
    <t xml:space="preserve">Expected growth rate </t>
  </si>
  <si>
    <t>Tax rate</t>
  </si>
  <si>
    <t>From page 34 @ https://www.aramco.com/-/media/publications/corporate-reports/annual-reports/saudi-aramco-ara-2023-english.pdf</t>
  </si>
  <si>
    <t>Operating Income</t>
  </si>
  <si>
    <t>Invested Capital</t>
  </si>
  <si>
    <t>Cash</t>
  </si>
  <si>
    <t>Total Debt</t>
  </si>
  <si>
    <t>Book Equity</t>
  </si>
  <si>
    <t>Our best judgment of cumulative probability over time</t>
  </si>
  <si>
    <t>If we expect expropriate, this can be 0%</t>
  </si>
  <si>
    <t>US T. Bond rate on May 31st 2024: https://www.cnbc.com/quotes/US10Y</t>
  </si>
  <si>
    <t>as of May 31st 2024</t>
  </si>
  <si>
    <t>At the right price, I would buy shares of Saudi Aramco in any setting or at any time. At the wrong price, there is no good time to buy.</t>
  </si>
  <si>
    <t>Based on book equity on Annual Report 2023</t>
  </si>
  <si>
    <t>from page 8 @ https://www.aramco.com/-/media/publications/corporate-reports/annual-reports/saudi-aramco-ara-2023-english.pdf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</si>
</sst>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;@"/>
    <numFmt numFmtId="165" formatCode="&quot;$&quot;#,##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9" fontId="5" fillId="0" borderId="0" xfId="2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44" fontId="5" fillId="0" borderId="0" xfId="0" applyNumberFormat="1" applyFont="1" applyAlignment="1">
      <alignment vertical="center"/>
    </xf>
    <xf numFmtId="165" fontId="6" fillId="0" borderId="0" xfId="1" applyNumberFormat="1" applyFont="1" applyFill="1" applyBorder="1" applyAlignment="1">
      <alignment vertical="center"/>
    </xf>
    <xf numFmtId="10" fontId="5" fillId="0" borderId="0" xfId="2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0" fontId="6" fillId="0" borderId="0" xfId="2" applyNumberFormat="1" applyFont="1" applyFill="1" applyBorder="1" applyAlignment="1">
      <alignment vertical="center"/>
    </xf>
    <xf numFmtId="2" fontId="5" fillId="0" borderId="0" xfId="2" applyNumberFormat="1" applyFont="1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38E1-8650-D94B-A1BC-59C6CFAFC23F}">
  <sheetPr>
    <pageSetUpPr fitToPage="1"/>
  </sheetPr>
  <dimension ref="B2:L94"/>
  <sheetViews>
    <sheetView tabSelected="1" view="pageBreakPreview" topLeftCell="A44" zoomScaleNormal="100" zoomScaleSheetLayoutView="100" workbookViewId="0">
      <selection activeCell="C55" sqref="C55"/>
    </sheetView>
  </sheetViews>
  <sheetFormatPr baseColWidth="10" defaultRowHeight="16" x14ac:dyDescent="0.2"/>
  <cols>
    <col min="1" max="1" width="10.83203125" style="5"/>
    <col min="2" max="2" width="50.33203125" style="6" customWidth="1"/>
    <col min="3" max="3" width="14.33203125" style="5" customWidth="1"/>
    <col min="4" max="4" width="13.83203125" style="8" customWidth="1"/>
    <col min="5" max="6" width="10.83203125" style="5"/>
    <col min="7" max="7" width="18.6640625" style="5" bestFit="1" customWidth="1"/>
    <col min="8" max="8" width="20.1640625" style="5" bestFit="1" customWidth="1"/>
    <col min="9" max="11" width="10.83203125" style="5"/>
    <col min="12" max="12" width="13.83203125" style="5" customWidth="1"/>
    <col min="13" max="16384" width="10.83203125" style="5"/>
  </cols>
  <sheetData>
    <row r="2" spans="2:12" x14ac:dyDescent="0.2">
      <c r="B2" s="1" t="s">
        <v>0</v>
      </c>
      <c r="C2" s="2"/>
      <c r="D2" s="3"/>
      <c r="E2" s="4"/>
      <c r="F2" s="4"/>
      <c r="G2" s="4"/>
      <c r="H2" s="4"/>
      <c r="I2" s="4"/>
      <c r="J2" s="4"/>
      <c r="K2" s="4"/>
      <c r="L2" s="4"/>
    </row>
    <row r="3" spans="2:12" x14ac:dyDescent="0.2">
      <c r="B3" s="6" t="s">
        <v>1</v>
      </c>
      <c r="C3" s="7">
        <f>DATE(2024, 6,2)</f>
        <v>45445</v>
      </c>
    </row>
    <row r="4" spans="2:12" x14ac:dyDescent="0.2">
      <c r="B4" s="6" t="s">
        <v>2</v>
      </c>
      <c r="C4" s="9">
        <v>2.5999999999999999E-2</v>
      </c>
      <c r="D4" s="10" t="s">
        <v>3</v>
      </c>
    </row>
    <row r="5" spans="2:12" x14ac:dyDescent="0.2">
      <c r="B5" s="6" t="s">
        <v>4</v>
      </c>
      <c r="C5" s="11">
        <v>50</v>
      </c>
      <c r="D5" s="8" t="s">
        <v>5</v>
      </c>
    </row>
    <row r="6" spans="2:12" x14ac:dyDescent="0.2">
      <c r="B6" s="6" t="s">
        <v>6</v>
      </c>
      <c r="C6" s="12">
        <v>0.2</v>
      </c>
      <c r="D6" s="8" t="s">
        <v>7</v>
      </c>
    </row>
    <row r="8" spans="2:12" x14ac:dyDescent="0.2">
      <c r="B8" s="1" t="s">
        <v>8</v>
      </c>
      <c r="C8" s="2"/>
      <c r="D8" s="3"/>
      <c r="E8" s="4"/>
      <c r="F8" s="4"/>
      <c r="G8" s="4"/>
      <c r="H8" s="4"/>
      <c r="I8" s="4"/>
      <c r="J8" s="4"/>
      <c r="K8" s="4"/>
      <c r="L8" s="4"/>
    </row>
    <row r="9" spans="2:12" x14ac:dyDescent="0.2">
      <c r="B9" s="6" t="s">
        <v>9</v>
      </c>
      <c r="C9" s="13">
        <f>C10/C11</f>
        <v>1.1825979151116393</v>
      </c>
      <c r="D9" s="8" t="s">
        <v>62</v>
      </c>
    </row>
    <row r="10" spans="2:12" x14ac:dyDescent="0.2">
      <c r="B10" s="6" t="s">
        <v>10</v>
      </c>
      <c r="C10" s="14">
        <v>1836</v>
      </c>
      <c r="D10" s="10" t="s">
        <v>61</v>
      </c>
    </row>
    <row r="11" spans="2:12" x14ac:dyDescent="0.2">
      <c r="B11" s="6" t="s">
        <v>8</v>
      </c>
      <c r="C11" s="15">
        <f>C12*1/3+C13*1/3+C14*1/3</f>
        <v>1552.5141525610406</v>
      </c>
    </row>
    <row r="12" spans="2:12" x14ac:dyDescent="0.2">
      <c r="B12" s="6" t="s">
        <v>11</v>
      </c>
      <c r="C12" s="15">
        <f>C17</f>
        <v>1670.6741731546906</v>
      </c>
    </row>
    <row r="13" spans="2:12" x14ac:dyDescent="0.2">
      <c r="B13" s="6" t="s">
        <v>12</v>
      </c>
      <c r="C13" s="15">
        <f>C30</f>
        <v>1513.4290530050355</v>
      </c>
    </row>
    <row r="14" spans="2:12" x14ac:dyDescent="0.2">
      <c r="B14" s="6" t="s">
        <v>13</v>
      </c>
      <c r="C14" s="15">
        <f>C48</f>
        <v>1473.4392315233954</v>
      </c>
    </row>
    <row r="15" spans="2:12" x14ac:dyDescent="0.2">
      <c r="B15" s="5"/>
    </row>
    <row r="16" spans="2:12" x14ac:dyDescent="0.2">
      <c r="B16" s="1" t="s">
        <v>11</v>
      </c>
      <c r="C16" s="2"/>
      <c r="D16" s="3"/>
      <c r="E16" s="4"/>
      <c r="F16" s="4"/>
      <c r="G16" s="4"/>
      <c r="H16" s="4"/>
      <c r="I16" s="4"/>
      <c r="J16" s="4"/>
      <c r="K16" s="4"/>
      <c r="L16" s="4"/>
    </row>
    <row r="17" spans="2:12" x14ac:dyDescent="0.2">
      <c r="B17" s="6" t="s">
        <v>14</v>
      </c>
      <c r="C17" s="15">
        <f>C20*(1-C19)+C19*C18*C20</f>
        <v>1670.6741731546906</v>
      </c>
    </row>
    <row r="18" spans="2:12" x14ac:dyDescent="0.2">
      <c r="B18" s="6" t="s">
        <v>15</v>
      </c>
      <c r="C18" s="12">
        <v>0.5</v>
      </c>
      <c r="D18" s="8" t="s">
        <v>16</v>
      </c>
    </row>
    <row r="19" spans="2:12" x14ac:dyDescent="0.2">
      <c r="B19" s="6" t="s">
        <v>6</v>
      </c>
      <c r="C19" s="16">
        <f>C6</f>
        <v>0.2</v>
      </c>
      <c r="D19" s="16" t="str">
        <f>D6</f>
        <v>from https://aswathdamodaran.blogspot.com/2019/11/regime-change-and-value-follow-up-post.html</v>
      </c>
    </row>
    <row r="20" spans="2:12" x14ac:dyDescent="0.2">
      <c r="B20" s="6" t="s">
        <v>17</v>
      </c>
      <c r="C20" s="15">
        <f>C27*(1-((1+C26)^C25)/((1+C21)^C25))/(C21-C26)</f>
        <v>1856.3046368385451</v>
      </c>
      <c r="D20" s="5"/>
    </row>
    <row r="21" spans="2:12" x14ac:dyDescent="0.2">
      <c r="B21" s="6" t="s">
        <v>18</v>
      </c>
      <c r="C21" s="17">
        <f>C24+C22*C23</f>
        <v>7.3099999999999998E-2</v>
      </c>
      <c r="D21" s="5"/>
    </row>
    <row r="22" spans="2:12" x14ac:dyDescent="0.2">
      <c r="B22" s="6" t="s">
        <v>19</v>
      </c>
      <c r="C22" s="11">
        <f>0.5</f>
        <v>0.5</v>
      </c>
      <c r="D22" s="8" t="s">
        <v>20</v>
      </c>
    </row>
    <row r="23" spans="2:12" x14ac:dyDescent="0.2">
      <c r="B23" s="6" t="s">
        <v>21</v>
      </c>
      <c r="C23" s="9">
        <v>5.6300000000000003E-2</v>
      </c>
      <c r="D23" s="8" t="s">
        <v>22</v>
      </c>
    </row>
    <row r="24" spans="2:12" x14ac:dyDescent="0.2">
      <c r="B24" s="6" t="s">
        <v>23</v>
      </c>
      <c r="C24" s="9">
        <v>4.4949999999999997E-2</v>
      </c>
      <c r="D24" s="8" t="s">
        <v>60</v>
      </c>
    </row>
    <row r="25" spans="2:12" x14ac:dyDescent="0.2">
      <c r="B25" s="6" t="s">
        <v>24</v>
      </c>
      <c r="C25" s="18">
        <f>C5</f>
        <v>50</v>
      </c>
      <c r="D25" s="18" t="str">
        <f>D5</f>
        <v>from 2.2.3 Reserves Life @ https://rpubs.com/rafael_nicolas/aramco</v>
      </c>
      <c r="E25" s="19"/>
    </row>
    <row r="26" spans="2:12" x14ac:dyDescent="0.2">
      <c r="B26" s="6" t="s">
        <v>25</v>
      </c>
      <c r="C26" s="17">
        <f>C4</f>
        <v>2.5999999999999999E-2</v>
      </c>
      <c r="D26" s="17" t="str">
        <f>D4</f>
        <v>from IMF Global Inflation rates @ https://rpubs.com/rafael_nicolas/global_interest_rates_dynamics_inflation</v>
      </c>
      <c r="E26" s="19"/>
    </row>
    <row r="27" spans="2:12" x14ac:dyDescent="0.2">
      <c r="B27" s="6" t="s">
        <v>26</v>
      </c>
      <c r="C27" s="20">
        <v>97.8</v>
      </c>
      <c r="D27" s="17" t="s">
        <v>64</v>
      </c>
    </row>
    <row r="28" spans="2:12" x14ac:dyDescent="0.2">
      <c r="B28" s="5"/>
      <c r="D28" s="5"/>
    </row>
    <row r="29" spans="2:12" x14ac:dyDescent="0.2">
      <c r="B29" s="1" t="s">
        <v>12</v>
      </c>
      <c r="C29" s="2"/>
      <c r="D29" s="3"/>
      <c r="E29" s="4"/>
      <c r="F29" s="4"/>
      <c r="G29" s="4"/>
      <c r="H29" s="4"/>
      <c r="I29" s="4"/>
      <c r="J29" s="4"/>
      <c r="K29" s="4"/>
      <c r="L29" s="4"/>
    </row>
    <row r="30" spans="2:12" x14ac:dyDescent="0.2">
      <c r="B30" s="6" t="str">
        <f>B17</f>
        <v>Regime Change Adjusted Value</v>
      </c>
      <c r="C30" s="15">
        <f>C33*(1-C32)+C32*C31*C33</f>
        <v>1513.4290530050355</v>
      </c>
    </row>
    <row r="31" spans="2:12" x14ac:dyDescent="0.2">
      <c r="B31" s="6" t="str">
        <f>B18</f>
        <v>Value of Equity with regime change (as % of status quo value)</v>
      </c>
      <c r="C31" s="21">
        <f>C18</f>
        <v>0.5</v>
      </c>
      <c r="D31" s="8" t="s">
        <v>59</v>
      </c>
    </row>
    <row r="32" spans="2:12" x14ac:dyDescent="0.2">
      <c r="B32" s="6" t="str">
        <f>B19</f>
        <v>Probability of regime change</v>
      </c>
      <c r="C32" s="21">
        <f>C6</f>
        <v>0.2</v>
      </c>
      <c r="D32" s="8" t="s">
        <v>58</v>
      </c>
    </row>
    <row r="33" spans="2:12" x14ac:dyDescent="0.2">
      <c r="B33" s="6" t="s">
        <v>27</v>
      </c>
      <c r="C33" s="15">
        <f>C36+C35+C34</f>
        <v>1681.5878366722616</v>
      </c>
    </row>
    <row r="34" spans="2:12" x14ac:dyDescent="0.2">
      <c r="B34" s="6" t="s">
        <v>28</v>
      </c>
      <c r="C34" s="20">
        <f>18.526+9.06</f>
        <v>27.585999999999999</v>
      </c>
      <c r="D34" s="8" t="s">
        <v>29</v>
      </c>
    </row>
    <row r="35" spans="2:12" x14ac:dyDescent="0.2">
      <c r="B35" s="6" t="s">
        <v>30</v>
      </c>
      <c r="C35" s="20">
        <f>49.158+53.059</f>
        <v>102.217</v>
      </c>
      <c r="D35" s="8" t="s">
        <v>31</v>
      </c>
    </row>
    <row r="36" spans="2:12" x14ac:dyDescent="0.2">
      <c r="B36" s="6" t="s">
        <v>17</v>
      </c>
      <c r="C36" s="15">
        <f>C45*C37*(1-((1+C44)^C42/(1+C38)^C42))/(C38-C44)</f>
        <v>1551.7848366722615</v>
      </c>
    </row>
    <row r="37" spans="2:12" x14ac:dyDescent="0.2">
      <c r="B37" s="6" t="s">
        <v>32</v>
      </c>
      <c r="C37" s="21">
        <f>1-C44/C43</f>
        <v>0.91228397361912617</v>
      </c>
    </row>
    <row r="38" spans="2:12" x14ac:dyDescent="0.2">
      <c r="B38" s="6" t="s">
        <v>18</v>
      </c>
      <c r="C38" s="17">
        <f>C41+C39*C40</f>
        <v>9.4493999999999995E-2</v>
      </c>
    </row>
    <row r="39" spans="2:12" x14ac:dyDescent="0.2">
      <c r="B39" s="6" t="s">
        <v>33</v>
      </c>
      <c r="C39" s="11">
        <v>0.88</v>
      </c>
      <c r="D39" s="8" t="s">
        <v>34</v>
      </c>
    </row>
    <row r="40" spans="2:12" x14ac:dyDescent="0.2">
      <c r="B40" s="6" t="s">
        <v>21</v>
      </c>
      <c r="C40" s="21">
        <f>C23</f>
        <v>5.6300000000000003E-2</v>
      </c>
      <c r="D40" s="21" t="str">
        <f>D23</f>
        <v>ERP at the start of 2024 for Saudi Arabia: https://rpubs.com/rafael_nicolas/crp</v>
      </c>
    </row>
    <row r="41" spans="2:12" x14ac:dyDescent="0.2">
      <c r="B41" s="6" t="s">
        <v>23</v>
      </c>
      <c r="C41" s="17">
        <f>C24</f>
        <v>4.4949999999999997E-2</v>
      </c>
      <c r="D41" s="17" t="str">
        <f>D24</f>
        <v>US T. Bond rate on May 31st 2024: https://www.cnbc.com/quotes/US10Y</v>
      </c>
    </row>
    <row r="42" spans="2:12" x14ac:dyDescent="0.2">
      <c r="B42" s="6" t="s">
        <v>24</v>
      </c>
      <c r="C42" s="5">
        <f>C5</f>
        <v>50</v>
      </c>
      <c r="D42" s="5" t="str">
        <f>D5</f>
        <v>from 2.2.3 Reserves Life @ https://rpubs.com/rafael_nicolas/aramco</v>
      </c>
    </row>
    <row r="43" spans="2:12" x14ac:dyDescent="0.2">
      <c r="B43" s="6" t="s">
        <v>35</v>
      </c>
      <c r="C43" s="21">
        <f>C45/C72</f>
        <v>0.29641105591245975</v>
      </c>
      <c r="D43" s="8" t="s">
        <v>63</v>
      </c>
    </row>
    <row r="44" spans="2:12" x14ac:dyDescent="0.2">
      <c r="B44" s="6" t="s">
        <v>36</v>
      </c>
      <c r="C44" s="17">
        <f>C4</f>
        <v>2.5999999999999999E-2</v>
      </c>
      <c r="D44" s="17" t="str">
        <f>D4</f>
        <v>from IMF Global Inflation rates @ https://rpubs.com/rafael_nicolas/global_interest_rates_dynamics_inflation</v>
      </c>
    </row>
    <row r="45" spans="2:12" x14ac:dyDescent="0.2">
      <c r="B45" s="6" t="s">
        <v>37</v>
      </c>
      <c r="C45" s="20">
        <v>121.3</v>
      </c>
      <c r="D45" s="8" t="s">
        <v>38</v>
      </c>
    </row>
    <row r="46" spans="2:12" x14ac:dyDescent="0.2">
      <c r="B46" s="5"/>
      <c r="D46" s="5"/>
    </row>
    <row r="47" spans="2:12" x14ac:dyDescent="0.2">
      <c r="B47" s="1" t="s">
        <v>13</v>
      </c>
      <c r="C47" s="2"/>
      <c r="D47" s="3"/>
      <c r="E47" s="4"/>
      <c r="F47" s="4"/>
      <c r="G47" s="4"/>
      <c r="H47" s="4"/>
      <c r="I47" s="4"/>
      <c r="J47" s="4"/>
      <c r="K47" s="4"/>
      <c r="L47" s="4"/>
    </row>
    <row r="48" spans="2:12" x14ac:dyDescent="0.2">
      <c r="B48" s="6" t="str">
        <f>B30</f>
        <v>Regime Change Adjusted Value</v>
      </c>
      <c r="C48" s="15">
        <f>C51*(1-C50)+C50*C49*C51</f>
        <v>1473.4392315233954</v>
      </c>
    </row>
    <row r="49" spans="2:4" x14ac:dyDescent="0.2">
      <c r="B49" s="6" t="str">
        <f>B31</f>
        <v>Value of Equity with regime change (as % of status quo value)</v>
      </c>
      <c r="C49" s="17">
        <f>C31</f>
        <v>0.5</v>
      </c>
      <c r="D49" s="17" t="str">
        <f>D31</f>
        <v>If we expect expropriate, this can be 0%</v>
      </c>
    </row>
    <row r="50" spans="2:4" x14ac:dyDescent="0.2">
      <c r="B50" s="6" t="str">
        <f>B32</f>
        <v>Probability of regime change</v>
      </c>
      <c r="C50" s="17">
        <f>C32</f>
        <v>0.2</v>
      </c>
      <c r="D50" s="17" t="str">
        <f>D32</f>
        <v>Our best judgment of cumulative probability over time</v>
      </c>
    </row>
    <row r="51" spans="2:4" x14ac:dyDescent="0.2">
      <c r="B51" s="6" t="s">
        <v>27</v>
      </c>
      <c r="C51" s="15">
        <f>C56+C55+C54-C53-C52</f>
        <v>1637.1547016926613</v>
      </c>
    </row>
    <row r="52" spans="2:4" x14ac:dyDescent="0.2">
      <c r="B52" s="6" t="s">
        <v>39</v>
      </c>
      <c r="C52" s="20">
        <v>53.996000000000002</v>
      </c>
      <c r="D52" s="8" t="s">
        <v>29</v>
      </c>
    </row>
    <row r="53" spans="2:4" x14ac:dyDescent="0.2">
      <c r="B53" s="6" t="s">
        <v>40</v>
      </c>
      <c r="C53" s="22">
        <f>C71</f>
        <v>77.373000000000005</v>
      </c>
      <c r="D53" s="22" t="str">
        <f>D71</f>
        <v>From page 164 @ https://www.aramco.com/-/media/publications/corporate-reports/annual-reports/saudi-aramco-ara-2023-english.pdf</v>
      </c>
    </row>
    <row r="54" spans="2:4" x14ac:dyDescent="0.2">
      <c r="B54" s="6" t="s">
        <v>28</v>
      </c>
      <c r="C54" s="22">
        <f>C34</f>
        <v>27.585999999999999</v>
      </c>
      <c r="D54" s="22" t="str">
        <f>D34</f>
        <v>From page 164 @ https://www.aramco.com/-/media/publications/corporate-reports/annual-reports/saudi-aramco-ara-2023-english.pdf</v>
      </c>
    </row>
    <row r="55" spans="2:4" x14ac:dyDescent="0.2">
      <c r="B55" s="6" t="s">
        <v>30</v>
      </c>
      <c r="C55" s="22">
        <f>C70</f>
        <v>102.217</v>
      </c>
      <c r="D55" s="22" t="str">
        <f>D70</f>
        <v>From page 35 @ https://www.aramco.com/-/media/publications/corporate-reports/annual-reports/saudi-aramco-ara-2023-english.pdf</v>
      </c>
    </row>
    <row r="56" spans="2:4" x14ac:dyDescent="0.2">
      <c r="B56" s="6" t="s">
        <v>41</v>
      </c>
      <c r="C56" s="22">
        <f>C68*(1-C67)*(1-C57)*(1+C66)*(1-((1+C66)^C64/(1+C58)^C64))/(C58-C66)</f>
        <v>1638.7207016926614</v>
      </c>
    </row>
    <row r="57" spans="2:4" x14ac:dyDescent="0.2">
      <c r="B57" s="6" t="s">
        <v>42</v>
      </c>
      <c r="C57" s="21">
        <f>C66/C65</f>
        <v>4.4314646695292399E-2</v>
      </c>
    </row>
    <row r="58" spans="2:4" x14ac:dyDescent="0.2">
      <c r="B58" s="6" t="s">
        <v>43</v>
      </c>
      <c r="C58" s="17">
        <f>C63+C61*C62*(1-C59)+C60*(1-0.2)*C59</f>
        <v>9.4091808000000013E-2</v>
      </c>
    </row>
    <row r="59" spans="2:4" x14ac:dyDescent="0.2">
      <c r="B59" s="6" t="s">
        <v>44</v>
      </c>
      <c r="C59" s="23">
        <f>CHOOSE(1,0.063,C71/(C48-C71))</f>
        <v>6.3E-2</v>
      </c>
      <c r="D59" s="8" t="s">
        <v>31</v>
      </c>
    </row>
    <row r="60" spans="2:4" x14ac:dyDescent="0.2">
      <c r="B60" s="6" t="s">
        <v>45</v>
      </c>
      <c r="C60" s="9">
        <f>C63+0.9%</f>
        <v>5.3949999999999998E-2</v>
      </c>
      <c r="D60" s="8" t="s">
        <v>46</v>
      </c>
    </row>
    <row r="61" spans="2:4" x14ac:dyDescent="0.2">
      <c r="B61" s="6" t="s">
        <v>33</v>
      </c>
      <c r="C61" s="5">
        <f>C39</f>
        <v>0.88</v>
      </c>
      <c r="D61" s="8" t="str">
        <f>D39</f>
        <v>Global beta for integrated oil companies, start of 2024 (https://pages.stern.nyu.edu/~adamodar/pc/datasets/betaGlobal.xls)</v>
      </c>
    </row>
    <row r="62" spans="2:4" x14ac:dyDescent="0.2">
      <c r="B62" s="6" t="s">
        <v>21</v>
      </c>
      <c r="C62" s="17">
        <f>C40</f>
        <v>5.6300000000000003E-2</v>
      </c>
      <c r="D62" s="8" t="str">
        <f>D40</f>
        <v>ERP at the start of 2024 for Saudi Arabia: https://rpubs.com/rafael_nicolas/crp</v>
      </c>
    </row>
    <row r="63" spans="2:4" x14ac:dyDescent="0.2">
      <c r="B63" s="6" t="s">
        <v>23</v>
      </c>
      <c r="C63" s="17">
        <f>C24</f>
        <v>4.4949999999999997E-2</v>
      </c>
      <c r="D63" s="17" t="str">
        <f>D24</f>
        <v>US T. Bond rate on May 31st 2024: https://www.cnbc.com/quotes/US10Y</v>
      </c>
    </row>
    <row r="64" spans="2:4" x14ac:dyDescent="0.2">
      <c r="B64" s="6" t="s">
        <v>47</v>
      </c>
      <c r="C64" s="24">
        <f>C5</f>
        <v>50</v>
      </c>
      <c r="D64" s="24" t="str">
        <f>D5</f>
        <v>from 2.2.3 Reserves Life @ https://rpubs.com/rafael_nicolas/aramco</v>
      </c>
    </row>
    <row r="65" spans="2:4" x14ac:dyDescent="0.2">
      <c r="B65" s="6" t="s">
        <v>48</v>
      </c>
      <c r="C65" s="21">
        <f>C68*(1-C66)/C69</f>
        <v>0.58671346696671312</v>
      </c>
      <c r="D65" s="8" t="s">
        <v>49</v>
      </c>
    </row>
    <row r="66" spans="2:4" x14ac:dyDescent="0.2">
      <c r="B66" s="6" t="s">
        <v>50</v>
      </c>
      <c r="C66" s="21">
        <f>C44</f>
        <v>2.5999999999999999E-2</v>
      </c>
      <c r="D66" s="21" t="str">
        <f>D44</f>
        <v>from IMF Global Inflation rates @ https://rpubs.com/rafael_nicolas/global_interest_rates_dynamics_inflation</v>
      </c>
    </row>
    <row r="67" spans="2:4" x14ac:dyDescent="0.2">
      <c r="B67" s="6" t="s">
        <v>51</v>
      </c>
      <c r="C67" s="23">
        <f>115.547/236.818</f>
        <v>0.48791476999214584</v>
      </c>
      <c r="D67" s="8" t="s">
        <v>52</v>
      </c>
    </row>
    <row r="68" spans="2:4" x14ac:dyDescent="0.2">
      <c r="B68" s="6" t="s">
        <v>53</v>
      </c>
      <c r="C68" s="20">
        <v>231.54400000000001</v>
      </c>
      <c r="D68" s="8" t="s">
        <v>52</v>
      </c>
    </row>
    <row r="69" spans="2:4" x14ac:dyDescent="0.2">
      <c r="B69" s="6" t="s">
        <v>54</v>
      </c>
      <c r="C69" s="22">
        <f>C72+C71-C70</f>
        <v>384.38499999999999</v>
      </c>
      <c r="D69" s="22"/>
    </row>
    <row r="70" spans="2:4" x14ac:dyDescent="0.2">
      <c r="B70" s="6" t="s">
        <v>55</v>
      </c>
      <c r="C70" s="22">
        <f>C35</f>
        <v>102.217</v>
      </c>
      <c r="D70" s="22" t="str">
        <f>D35</f>
        <v>From page 35 @ https://www.aramco.com/-/media/publications/corporate-reports/annual-reports/saudi-aramco-ara-2023-english.pdf</v>
      </c>
    </row>
    <row r="71" spans="2:4" x14ac:dyDescent="0.2">
      <c r="B71" s="6" t="s">
        <v>56</v>
      </c>
      <c r="C71" s="20">
        <f>60.395+16.978</f>
        <v>77.373000000000005</v>
      </c>
      <c r="D71" s="8" t="s">
        <v>29</v>
      </c>
    </row>
    <row r="72" spans="2:4" x14ac:dyDescent="0.2">
      <c r="B72" s="6" t="s">
        <v>57</v>
      </c>
      <c r="C72" s="20">
        <f>409.229</f>
        <v>409.22899999999998</v>
      </c>
      <c r="D72" s="8" t="s">
        <v>29</v>
      </c>
    </row>
    <row r="73" spans="2:4" x14ac:dyDescent="0.2">
      <c r="B73" s="5"/>
      <c r="D73" s="5"/>
    </row>
    <row r="74" spans="2:4" x14ac:dyDescent="0.2">
      <c r="B74" s="5"/>
      <c r="D74" s="5"/>
    </row>
    <row r="75" spans="2:4" x14ac:dyDescent="0.2">
      <c r="B75" s="5"/>
      <c r="D75" s="5"/>
    </row>
    <row r="76" spans="2:4" x14ac:dyDescent="0.2">
      <c r="B76" s="5"/>
      <c r="D76" s="5"/>
    </row>
    <row r="77" spans="2:4" x14ac:dyDescent="0.2">
      <c r="B77" s="5"/>
      <c r="D77" s="5"/>
    </row>
    <row r="78" spans="2:4" x14ac:dyDescent="0.2">
      <c r="B78" s="5"/>
      <c r="D78" s="5"/>
    </row>
    <row r="79" spans="2:4" x14ac:dyDescent="0.2">
      <c r="B79" s="5"/>
      <c r="D79" s="5"/>
    </row>
    <row r="80" spans="2:4" x14ac:dyDescent="0.2">
      <c r="B80" s="5"/>
      <c r="D80" s="5"/>
    </row>
    <row r="81" s="5" customFormat="1" x14ac:dyDescent="0.2"/>
    <row r="82" s="5" customFormat="1" x14ac:dyDescent="0.2"/>
    <row r="83" s="5" customFormat="1" x14ac:dyDescent="0.2"/>
    <row r="84" s="5" customFormat="1" x14ac:dyDescent="0.2"/>
    <row r="85" s="5" customFormat="1" x14ac:dyDescent="0.2"/>
    <row r="86" s="5" customFormat="1" x14ac:dyDescent="0.2"/>
    <row r="87" s="5" customFormat="1" x14ac:dyDescent="0.2"/>
    <row r="88" s="5" customFormat="1" x14ac:dyDescent="0.2"/>
    <row r="89" s="5" customFormat="1" x14ac:dyDescent="0.2"/>
    <row r="90" s="5" customFormat="1" x14ac:dyDescent="0.2"/>
    <row r="91" s="5" customFormat="1" x14ac:dyDescent="0.2"/>
    <row r="92" s="5" customFormat="1" x14ac:dyDescent="0.2"/>
    <row r="93" s="5" customFormat="1" x14ac:dyDescent="0.2"/>
    <row r="94" s="5" customFormat="1" x14ac:dyDescent="0.2"/>
  </sheetData>
  <pageMargins left="0.7" right="0.7" top="0.75" bottom="0.75" header="0.3" footer="0.3"/>
  <pageSetup scale="49" orientation="portrait" horizontalDpi="0" verticalDpi="0"/>
  <headerFooter>
    <oddFooter>Prepared by Rafael Nicolas Fermin Cota &amp;D&amp;RPage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Aramco-Valuation-2024</vt:lpstr>
      <vt:lpstr>'Aramco-Valuation-2024'!Print_Area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Nicolas Fermin Cota</dc:creator>
  <cp:lastModifiedBy>Rafael Nicolas Fermin Cota</cp:lastModifiedBy>
  <cp:lastPrinted>2024-06-03T03:20:36Z</cp:lastPrinted>
  <dcterms:created xsi:type="dcterms:W3CDTF">2024-03-12T04:49:37Z</dcterms:created>
  <dcterms:modified xsi:type="dcterms:W3CDTF">2025-03-06T07:52:24Z</dcterms:modified>
</cp:coreProperties>
</file>