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o/Dropbox/RHAPSODY/1_FUNDAMENTALS/MODELS/valuation/examples/Saudi-Aramco/2025/"/>
    </mc:Choice>
  </mc:AlternateContent>
  <xr:revisionPtr revIDLastSave="0" documentId="13_ncr:1_{A77AA89E-5955-F240-98AA-099A83D85659}" xr6:coauthVersionLast="47" xr6:coauthVersionMax="47" xr10:uidLastSave="{00000000-0000-0000-0000-000000000000}"/>
  <bookViews>
    <workbookView xWindow="1160" yWindow="500" windowWidth="27640" windowHeight="15780" xr2:uid="{5E83E124-873F-114B-B9EE-A6BE2B264AC4}"/>
  </bookViews>
  <sheets>
    <sheet name="Aramco-Valuation-2025" sheetId="1" r:id="rId1"/>
  </sheets>
  <definedNames>
    <definedName name="_xlnm.Print_Area" localSheetId="0">'Aramco-Valuation-2025'!$B$2:$K$72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0" i="1" l="1"/>
  <c r="C55" i="1"/>
  <c r="C62" i="1"/>
  <c r="C67" i="1"/>
  <c r="C66" i="1"/>
  <c r="C29" i="1"/>
  <c r="C30" i="1"/>
  <c r="C3" i="1"/>
  <c r="C38" i="1" l="1"/>
  <c r="C48" i="1"/>
  <c r="D65" i="1"/>
  <c r="D50" i="1" s="1"/>
  <c r="D59" i="1"/>
  <c r="C59" i="1"/>
  <c r="D58" i="1"/>
  <c r="C58" i="1"/>
  <c r="D56" i="1"/>
  <c r="C56" i="1"/>
  <c r="D49" i="1"/>
  <c r="D48" i="1"/>
  <c r="D45" i="1"/>
  <c r="D44" i="1"/>
  <c r="D39" i="1"/>
  <c r="D61" i="1" s="1"/>
  <c r="C39" i="1"/>
  <c r="C61" i="1" s="1"/>
  <c r="D37" i="1"/>
  <c r="C37" i="1"/>
  <c r="D36" i="1"/>
  <c r="C36" i="1"/>
  <c r="D35" i="1"/>
  <c r="D57" i="1" s="1"/>
  <c r="C35" i="1"/>
  <c r="C65" i="1"/>
  <c r="C49" i="1"/>
  <c r="C27" i="1"/>
  <c r="C45" i="1" s="1"/>
  <c r="B27" i="1"/>
  <c r="B45" i="1" s="1"/>
  <c r="C26" i="1"/>
  <c r="C44" i="1" s="1"/>
  <c r="B26" i="1"/>
  <c r="B44" i="1" s="1"/>
  <c r="B25" i="1"/>
  <c r="B43" i="1" s="1"/>
  <c r="D21" i="1"/>
  <c r="C21" i="1"/>
  <c r="D20" i="1"/>
  <c r="C20" i="1"/>
  <c r="C17" i="1"/>
  <c r="C16" i="1"/>
  <c r="D14" i="1"/>
  <c r="C14" i="1"/>
  <c r="C32" i="1" l="1"/>
  <c r="C33" i="1"/>
  <c r="C64" i="1"/>
  <c r="C50" i="1"/>
  <c r="C60" i="1"/>
  <c r="C52" i="1" s="1"/>
  <c r="C15" i="1"/>
  <c r="C12" i="1" s="1"/>
  <c r="C7" i="1" s="1"/>
  <c r="C57" i="1"/>
  <c r="C31" i="1" l="1"/>
  <c r="C28" i="1" s="1"/>
  <c r="C25" i="1" s="1"/>
  <c r="C8" i="1" s="1"/>
  <c r="C4" i="1"/>
  <c r="C6" i="1"/>
  <c r="C9" i="1"/>
  <c r="C43" i="1"/>
  <c r="C46" i="1"/>
  <c r="C51" i="1"/>
  <c r="C53" i="1"/>
  <c r="C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Nicolas Fermin Cota</author>
  </authors>
  <commentList>
    <comment ref="C70" authorId="0" shapeId="0" xr:uid="{66CA482B-0231-404F-9672-1AE10E67BE3C}">
      <text>
        <r>
          <rPr>
            <sz val="10"/>
            <color rgb="FF000000"/>
            <rFont val="Tahoma"/>
            <family val="2"/>
          </rPr>
          <t xml:space="preserve">US Risk Free: 4.33%
</t>
        </r>
        <r>
          <rPr>
            <sz val="10"/>
            <color rgb="FF000000"/>
            <rFont val="Tahoma"/>
            <family val="2"/>
          </rPr>
          <t xml:space="preserve">Saudi Risk Free: 4.18%
</t>
        </r>
        <r>
          <rPr>
            <sz val="10"/>
            <color rgb="FF000000"/>
            <rFont val="Tahoma"/>
            <family val="2"/>
          </rPr>
          <t xml:space="preserve">Saudi Inflation in SAR: 2.00%
</t>
        </r>
        <r>
          <rPr>
            <sz val="10"/>
            <color rgb="FF000000"/>
            <rFont val="Tahoma"/>
            <family val="2"/>
          </rPr>
          <t xml:space="preserve">Saudi Inflation in USD: 1.447%
</t>
        </r>
      </text>
    </comment>
  </commentList>
</comments>
</file>

<file path=xl/sharedStrings.xml><?xml version="1.0" encoding="utf-8"?>
<sst xmlns="http://schemas.openxmlformats.org/spreadsheetml/2006/main" count="86" uniqueCount="64">
  <si>
    <t>Key Valuaton Inputs</t>
  </si>
  <si>
    <t>Date of valuation</t>
  </si>
  <si>
    <t>Expected inflation rate</t>
  </si>
  <si>
    <t>from IMF Global Inflation rates @ https://rpubs.com/rafael_nicolas/global_interest_rates_dynamics_inflation</t>
  </si>
  <si>
    <t>Number of years of production left</t>
  </si>
  <si>
    <t>from 2.2.3 Reserves Life @ https://rpubs.com/rafael_nicolas/aramco</t>
  </si>
  <si>
    <t>Probability of regime change</t>
  </si>
  <si>
    <t>from https://aswathdamodaran.blogspot.com/2019/11/regime-change-and-value-follow-up-post.html</t>
  </si>
  <si>
    <t>Weighted Valuation</t>
  </si>
  <si>
    <t>Price as % of Value</t>
  </si>
  <si>
    <t>Market Capitalization</t>
  </si>
  <si>
    <t>Dividend Discount Value</t>
  </si>
  <si>
    <t>FCFE Value</t>
  </si>
  <si>
    <t>FCFF-based Value of Equity</t>
  </si>
  <si>
    <t>Regime Change Adjusted Value</t>
  </si>
  <si>
    <t>Value of Equity with regime change (as % of status quo value)</t>
  </si>
  <si>
    <t>If you expect expropriate, this can be 0%</t>
  </si>
  <si>
    <t xml:space="preserve">Value of Equity </t>
  </si>
  <si>
    <t>Cost of Equity</t>
  </si>
  <si>
    <t>Beta</t>
  </si>
  <si>
    <t>Guaranteed by Saudi Government</t>
  </si>
  <si>
    <t>ERP for Saudi Arabia</t>
  </si>
  <si>
    <t>Risk free Rate in US $</t>
  </si>
  <si>
    <t>Number of years</t>
  </si>
  <si>
    <t>Expected Growth rate</t>
  </si>
  <si>
    <t>Expected Dividends next year</t>
  </si>
  <si>
    <t>Value of Equity</t>
  </si>
  <si>
    <t xml:space="preserve"> + Cross Holdings</t>
  </si>
  <si>
    <t xml:space="preserve"> + Cash</t>
  </si>
  <si>
    <t>Imputed Payout Ratio</t>
  </si>
  <si>
    <t>Beta for integrated oil</t>
  </si>
  <si>
    <t>Expected return on equity</t>
  </si>
  <si>
    <t>Expected growth in earnings</t>
  </si>
  <si>
    <t>Net Income</t>
  </si>
  <si>
    <t xml:space="preserve"> - Minority Interests</t>
  </si>
  <si>
    <t xml:space="preserve"> - Debt</t>
  </si>
  <si>
    <t>Value of Operating Assets</t>
  </si>
  <si>
    <t>Imputed Reinvestment Rate</t>
  </si>
  <si>
    <t>Cost of Capital</t>
  </si>
  <si>
    <t>Debt Ratio</t>
  </si>
  <si>
    <t>Cost of debt in USD</t>
  </si>
  <si>
    <t xml:space="preserve">Number of years </t>
  </si>
  <si>
    <t>Return on invested capital (after-tax)</t>
  </si>
  <si>
    <t>Based on Invested Capital</t>
  </si>
  <si>
    <t xml:space="preserve">Expected growth rate </t>
  </si>
  <si>
    <t>Tax rate</t>
  </si>
  <si>
    <t>Operating Income</t>
  </si>
  <si>
    <t>Invested Capital</t>
  </si>
  <si>
    <t>Cash</t>
  </si>
  <si>
    <t>Total Debt</t>
  </si>
  <si>
    <t>Book Equity</t>
  </si>
  <si>
    <t>Our best judgment of cumulative probability over time</t>
  </si>
  <si>
    <t>If we expect expropriate, this can be 0%</t>
  </si>
  <si>
    <t>At the right price, I would buy shares of Saudi Aramco in any setting or at any time. At the wrong price, there is no good time to buy.</t>
  </si>
  <si>
    <t>ERP at the start of 2025 for Saudi Arabia: https://rpubs.com/rafael_nicolas/crp</t>
  </si>
  <si>
    <t>https://www.cnbc.com/2025/03/04/saudi-oil-giant-aramco-posts-drop-in-full-year-profit-slashes-dividend.html</t>
  </si>
  <si>
    <t>US T. Bond rate on March 5th 2025: https://www.cnbc.com/quotes/US10Y</t>
  </si>
  <si>
    <t>as of March 5th 2025</t>
  </si>
  <si>
    <t>From page 164 @ https://www.aramco.com/-/media/publications/corporate-reports/annual-reports/saudi-aramco-ara-2024-english.pdf</t>
  </si>
  <si>
    <t>Unlevered global beta for integrated oil companies, start of 2025 (https://pages.stern.nyu.edu/~adamodar/pc/datasets/betaGlobal.xls)</t>
  </si>
  <si>
    <t>Based on book equity on Annual Report 2024</t>
  </si>
  <si>
    <t>From page 162 @ https://www.aramco.com/-/media/publications/corporate-reports/annual-reports/saudi-aramco-ara-2024-english.pdf</t>
  </si>
  <si>
    <t>Based on total default spread for cost of debt @ https://pages.stern.nyu.edu/~adamodar/pc/datasets/globalcompfirms2025.xlsx</t>
  </si>
  <si>
    <t>From page 185 @ https://www.aramco.com/-/media/publications/corporate-reports/annual-reports/saudi-aramco-ara-2024-english.pdf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</si>
</sst>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d\-mmm\-yy;@"/>
    <numFmt numFmtId="165" formatCode="&quot;$&quot;#,##0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Tahoma"/>
      <family val="2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color rgb="FF0070C0"/>
      <name val="Times New Roman"/>
      <family val="1"/>
    </font>
    <font>
      <u/>
      <sz val="12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164" fontId="6" fillId="0" borderId="0" xfId="0" applyNumberFormat="1" applyFont="1" applyAlignment="1">
      <alignment vertical="center"/>
    </xf>
    <xf numFmtId="0" fontId="5" fillId="0" borderId="0" xfId="0" applyFont="1" applyAlignment="1">
      <alignment horizontal="left" vertical="center"/>
    </xf>
    <xf numFmtId="10" fontId="6" fillId="0" borderId="0" xfId="0" applyNumberFormat="1" applyFont="1" applyAlignment="1">
      <alignment vertical="center"/>
    </xf>
    <xf numFmtId="0" fontId="5" fillId="0" borderId="0" xfId="0" quotePrefix="1" applyFont="1" applyAlignment="1">
      <alignment horizontal="left" vertical="center"/>
    </xf>
    <xf numFmtId="0" fontId="6" fillId="0" borderId="0" xfId="0" applyFont="1" applyAlignment="1">
      <alignment vertical="center"/>
    </xf>
    <xf numFmtId="9" fontId="6" fillId="0" borderId="0" xfId="0" applyNumberFormat="1" applyFont="1" applyAlignment="1">
      <alignment vertical="center"/>
    </xf>
    <xf numFmtId="9" fontId="5" fillId="0" borderId="0" xfId="2" applyFont="1" applyFill="1" applyBorder="1" applyAlignment="1">
      <alignment vertical="center"/>
    </xf>
    <xf numFmtId="165" fontId="6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9" fontId="5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44" fontId="5" fillId="0" borderId="0" xfId="0" applyNumberFormat="1" applyFont="1" applyAlignment="1">
      <alignment vertical="center"/>
    </xf>
    <xf numFmtId="165" fontId="6" fillId="0" borderId="0" xfId="1" applyNumberFormat="1" applyFont="1" applyFill="1" applyBorder="1" applyAlignment="1">
      <alignment vertical="center"/>
    </xf>
    <xf numFmtId="10" fontId="5" fillId="0" borderId="0" xfId="2" applyNumberFormat="1" applyFont="1" applyFill="1" applyBorder="1" applyAlignment="1">
      <alignment vertical="center"/>
    </xf>
    <xf numFmtId="165" fontId="5" fillId="0" borderId="0" xfId="1" applyNumberFormat="1" applyFont="1" applyFill="1" applyBorder="1" applyAlignment="1">
      <alignment vertical="center"/>
    </xf>
    <xf numFmtId="10" fontId="6" fillId="0" borderId="0" xfId="2" applyNumberFormat="1" applyFont="1" applyFill="1" applyBorder="1" applyAlignment="1">
      <alignment vertical="center"/>
    </xf>
    <xf numFmtId="2" fontId="5" fillId="0" borderId="0" xfId="2" applyNumberFormat="1" applyFont="1" applyFill="1" applyBorder="1" applyAlignment="1">
      <alignment vertical="center"/>
    </xf>
    <xf numFmtId="10" fontId="7" fillId="0" borderId="0" xfId="3" applyNumberFormat="1" applyAlignment="1">
      <alignment vertic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cnbc.com/2025/03/04/saudi-oil-giant-aramco-posts-drop-in-full-year-profit-slashes-divide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C38E1-8650-D94B-A1BC-59C6CFAFC23F}">
  <sheetPr>
    <pageSetUpPr fitToPage="1"/>
  </sheetPr>
  <dimension ref="B2:L88"/>
  <sheetViews>
    <sheetView tabSelected="1" view="pageBreakPreview" zoomScaleNormal="100" zoomScaleSheetLayoutView="100" workbookViewId="0">
      <selection activeCell="D14" sqref="D14"/>
    </sheetView>
  </sheetViews>
  <sheetFormatPr baseColWidth="10" defaultRowHeight="16" x14ac:dyDescent="0.2"/>
  <cols>
    <col min="1" max="1" width="10.83203125" style="5"/>
    <col min="2" max="2" width="50.33203125" style="6" customWidth="1"/>
    <col min="3" max="3" width="14.33203125" style="5" customWidth="1"/>
    <col min="4" max="4" width="13.83203125" style="8" customWidth="1"/>
    <col min="5" max="6" width="10.83203125" style="5"/>
    <col min="7" max="7" width="18.6640625" style="5" bestFit="1" customWidth="1"/>
    <col min="8" max="8" width="20.1640625" style="5" bestFit="1" customWidth="1"/>
    <col min="9" max="11" width="10.83203125" style="5"/>
    <col min="12" max="12" width="13.83203125" style="5" customWidth="1"/>
    <col min="13" max="16384" width="10.83203125" style="5"/>
  </cols>
  <sheetData>
    <row r="2" spans="2:12" x14ac:dyDescent="0.2">
      <c r="B2" s="1" t="s">
        <v>8</v>
      </c>
      <c r="C2" s="2"/>
      <c r="D2" s="3"/>
      <c r="E2" s="4"/>
      <c r="F2" s="4"/>
      <c r="G2" s="4"/>
      <c r="H2" s="4"/>
      <c r="I2" s="4"/>
      <c r="J2" s="4"/>
      <c r="K2" s="4"/>
      <c r="L2" s="4"/>
    </row>
    <row r="3" spans="2:12" x14ac:dyDescent="0.2">
      <c r="B3" s="6" t="s">
        <v>1</v>
      </c>
      <c r="C3" s="7">
        <f>DATE(2025,3,5)</f>
        <v>45721</v>
      </c>
    </row>
    <row r="4" spans="2:12" x14ac:dyDescent="0.2">
      <c r="B4" s="6" t="s">
        <v>9</v>
      </c>
      <c r="C4" s="13">
        <f ca="1">C5/C6</f>
        <v>1.2278579477331584</v>
      </c>
      <c r="D4" s="8" t="s">
        <v>53</v>
      </c>
    </row>
    <row r="5" spans="2:12" x14ac:dyDescent="0.2">
      <c r="B5" s="6" t="s">
        <v>10</v>
      </c>
      <c r="C5" s="14">
        <v>1717</v>
      </c>
      <c r="D5" s="10" t="s">
        <v>57</v>
      </c>
    </row>
    <row r="6" spans="2:12" x14ac:dyDescent="0.2">
      <c r="B6" s="6" t="s">
        <v>8</v>
      </c>
      <c r="C6" s="15">
        <f ca="1">C7*1/3+C8*1/3+C9*1/3</f>
        <v>1398.3702293646782</v>
      </c>
    </row>
    <row r="7" spans="2:12" x14ac:dyDescent="0.2">
      <c r="B7" s="6" t="s">
        <v>11</v>
      </c>
      <c r="C7" s="15">
        <f>C12</f>
        <v>1451.800195583909</v>
      </c>
    </row>
    <row r="8" spans="2:12" x14ac:dyDescent="0.2">
      <c r="B8" s="6" t="s">
        <v>12</v>
      </c>
      <c r="C8" s="15">
        <f>C25</f>
        <v>1401.7800168497552</v>
      </c>
    </row>
    <row r="9" spans="2:12" x14ac:dyDescent="0.2">
      <c r="B9" s="6" t="s">
        <v>13</v>
      </c>
      <c r="C9" s="15">
        <f ca="1">C43</f>
        <v>1341.53047566037</v>
      </c>
    </row>
    <row r="10" spans="2:12" x14ac:dyDescent="0.2">
      <c r="B10" s="5"/>
    </row>
    <row r="11" spans="2:12" x14ac:dyDescent="0.2">
      <c r="B11" s="1" t="s">
        <v>11</v>
      </c>
      <c r="C11" s="2"/>
      <c r="D11" s="3"/>
      <c r="E11" s="4"/>
      <c r="F11" s="4"/>
      <c r="G11" s="4"/>
      <c r="H11" s="4"/>
      <c r="I11" s="4"/>
      <c r="J11" s="4"/>
      <c r="K11" s="4"/>
      <c r="L11" s="4"/>
    </row>
    <row r="12" spans="2:12" x14ac:dyDescent="0.2">
      <c r="B12" s="6" t="s">
        <v>14</v>
      </c>
      <c r="C12" s="15">
        <f>C15*(1-C14)+C14*C13*C15</f>
        <v>1451.800195583909</v>
      </c>
    </row>
    <row r="13" spans="2:12" x14ac:dyDescent="0.2">
      <c r="B13" s="6" t="s">
        <v>15</v>
      </c>
      <c r="C13" s="12">
        <v>0.5</v>
      </c>
      <c r="D13" s="8" t="s">
        <v>16</v>
      </c>
    </row>
    <row r="14" spans="2:12" x14ac:dyDescent="0.2">
      <c r="B14" s="6" t="s">
        <v>6</v>
      </c>
      <c r="C14" s="16">
        <f>C72</f>
        <v>0.2</v>
      </c>
      <c r="D14" s="16" t="str">
        <f>D72</f>
        <v>from https://aswathdamodaran.blogspot.com/2019/11/regime-change-and-value-follow-up-post.html</v>
      </c>
    </row>
    <row r="15" spans="2:12" x14ac:dyDescent="0.2">
      <c r="B15" s="6" t="s">
        <v>17</v>
      </c>
      <c r="C15" s="15">
        <f>C22*(1-((1+C21)^C20)/((1+C16)^C20))/(C16-C21)</f>
        <v>1613.1113284265655</v>
      </c>
      <c r="D15" s="5"/>
    </row>
    <row r="16" spans="2:12" x14ac:dyDescent="0.2">
      <c r="B16" s="6" t="s">
        <v>18</v>
      </c>
      <c r="C16" s="17">
        <f>C19+C17*C18</f>
        <v>6.8949999999999997E-2</v>
      </c>
      <c r="D16" s="5"/>
    </row>
    <row r="17" spans="2:12" x14ac:dyDescent="0.2">
      <c r="B17" s="6" t="s">
        <v>19</v>
      </c>
      <c r="C17" s="11">
        <f>0.5</f>
        <v>0.5</v>
      </c>
      <c r="D17" s="8" t="s">
        <v>20</v>
      </c>
    </row>
    <row r="18" spans="2:12" x14ac:dyDescent="0.2">
      <c r="B18" s="6" t="s">
        <v>21</v>
      </c>
      <c r="C18" s="9">
        <v>5.1299999999999998E-2</v>
      </c>
      <c r="D18" s="8" t="s">
        <v>54</v>
      </c>
    </row>
    <row r="19" spans="2:12" x14ac:dyDescent="0.2">
      <c r="B19" s="6" t="s">
        <v>22</v>
      </c>
      <c r="C19" s="9">
        <v>4.3299999999999998E-2</v>
      </c>
      <c r="D19" s="8" t="s">
        <v>56</v>
      </c>
    </row>
    <row r="20" spans="2:12" x14ac:dyDescent="0.2">
      <c r="B20" s="6" t="s">
        <v>23</v>
      </c>
      <c r="C20" s="18">
        <f>C71</f>
        <v>50</v>
      </c>
      <c r="D20" s="18" t="str">
        <f>D71</f>
        <v>from 2.2.3 Reserves Life @ https://rpubs.com/rafael_nicolas/aramco</v>
      </c>
      <c r="E20" s="19"/>
    </row>
    <row r="21" spans="2:12" x14ac:dyDescent="0.2">
      <c r="B21" s="6" t="s">
        <v>24</v>
      </c>
      <c r="C21" s="17">
        <f>C70</f>
        <v>2.1468612017661703E-2</v>
      </c>
      <c r="D21" s="17" t="str">
        <f>D70</f>
        <v>from IMF Global Inflation rates @ https://rpubs.com/rafael_nicolas/global_interest_rates_dynamics_inflation</v>
      </c>
      <c r="E21" s="19"/>
    </row>
    <row r="22" spans="2:12" x14ac:dyDescent="0.2">
      <c r="B22" s="6" t="s">
        <v>25</v>
      </c>
      <c r="C22" s="20">
        <v>85.4</v>
      </c>
      <c r="D22" s="25" t="s">
        <v>55</v>
      </c>
    </row>
    <row r="23" spans="2:12" x14ac:dyDescent="0.2">
      <c r="B23" s="5"/>
      <c r="D23" s="5"/>
    </row>
    <row r="24" spans="2:12" x14ac:dyDescent="0.2">
      <c r="B24" s="1" t="s">
        <v>12</v>
      </c>
      <c r="C24" s="2"/>
      <c r="D24" s="3"/>
      <c r="E24" s="4"/>
      <c r="F24" s="4"/>
      <c r="G24" s="4"/>
      <c r="H24" s="4"/>
      <c r="I24" s="4"/>
      <c r="J24" s="4"/>
      <c r="K24" s="4"/>
      <c r="L24" s="4"/>
    </row>
    <row r="25" spans="2:12" x14ac:dyDescent="0.2">
      <c r="B25" s="6" t="str">
        <f>B12</f>
        <v>Regime Change Adjusted Value</v>
      </c>
      <c r="C25" s="15">
        <f>C28*(1-C27)+C27*C26*C28</f>
        <v>1401.7800168497552</v>
      </c>
    </row>
    <row r="26" spans="2:12" x14ac:dyDescent="0.2">
      <c r="B26" s="6" t="str">
        <f>B13</f>
        <v>Value of Equity with regime change (as % of status quo value)</v>
      </c>
      <c r="C26" s="21">
        <f>C13</f>
        <v>0.5</v>
      </c>
      <c r="D26" s="8" t="s">
        <v>52</v>
      </c>
    </row>
    <row r="27" spans="2:12" x14ac:dyDescent="0.2">
      <c r="B27" s="6" t="str">
        <f>B14</f>
        <v>Probability of regime change</v>
      </c>
      <c r="C27" s="21">
        <f>C72</f>
        <v>0.2</v>
      </c>
      <c r="D27" s="8" t="s">
        <v>51</v>
      </c>
    </row>
    <row r="28" spans="2:12" x14ac:dyDescent="0.2">
      <c r="B28" s="6" t="s">
        <v>26</v>
      </c>
      <c r="C28" s="15">
        <f>C31+C30+C29</f>
        <v>1557.5333520552833</v>
      </c>
    </row>
    <row r="29" spans="2:12" x14ac:dyDescent="0.2">
      <c r="B29" s="6" t="s">
        <v>27</v>
      </c>
      <c r="C29" s="20">
        <f>17.403+10.455</f>
        <v>27.857999999999997</v>
      </c>
      <c r="D29" s="8" t="s">
        <v>58</v>
      </c>
    </row>
    <row r="30" spans="2:12" x14ac:dyDescent="0.2">
      <c r="B30" s="6" t="s">
        <v>28</v>
      </c>
      <c r="C30" s="20">
        <f>3.516+57.771</f>
        <v>61.286999999999999</v>
      </c>
      <c r="D30" s="8" t="s">
        <v>58</v>
      </c>
    </row>
    <row r="31" spans="2:12" x14ac:dyDescent="0.2">
      <c r="B31" s="6" t="s">
        <v>17</v>
      </c>
      <c r="C31" s="15">
        <f>C40*C32*(1-((1+C39)^C37/(1+C33)^C37))/(C33-C39)</f>
        <v>1468.3883520552833</v>
      </c>
    </row>
    <row r="32" spans="2:12" x14ac:dyDescent="0.2">
      <c r="B32" s="6" t="s">
        <v>29</v>
      </c>
      <c r="C32" s="21">
        <f>1-C39/C38</f>
        <v>0.92142475069367369</v>
      </c>
    </row>
    <row r="33" spans="2:12" x14ac:dyDescent="0.2">
      <c r="B33" s="6" t="s">
        <v>18</v>
      </c>
      <c r="C33" s="17">
        <f>C36+C34*C35</f>
        <v>8.4852999999999998E-2</v>
      </c>
    </row>
    <row r="34" spans="2:12" x14ac:dyDescent="0.2">
      <c r="B34" s="6" t="s">
        <v>30</v>
      </c>
      <c r="C34" s="11">
        <v>0.81</v>
      </c>
      <c r="D34" s="8" t="s">
        <v>59</v>
      </c>
    </row>
    <row r="35" spans="2:12" x14ac:dyDescent="0.2">
      <c r="B35" s="6" t="s">
        <v>21</v>
      </c>
      <c r="C35" s="21">
        <f>C18</f>
        <v>5.1299999999999998E-2</v>
      </c>
      <c r="D35" s="21" t="str">
        <f>D18</f>
        <v>ERP at the start of 2025 for Saudi Arabia: https://rpubs.com/rafael_nicolas/crp</v>
      </c>
    </row>
    <row r="36" spans="2:12" x14ac:dyDescent="0.2">
      <c r="B36" s="6" t="s">
        <v>22</v>
      </c>
      <c r="C36" s="17">
        <f>C19</f>
        <v>4.3299999999999998E-2</v>
      </c>
      <c r="D36" s="17" t="str">
        <f>D19</f>
        <v>US T. Bond rate on March 5th 2025: https://www.cnbc.com/quotes/US10Y</v>
      </c>
    </row>
    <row r="37" spans="2:12" x14ac:dyDescent="0.2">
      <c r="B37" s="6" t="s">
        <v>23</v>
      </c>
      <c r="C37" s="5">
        <f>C71</f>
        <v>50</v>
      </c>
      <c r="D37" s="5" t="str">
        <f>D71</f>
        <v>from 2.2.3 Reserves Life @ https://rpubs.com/rafael_nicolas/aramco</v>
      </c>
    </row>
    <row r="38" spans="2:12" x14ac:dyDescent="0.2">
      <c r="B38" s="6" t="s">
        <v>31</v>
      </c>
      <c r="C38" s="21">
        <f>C40/C67</f>
        <v>0.2732235940348865</v>
      </c>
      <c r="D38" s="8" t="s">
        <v>60</v>
      </c>
    </row>
    <row r="39" spans="2:12" x14ac:dyDescent="0.2">
      <c r="B39" s="6" t="s">
        <v>32</v>
      </c>
      <c r="C39" s="17">
        <f>C70</f>
        <v>2.1468612017661703E-2</v>
      </c>
      <c r="D39" s="17" t="str">
        <f>D70</f>
        <v>from IMF Global Inflation rates @ https://rpubs.com/rafael_nicolas/global_interest_rates_dynamics_inflation</v>
      </c>
    </row>
    <row r="40" spans="2:12" x14ac:dyDescent="0.2">
      <c r="B40" s="6" t="s">
        <v>33</v>
      </c>
      <c r="C40" s="20">
        <v>106.246</v>
      </c>
      <c r="D40" s="8" t="s">
        <v>61</v>
      </c>
    </row>
    <row r="41" spans="2:12" x14ac:dyDescent="0.2">
      <c r="B41" s="5"/>
      <c r="D41" s="5"/>
    </row>
    <row r="42" spans="2:12" x14ac:dyDescent="0.2">
      <c r="B42" s="1" t="s">
        <v>13</v>
      </c>
      <c r="C42" s="2"/>
      <c r="D42" s="3"/>
      <c r="E42" s="4"/>
      <c r="F42" s="4"/>
      <c r="G42" s="4"/>
      <c r="H42" s="4"/>
      <c r="I42" s="4"/>
      <c r="J42" s="4"/>
      <c r="K42" s="4"/>
      <c r="L42" s="4"/>
    </row>
    <row r="43" spans="2:12" x14ac:dyDescent="0.2">
      <c r="B43" s="6" t="str">
        <f>B25</f>
        <v>Regime Change Adjusted Value</v>
      </c>
      <c r="C43" s="15">
        <f ca="1">C46*(1-C45)+C45*C44*C46</f>
        <v>1341.53047566037</v>
      </c>
    </row>
    <row r="44" spans="2:12" x14ac:dyDescent="0.2">
      <c r="B44" s="6" t="str">
        <f>B26</f>
        <v>Value of Equity with regime change (as % of status quo value)</v>
      </c>
      <c r="C44" s="17">
        <f>C26</f>
        <v>0.5</v>
      </c>
      <c r="D44" s="17" t="str">
        <f>D26</f>
        <v>If we expect expropriate, this can be 0%</v>
      </c>
    </row>
    <row r="45" spans="2:12" x14ac:dyDescent="0.2">
      <c r="B45" s="6" t="str">
        <f>B27</f>
        <v>Probability of regime change</v>
      </c>
      <c r="C45" s="17">
        <f>C27</f>
        <v>0.2</v>
      </c>
      <c r="D45" s="17" t="str">
        <f>D27</f>
        <v>Our best judgment of cumulative probability over time</v>
      </c>
    </row>
    <row r="46" spans="2:12" x14ac:dyDescent="0.2">
      <c r="B46" s="6" t="s">
        <v>26</v>
      </c>
      <c r="C46" s="15">
        <f ca="1">C51+C50+C49-C48-C47</f>
        <v>1490.5894174004111</v>
      </c>
    </row>
    <row r="47" spans="2:12" x14ac:dyDescent="0.2">
      <c r="B47" s="6" t="s">
        <v>34</v>
      </c>
      <c r="C47" s="20">
        <v>51.5</v>
      </c>
      <c r="D47" s="8" t="s">
        <v>58</v>
      </c>
    </row>
    <row r="48" spans="2:12" x14ac:dyDescent="0.2">
      <c r="B48" s="6" t="s">
        <v>35</v>
      </c>
      <c r="C48" s="22">
        <f>C66</f>
        <v>85.143000000000001</v>
      </c>
      <c r="D48" s="22" t="str">
        <f>D66</f>
        <v>From page 164 @ https://www.aramco.com/-/media/publications/corporate-reports/annual-reports/saudi-aramco-ara-2024-english.pdf</v>
      </c>
    </row>
    <row r="49" spans="2:4" x14ac:dyDescent="0.2">
      <c r="B49" s="6" t="s">
        <v>27</v>
      </c>
      <c r="C49" s="22">
        <f>C29</f>
        <v>27.857999999999997</v>
      </c>
      <c r="D49" s="22" t="str">
        <f>D29</f>
        <v>From page 164 @ https://www.aramco.com/-/media/publications/corporate-reports/annual-reports/saudi-aramco-ara-2024-english.pdf</v>
      </c>
    </row>
    <row r="50" spans="2:4" x14ac:dyDescent="0.2">
      <c r="B50" s="6" t="s">
        <v>28</v>
      </c>
      <c r="C50" s="22">
        <f>C65</f>
        <v>61.286999999999999</v>
      </c>
      <c r="D50" s="22" t="str">
        <f>D65</f>
        <v>From page 164 @ https://www.aramco.com/-/media/publications/corporate-reports/annual-reports/saudi-aramco-ara-2024-english.pdf</v>
      </c>
    </row>
    <row r="51" spans="2:4" x14ac:dyDescent="0.2">
      <c r="B51" s="6" t="s">
        <v>36</v>
      </c>
      <c r="C51" s="22">
        <f ca="1">C63*(1-C62)*(1-C52)*(1+C61)*(1-((1+C61)^C59/(1+C53)^C59))/(C53-C61)</f>
        <v>1538.0874174004034</v>
      </c>
    </row>
    <row r="52" spans="2:4" x14ac:dyDescent="0.2">
      <c r="B52" s="6" t="s">
        <v>37</v>
      </c>
      <c r="C52" s="21">
        <f>C61/C60</f>
        <v>4.3834960781801054E-2</v>
      </c>
    </row>
    <row r="53" spans="2:4" x14ac:dyDescent="0.2">
      <c r="B53" s="6" t="s">
        <v>38</v>
      </c>
      <c r="C53" s="17">
        <f ca="1">C58+C56*C57*(1-C54)+C55*(1-0.2)*C54</f>
        <v>8.5031656606617739E-2</v>
      </c>
    </row>
    <row r="54" spans="2:4" x14ac:dyDescent="0.2">
      <c r="B54" s="6" t="s">
        <v>39</v>
      </c>
      <c r="C54" s="21">
        <f ca="1">CHOOSE(2,0.045,C66/(C43-C66))</f>
        <v>6.776810629638598E-2</v>
      </c>
      <c r="D54" s="8" t="s">
        <v>63</v>
      </c>
    </row>
    <row r="55" spans="2:4" x14ac:dyDescent="0.2">
      <c r="B55" s="6" t="s">
        <v>40</v>
      </c>
      <c r="C55" s="9">
        <f>CHOOSE(2,5.77366166625341%,C58+1.19366166625341%)</f>
        <v>5.5236616662534099E-2</v>
      </c>
      <c r="D55" s="8" t="s">
        <v>62</v>
      </c>
    </row>
    <row r="56" spans="2:4" x14ac:dyDescent="0.2">
      <c r="B56" s="6" t="s">
        <v>30</v>
      </c>
      <c r="C56" s="5">
        <f>C34</f>
        <v>0.81</v>
      </c>
      <c r="D56" s="8" t="str">
        <f>D34</f>
        <v>Unlevered global beta for integrated oil companies, start of 2025 (https://pages.stern.nyu.edu/~adamodar/pc/datasets/betaGlobal.xls)</v>
      </c>
    </row>
    <row r="57" spans="2:4" x14ac:dyDescent="0.2">
      <c r="B57" s="6" t="s">
        <v>21</v>
      </c>
      <c r="C57" s="17">
        <f>C35</f>
        <v>5.1299999999999998E-2</v>
      </c>
      <c r="D57" s="8" t="str">
        <f>D35</f>
        <v>ERP at the start of 2025 for Saudi Arabia: https://rpubs.com/rafael_nicolas/crp</v>
      </c>
    </row>
    <row r="58" spans="2:4" x14ac:dyDescent="0.2">
      <c r="B58" s="6" t="s">
        <v>22</v>
      </c>
      <c r="C58" s="17">
        <f>C19</f>
        <v>4.3299999999999998E-2</v>
      </c>
      <c r="D58" s="17" t="str">
        <f>D19</f>
        <v>US T. Bond rate on March 5th 2025: https://www.cnbc.com/quotes/US10Y</v>
      </c>
    </row>
    <row r="59" spans="2:4" x14ac:dyDescent="0.2">
      <c r="B59" s="6" t="s">
        <v>41</v>
      </c>
      <c r="C59" s="24">
        <f>C71</f>
        <v>50</v>
      </c>
      <c r="D59" s="24" t="str">
        <f>D71</f>
        <v>from 2.2.3 Reserves Life @ https://rpubs.com/rafael_nicolas/aramco</v>
      </c>
    </row>
    <row r="60" spans="2:4" x14ac:dyDescent="0.2">
      <c r="B60" s="6" t="s">
        <v>42</v>
      </c>
      <c r="C60" s="21">
        <f>C63*(1-C61)/C64</f>
        <v>0.48976003707467264</v>
      </c>
      <c r="D60" s="8" t="s">
        <v>43</v>
      </c>
    </row>
    <row r="61" spans="2:4" x14ac:dyDescent="0.2">
      <c r="B61" s="6" t="s">
        <v>44</v>
      </c>
      <c r="C61" s="21">
        <f>C39</f>
        <v>2.1468612017661703E-2</v>
      </c>
      <c r="D61" s="21" t="str">
        <f>D39</f>
        <v>from IMF Global Inflation rates @ https://rpubs.com/rafael_nicolas/global_interest_rates_dynamics_inflation</v>
      </c>
    </row>
    <row r="62" spans="2:4" x14ac:dyDescent="0.2">
      <c r="B62" s="6" t="s">
        <v>45</v>
      </c>
      <c r="C62" s="23">
        <f>102.29/208.536</f>
        <v>0.4905148271761231</v>
      </c>
      <c r="D62" s="8" t="s">
        <v>61</v>
      </c>
    </row>
    <row r="63" spans="2:4" x14ac:dyDescent="0.2">
      <c r="B63" s="6" t="s">
        <v>46</v>
      </c>
      <c r="C63" s="20">
        <v>206.56700000000001</v>
      </c>
      <c r="D63" s="8" t="s">
        <v>61</v>
      </c>
    </row>
    <row r="64" spans="2:4" x14ac:dyDescent="0.2">
      <c r="B64" s="6" t="s">
        <v>47</v>
      </c>
      <c r="C64" s="22">
        <f>C67+C66-C65</f>
        <v>412.71700000000004</v>
      </c>
      <c r="D64" s="22"/>
    </row>
    <row r="65" spans="2:12" x14ac:dyDescent="0.2">
      <c r="B65" s="6" t="s">
        <v>48</v>
      </c>
      <c r="C65" s="22">
        <f>C30</f>
        <v>61.286999999999999</v>
      </c>
      <c r="D65" s="22" t="str">
        <f>D30</f>
        <v>From page 164 @ https://www.aramco.com/-/media/publications/corporate-reports/annual-reports/saudi-aramco-ara-2024-english.pdf</v>
      </c>
    </row>
    <row r="66" spans="2:12" x14ac:dyDescent="0.2">
      <c r="B66" s="6" t="s">
        <v>49</v>
      </c>
      <c r="C66" s="20">
        <f>69.795+15.348</f>
        <v>85.143000000000001</v>
      </c>
      <c r="D66" s="8" t="s">
        <v>58</v>
      </c>
    </row>
    <row r="67" spans="2:12" x14ac:dyDescent="0.2">
      <c r="B67" s="6" t="s">
        <v>50</v>
      </c>
      <c r="C67" s="20">
        <f>388.861</f>
        <v>388.86099999999999</v>
      </c>
      <c r="D67" s="8" t="s">
        <v>58</v>
      </c>
    </row>
    <row r="68" spans="2:12" x14ac:dyDescent="0.2">
      <c r="B68" s="5"/>
      <c r="D68" s="5"/>
    </row>
    <row r="69" spans="2:12" x14ac:dyDescent="0.2">
      <c r="B69" s="1" t="s">
        <v>0</v>
      </c>
      <c r="C69" s="2"/>
      <c r="D69" s="3"/>
      <c r="E69" s="4"/>
      <c r="F69" s="4"/>
      <c r="G69" s="4"/>
      <c r="H69" s="4"/>
      <c r="I69" s="4"/>
      <c r="J69" s="4"/>
      <c r="K69" s="4"/>
      <c r="L69" s="4"/>
    </row>
    <row r="70" spans="2:12" x14ac:dyDescent="0.2">
      <c r="B70" s="6" t="s">
        <v>2</v>
      </c>
      <c r="C70" s="9">
        <f>CHOOSE(2,0.025,(1+0.0433)*(1+0.02)/(1+0.0418)-1)</f>
        <v>2.1468612017661703E-2</v>
      </c>
      <c r="D70" s="10" t="s">
        <v>3</v>
      </c>
    </row>
    <row r="71" spans="2:12" x14ac:dyDescent="0.2">
      <c r="B71" s="6" t="s">
        <v>4</v>
      </c>
      <c r="C71" s="11">
        <v>50</v>
      </c>
      <c r="D71" s="8" t="s">
        <v>5</v>
      </c>
    </row>
    <row r="72" spans="2:12" x14ac:dyDescent="0.2">
      <c r="B72" s="6" t="s">
        <v>6</v>
      </c>
      <c r="C72" s="12">
        <v>0.2</v>
      </c>
      <c r="D72" s="8" t="s">
        <v>7</v>
      </c>
    </row>
    <row r="73" spans="2:12" x14ac:dyDescent="0.2">
      <c r="B73" s="5"/>
      <c r="D73" s="5"/>
    </row>
    <row r="74" spans="2:12" x14ac:dyDescent="0.2">
      <c r="B74" s="5"/>
      <c r="D74" s="5"/>
    </row>
    <row r="75" spans="2:12" x14ac:dyDescent="0.2">
      <c r="B75" s="5"/>
      <c r="D75" s="5"/>
    </row>
    <row r="76" spans="2:12" x14ac:dyDescent="0.2">
      <c r="B76" s="5"/>
      <c r="D76" s="5"/>
    </row>
    <row r="77" spans="2:12" x14ac:dyDescent="0.2">
      <c r="B77" s="5"/>
      <c r="D77" s="5"/>
    </row>
    <row r="78" spans="2:12" x14ac:dyDescent="0.2">
      <c r="B78" s="5"/>
      <c r="D78" s="5"/>
    </row>
    <row r="79" spans="2:12" x14ac:dyDescent="0.2">
      <c r="B79" s="5"/>
      <c r="D79" s="5"/>
    </row>
    <row r="80" spans="2:12" x14ac:dyDescent="0.2">
      <c r="B80" s="5"/>
      <c r="D80" s="5"/>
    </row>
    <row r="81" s="5" customFormat="1" x14ac:dyDescent="0.2"/>
    <row r="82" s="5" customFormat="1" x14ac:dyDescent="0.2"/>
    <row r="83" s="5" customFormat="1" x14ac:dyDescent="0.2"/>
    <row r="84" s="5" customFormat="1" x14ac:dyDescent="0.2"/>
    <row r="85" s="5" customFormat="1" x14ac:dyDescent="0.2"/>
    <row r="86" s="5" customFormat="1" x14ac:dyDescent="0.2"/>
    <row r="87" s="5" customFormat="1" x14ac:dyDescent="0.2"/>
    <row r="88" s="5" customFormat="1" x14ac:dyDescent="0.2"/>
  </sheetData>
  <hyperlinks>
    <hyperlink ref="D22" r:id="rId1" xr:uid="{8D0CB0A4-C6C6-0C4A-A1BB-D328563EF036}"/>
  </hyperlinks>
  <pageMargins left="0.7" right="0.7" top="0.75" bottom="0.75" header="0.3" footer="0.3"/>
  <pageSetup scale="49" orientation="portrait" horizontalDpi="0" verticalDpi="0"/>
  <headerFooter>
    <oddFooter>Prepared by Rafael Nicolas Fermin Cota &amp;D&amp;RPage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Aramco-Valuation-2025</vt:lpstr>
      <vt:lpstr>'Aramco-Valuation-2025'!Print_Area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Nicolas Fermin Cota</dc:creator>
  <cp:lastModifiedBy>Rafael Nicolas Fermin Cota</cp:lastModifiedBy>
  <cp:lastPrinted>2024-06-03T03:20:36Z</cp:lastPrinted>
  <dcterms:created xsi:type="dcterms:W3CDTF">2024-03-12T04:49:37Z</dcterms:created>
  <dcterms:modified xsi:type="dcterms:W3CDTF">2025-03-18T19:21:07Z</dcterms:modified>
</cp:coreProperties>
</file>