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nico/Desktop/"/>
    </mc:Choice>
  </mc:AlternateContent>
  <xr:revisionPtr revIDLastSave="0" documentId="13_ncr:1_{4A05709A-3C86-F042-A4E6-6F19BFFA1FD9}" xr6:coauthVersionLast="45" xr6:coauthVersionMax="45" xr10:uidLastSave="{00000000-0000-0000-0000-000000000000}"/>
  <bookViews>
    <workbookView xWindow="0" yWindow="460" windowWidth="28780" windowHeight="17260" xr2:uid="{00000000-000D-0000-FFFF-FFFF00000000}"/>
  </bookViews>
  <sheets>
    <sheet name="Summary" sheetId="13" r:id="rId1"/>
    <sheet name="Operating Assumptions" sheetId="2" r:id="rId2"/>
    <sheet name="Financing Assumptions" sheetId="8" r:id="rId3"/>
    <sheet name="Model" sheetId="7" r:id="rId4"/>
    <sheet name="Financial Statements" sheetId="12" r:id="rId5"/>
    <sheet name="Cash Flow Waterfall" sheetId="10" r:id="rId6"/>
    <sheet name="Traffic" sheetId="6" r:id="rId7"/>
    <sheet name="Depreciation" sheetId="9" r:id="rId8"/>
    <sheet name="Debt Schedule" sheetId="11" r:id="rId9"/>
  </sheets>
  <definedNames>
    <definedName name="COD">'Operating Assumptions'!$E$8</definedName>
    <definedName name="ConstructionPeriod">'Operating Assumptions'!$E$7</definedName>
    <definedName name="Currency">'Operating Assumptions'!$K$5</definedName>
    <definedName name="Daysinayear">'Operating Assumptions'!$E$11</definedName>
    <definedName name="End">'Operating Assumptions'!$E$9</definedName>
    <definedName name="inflag">'Operating Assumptions'!$H$42</definedName>
    <definedName name="Inflation">'Operating Assumptions'!$K$7</definedName>
    <definedName name="Now">'Operating Assumptions'!$E$5</definedName>
    <definedName name="OtherRev1">'Operating Assumptions'!$I$53</definedName>
    <definedName name="OtherRev2">'Operating Assumptions'!$J$53</definedName>
    <definedName name="OtherRev3">'Operating Assumptions'!$K$53</definedName>
    <definedName name="rf">'Operating Assumptions'!$K$8</definedName>
    <definedName name="VehA">'Operating Assumptions'!$I$34</definedName>
    <definedName name="VehB">'Operating Assumptions'!$J$34</definedName>
    <definedName name="VehicleC">'Operating Assumptions'!$K$34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1" l="1"/>
  <c r="B1" i="9"/>
  <c r="B1" i="6"/>
  <c r="B1" i="10"/>
  <c r="B1" i="12"/>
  <c r="B1" i="7"/>
  <c r="B1" i="8"/>
  <c r="B1" i="2"/>
  <c r="E74" i="13" l="1"/>
  <c r="E73" i="13"/>
  <c r="E68" i="13"/>
  <c r="E64" i="13"/>
  <c r="E63" i="13"/>
  <c r="E62" i="13"/>
  <c r="E61" i="13"/>
  <c r="E60" i="13"/>
  <c r="E53" i="13"/>
  <c r="E52" i="13"/>
  <c r="E51" i="13"/>
  <c r="E50" i="13"/>
  <c r="E49" i="13"/>
  <c r="E48" i="13"/>
  <c r="E54" i="13"/>
  <c r="E47" i="13"/>
  <c r="E46" i="13"/>
  <c r="E45" i="13"/>
  <c r="E44" i="13"/>
  <c r="E43" i="13"/>
  <c r="E42" i="13"/>
  <c r="E39" i="13"/>
  <c r="E36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AI45" i="13"/>
  <c r="AJ45" i="13"/>
  <c r="AK45" i="13"/>
  <c r="AL45" i="13"/>
  <c r="AM45" i="13"/>
  <c r="AN45" i="13"/>
  <c r="AO45" i="13"/>
  <c r="AP45" i="13"/>
  <c r="AQ45" i="13"/>
  <c r="S53" i="13"/>
  <c r="T53" i="13"/>
  <c r="U53" i="13"/>
  <c r="V53" i="13"/>
  <c r="W53" i="13"/>
  <c r="X53" i="13"/>
  <c r="Y53" i="13"/>
  <c r="Z53" i="13"/>
  <c r="AA53" i="13"/>
  <c r="AB53" i="13"/>
  <c r="AC53" i="13"/>
  <c r="AD53" i="13"/>
  <c r="AE53" i="13"/>
  <c r="AF53" i="13"/>
  <c r="AG53" i="13"/>
  <c r="AH53" i="13"/>
  <c r="AI53" i="13"/>
  <c r="AJ53" i="13"/>
  <c r="AK53" i="13"/>
  <c r="AL53" i="13"/>
  <c r="AM53" i="13"/>
  <c r="AN53" i="13"/>
  <c r="AO53" i="13"/>
  <c r="AP53" i="13"/>
  <c r="AQ53" i="13"/>
  <c r="AQ65" i="13"/>
  <c r="AQ66" i="13" s="1"/>
  <c r="AP65" i="13"/>
  <c r="AP66" i="13" s="1"/>
  <c r="AO65" i="13"/>
  <c r="AO66" i="13" s="1"/>
  <c r="AN65" i="13"/>
  <c r="AN66" i="13" s="1"/>
  <c r="AM65" i="13"/>
  <c r="AM66" i="13" s="1"/>
  <c r="AL65" i="13"/>
  <c r="AL66" i="13" s="1"/>
  <c r="AK65" i="13"/>
  <c r="AK66" i="13" s="1"/>
  <c r="AJ65" i="13"/>
  <c r="AJ66" i="13" s="1"/>
  <c r="AI65" i="13"/>
  <c r="AI66" i="13" s="1"/>
  <c r="AH65" i="13"/>
  <c r="AH66" i="13" s="1"/>
  <c r="AG65" i="13"/>
  <c r="AG66" i="13" s="1"/>
  <c r="AF65" i="13"/>
  <c r="AF66" i="13" s="1"/>
  <c r="AE65" i="13"/>
  <c r="AE66" i="13" s="1"/>
  <c r="AD65" i="13"/>
  <c r="AD66" i="13" s="1"/>
  <c r="AC65" i="13"/>
  <c r="AC66" i="13" s="1"/>
  <c r="AB65" i="13"/>
  <c r="AB66" i="13" s="1"/>
  <c r="AA65" i="13"/>
  <c r="AA66" i="13" s="1"/>
  <c r="Z65" i="13"/>
  <c r="Z66" i="13" s="1"/>
  <c r="Y65" i="13"/>
  <c r="Y66" i="13" s="1"/>
  <c r="X65" i="13"/>
  <c r="X66" i="13" s="1"/>
  <c r="W65" i="13"/>
  <c r="W66" i="13" s="1"/>
  <c r="V65" i="13"/>
  <c r="V66" i="13" s="1"/>
  <c r="U65" i="13"/>
  <c r="U66" i="13" s="1"/>
  <c r="T65" i="13"/>
  <c r="T66" i="13" s="1"/>
  <c r="S65" i="13"/>
  <c r="S66" i="13" s="1"/>
  <c r="R65" i="13"/>
  <c r="R66" i="13" s="1"/>
  <c r="Q65" i="13"/>
  <c r="Q66" i="13" s="1"/>
  <c r="P65" i="13"/>
  <c r="P66" i="13" s="1"/>
  <c r="O65" i="13"/>
  <c r="O66" i="13" s="1"/>
  <c r="N65" i="13"/>
  <c r="N66" i="13" s="1"/>
  <c r="M65" i="13"/>
  <c r="M66" i="13" s="1"/>
  <c r="L65" i="13"/>
  <c r="L66" i="13" s="1"/>
  <c r="K65" i="13"/>
  <c r="K66" i="13" s="1"/>
  <c r="J65" i="13"/>
  <c r="J66" i="13" s="1"/>
  <c r="I65" i="13"/>
  <c r="I66" i="13" s="1"/>
  <c r="I59" i="13"/>
  <c r="I35" i="13"/>
  <c r="B29" i="13"/>
  <c r="B28" i="13"/>
  <c r="B27" i="13"/>
  <c r="B26" i="13"/>
  <c r="B25" i="13"/>
  <c r="B24" i="13"/>
  <c r="I23" i="13"/>
  <c r="E20" i="13"/>
  <c r="E19" i="13"/>
  <c r="E18" i="13"/>
  <c r="E17" i="13"/>
  <c r="I16" i="13"/>
  <c r="H8" i="13"/>
  <c r="H9" i="13"/>
  <c r="H10" i="13"/>
  <c r="H11" i="13"/>
  <c r="H6" i="13"/>
  <c r="N12" i="13"/>
  <c r="E12" i="13"/>
  <c r="E11" i="13"/>
  <c r="E10" i="13"/>
  <c r="E9" i="13"/>
  <c r="N8" i="13"/>
  <c r="E8" i="13"/>
  <c r="N7" i="13"/>
  <c r="E7" i="13"/>
  <c r="N6" i="13"/>
  <c r="E6" i="13"/>
  <c r="S110" i="7" l="1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J13" i="11"/>
  <c r="K13" i="11"/>
  <c r="K64" i="13" s="1"/>
  <c r="L13" i="11"/>
  <c r="L64" i="13" s="1"/>
  <c r="M13" i="11"/>
  <c r="M64" i="13" s="1"/>
  <c r="N13" i="11"/>
  <c r="N64" i="13" s="1"/>
  <c r="O13" i="11"/>
  <c r="O64" i="13" s="1"/>
  <c r="P13" i="11"/>
  <c r="P64" i="13" s="1"/>
  <c r="Q13" i="11"/>
  <c r="Q64" i="13" s="1"/>
  <c r="R13" i="11"/>
  <c r="S13" i="11"/>
  <c r="S64" i="13" s="1"/>
  <c r="T13" i="11"/>
  <c r="T64" i="13" s="1"/>
  <c r="U13" i="11"/>
  <c r="U64" i="13" s="1"/>
  <c r="V13" i="11"/>
  <c r="V64" i="13" s="1"/>
  <c r="W13" i="11"/>
  <c r="W64" i="13" s="1"/>
  <c r="X13" i="11"/>
  <c r="X64" i="13" s="1"/>
  <c r="Y13" i="11"/>
  <c r="Y64" i="13" s="1"/>
  <c r="Z13" i="11"/>
  <c r="AA13" i="11"/>
  <c r="AA64" i="13" s="1"/>
  <c r="AB13" i="11"/>
  <c r="AB64" i="13" s="1"/>
  <c r="AC13" i="11"/>
  <c r="AC64" i="13" s="1"/>
  <c r="AD13" i="11"/>
  <c r="AD64" i="13" s="1"/>
  <c r="AE13" i="11"/>
  <c r="AE64" i="13" s="1"/>
  <c r="AF13" i="11"/>
  <c r="AF64" i="13" s="1"/>
  <c r="AG13" i="11"/>
  <c r="AG64" i="13" s="1"/>
  <c r="AH13" i="11"/>
  <c r="AI13" i="11"/>
  <c r="AI64" i="13" s="1"/>
  <c r="AJ13" i="11"/>
  <c r="AJ64" i="13" s="1"/>
  <c r="AK13" i="11"/>
  <c r="AK64" i="13" s="1"/>
  <c r="AL13" i="11"/>
  <c r="AL64" i="13" s="1"/>
  <c r="AM13" i="11"/>
  <c r="AM64" i="13" s="1"/>
  <c r="AN13" i="11"/>
  <c r="AN64" i="13" s="1"/>
  <c r="AO13" i="11"/>
  <c r="AO64" i="13" s="1"/>
  <c r="AP13" i="11"/>
  <c r="AQ13" i="11"/>
  <c r="AQ64" i="13" s="1"/>
  <c r="I13" i="11"/>
  <c r="I64" i="13" s="1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G62" i="10"/>
  <c r="G63" i="10"/>
  <c r="G64" i="10"/>
  <c r="G61" i="10"/>
  <c r="G36" i="11"/>
  <c r="G29" i="11"/>
  <c r="K98" i="7"/>
  <c r="M98" i="7"/>
  <c r="N98" i="7"/>
  <c r="O98" i="7"/>
  <c r="P98" i="7"/>
  <c r="Q98" i="7"/>
  <c r="S98" i="7"/>
  <c r="U98" i="7"/>
  <c r="V98" i="7"/>
  <c r="W98" i="7"/>
  <c r="X98" i="7"/>
  <c r="Y98" i="7"/>
  <c r="AA98" i="7"/>
  <c r="AC98" i="7"/>
  <c r="AD98" i="7"/>
  <c r="AE98" i="7"/>
  <c r="AF98" i="7"/>
  <c r="AG98" i="7"/>
  <c r="AI98" i="7"/>
  <c r="AK98" i="7"/>
  <c r="AL98" i="7"/>
  <c r="AM98" i="7"/>
  <c r="AN98" i="7"/>
  <c r="AO98" i="7"/>
  <c r="AQ98" i="7"/>
  <c r="AP98" i="7" l="1"/>
  <c r="AP64" i="13"/>
  <c r="AH98" i="7"/>
  <c r="AH64" i="13"/>
  <c r="Z98" i="7"/>
  <c r="Z64" i="13"/>
  <c r="R98" i="7"/>
  <c r="R64" i="13"/>
  <c r="J98" i="7"/>
  <c r="J64" i="13"/>
  <c r="L98" i="7"/>
  <c r="T98" i="7"/>
  <c r="AB98" i="7"/>
  <c r="I98" i="7"/>
  <c r="AJ98" i="7"/>
  <c r="I28" i="12" l="1"/>
  <c r="G23" i="12"/>
  <c r="I55" i="12" l="1"/>
  <c r="I6" i="12" l="1"/>
  <c r="G26" i="11" l="1"/>
  <c r="G24" i="11"/>
  <c r="I9" i="11" l="1"/>
  <c r="I60" i="13" l="1"/>
  <c r="I94" i="7"/>
  <c r="E40" i="10"/>
  <c r="E33" i="10"/>
  <c r="E37" i="10"/>
  <c r="E36" i="10"/>
  <c r="E35" i="10"/>
  <c r="E34" i="10"/>
  <c r="E27" i="10"/>
  <c r="E29" i="10"/>
  <c r="E28" i="10"/>
  <c r="E18" i="8"/>
  <c r="E19" i="8"/>
  <c r="E20" i="8"/>
  <c r="E17" i="8"/>
  <c r="Q8" i="8"/>
  <c r="Q8" i="13" s="1"/>
  <c r="N8" i="8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E111" i="11"/>
  <c r="E110" i="11"/>
  <c r="E109" i="11"/>
  <c r="E108" i="11"/>
  <c r="E107" i="11"/>
  <c r="E106" i="11"/>
  <c r="H100" i="11"/>
  <c r="J113" i="11" s="1"/>
  <c r="H101" i="11"/>
  <c r="H102" i="11"/>
  <c r="H103" i="11"/>
  <c r="E100" i="11"/>
  <c r="E101" i="11"/>
  <c r="E102" i="11"/>
  <c r="E103" i="11"/>
  <c r="B100" i="11"/>
  <c r="B101" i="11"/>
  <c r="B102" i="11"/>
  <c r="B103" i="11"/>
  <c r="N37" i="8"/>
  <c r="N36" i="8"/>
  <c r="I113" i="11" l="1"/>
  <c r="L113" i="11"/>
  <c r="AB113" i="11"/>
  <c r="AO113" i="11"/>
  <c r="Y113" i="11"/>
  <c r="Q113" i="11"/>
  <c r="AN113" i="11"/>
  <c r="AF113" i="11"/>
  <c r="X113" i="11"/>
  <c r="P113" i="11"/>
  <c r="AJ113" i="11"/>
  <c r="T113" i="11"/>
  <c r="AG113" i="11"/>
  <c r="AK113" i="11"/>
  <c r="AC113" i="11"/>
  <c r="U113" i="11"/>
  <c r="M113" i="11"/>
  <c r="AQ113" i="11"/>
  <c r="AM113" i="11"/>
  <c r="AI113" i="11"/>
  <c r="AE113" i="11"/>
  <c r="AA113" i="11"/>
  <c r="W113" i="11"/>
  <c r="S113" i="11"/>
  <c r="O113" i="11"/>
  <c r="K113" i="11"/>
  <c r="AP113" i="11"/>
  <c r="AL113" i="11"/>
  <c r="AH113" i="11"/>
  <c r="AD113" i="11"/>
  <c r="Z113" i="11"/>
  <c r="V113" i="11"/>
  <c r="R113" i="11"/>
  <c r="N113" i="11"/>
  <c r="S35" i="10" l="1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AM35" i="10"/>
  <c r="AN35" i="10"/>
  <c r="AO35" i="10"/>
  <c r="AP35" i="10"/>
  <c r="AQ35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AM36" i="10"/>
  <c r="AN36" i="10"/>
  <c r="AO36" i="10"/>
  <c r="AP36" i="10"/>
  <c r="AQ36" i="10"/>
  <c r="I23" i="8"/>
  <c r="B25" i="8" l="1"/>
  <c r="B26" i="8"/>
  <c r="B27" i="8"/>
  <c r="B28" i="8"/>
  <c r="B29" i="8"/>
  <c r="B24" i="8"/>
  <c r="I16" i="8"/>
  <c r="H84" i="11" l="1"/>
  <c r="E84" i="11"/>
  <c r="B84" i="11"/>
  <c r="H48" i="11"/>
  <c r="E48" i="11"/>
  <c r="B48" i="11"/>
  <c r="E57" i="11"/>
  <c r="E56" i="11"/>
  <c r="E55" i="11"/>
  <c r="E54" i="11"/>
  <c r="E53" i="11"/>
  <c r="E52" i="11"/>
  <c r="H65" i="11"/>
  <c r="H66" i="11"/>
  <c r="E66" i="11"/>
  <c r="B66" i="11"/>
  <c r="N48" i="8"/>
  <c r="R48" i="8"/>
  <c r="K47" i="8"/>
  <c r="E8" i="8" l="1"/>
  <c r="E90" i="11" l="1"/>
  <c r="E72" i="11"/>
  <c r="I108" i="7" l="1"/>
  <c r="E92" i="11"/>
  <c r="E91" i="11"/>
  <c r="E89" i="11"/>
  <c r="E71" i="11"/>
  <c r="E85" i="11"/>
  <c r="E67" i="11"/>
  <c r="H67" i="11"/>
  <c r="E22" i="10"/>
  <c r="E21" i="10"/>
  <c r="I64" i="7"/>
  <c r="I49" i="7"/>
  <c r="I28" i="7"/>
  <c r="I58" i="7" l="1"/>
  <c r="B99" i="11"/>
  <c r="E93" i="11"/>
  <c r="E88" i="11"/>
  <c r="H82" i="11"/>
  <c r="H83" i="11"/>
  <c r="H85" i="11"/>
  <c r="E82" i="11"/>
  <c r="E83" i="11"/>
  <c r="B82" i="11"/>
  <c r="B83" i="11"/>
  <c r="B85" i="11"/>
  <c r="B81" i="11"/>
  <c r="AN95" i="11" l="1"/>
  <c r="AJ95" i="11"/>
  <c r="AF95" i="11"/>
  <c r="AB95" i="11"/>
  <c r="X95" i="11"/>
  <c r="T95" i="11"/>
  <c r="P95" i="11"/>
  <c r="L95" i="11"/>
  <c r="AQ95" i="11"/>
  <c r="AM95" i="11"/>
  <c r="AI95" i="11"/>
  <c r="AE95" i="11"/>
  <c r="AA95" i="11"/>
  <c r="W95" i="11"/>
  <c r="S95" i="11"/>
  <c r="O95" i="11"/>
  <c r="K95" i="11"/>
  <c r="M95" i="11"/>
  <c r="AP95" i="11"/>
  <c r="AL95" i="11"/>
  <c r="AH95" i="11"/>
  <c r="AD95" i="11"/>
  <c r="Z95" i="11"/>
  <c r="V95" i="11"/>
  <c r="R95" i="11"/>
  <c r="N95" i="11"/>
  <c r="J95" i="11"/>
  <c r="AO95" i="11"/>
  <c r="AK95" i="11"/>
  <c r="AG95" i="11"/>
  <c r="AC95" i="11"/>
  <c r="Y95" i="11"/>
  <c r="U95" i="11"/>
  <c r="Q95" i="11"/>
  <c r="I95" i="11"/>
  <c r="E10" i="8"/>
  <c r="H64" i="11"/>
  <c r="E64" i="11"/>
  <c r="E65" i="11"/>
  <c r="E75" i="11"/>
  <c r="E74" i="11"/>
  <c r="E70" i="11"/>
  <c r="E73" i="11"/>
  <c r="B64" i="11"/>
  <c r="B65" i="11"/>
  <c r="B67" i="11"/>
  <c r="B63" i="11"/>
  <c r="J77" i="11" l="1"/>
  <c r="N77" i="11"/>
  <c r="R77" i="11"/>
  <c r="V77" i="11"/>
  <c r="Z77" i="11"/>
  <c r="AD77" i="11"/>
  <c r="AH77" i="11"/>
  <c r="AL77" i="11"/>
  <c r="AP77" i="11"/>
  <c r="U77" i="11"/>
  <c r="AK77" i="11"/>
  <c r="K77" i="11"/>
  <c r="O77" i="11"/>
  <c r="S77" i="11"/>
  <c r="W77" i="11"/>
  <c r="AA77" i="11"/>
  <c r="AE77" i="11"/>
  <c r="AI77" i="11"/>
  <c r="AM77" i="11"/>
  <c r="AQ77" i="11"/>
  <c r="Q77" i="11"/>
  <c r="L77" i="11"/>
  <c r="P77" i="11"/>
  <c r="T77" i="11"/>
  <c r="X77" i="11"/>
  <c r="AB77" i="11"/>
  <c r="AF77" i="11"/>
  <c r="AJ77" i="11"/>
  <c r="AN77" i="11"/>
  <c r="I77" i="11"/>
  <c r="M77" i="11"/>
  <c r="Y77" i="11"/>
  <c r="AC77" i="11"/>
  <c r="AG77" i="11"/>
  <c r="AO77" i="11"/>
  <c r="E46" i="11"/>
  <c r="E47" i="11"/>
  <c r="E49" i="11"/>
  <c r="H46" i="11"/>
  <c r="H47" i="11"/>
  <c r="H49" i="11"/>
  <c r="B46" i="11"/>
  <c r="B47" i="11"/>
  <c r="B49" i="11"/>
  <c r="B45" i="11"/>
  <c r="I44" i="11"/>
  <c r="I8" i="11"/>
  <c r="E45" i="10"/>
  <c r="E44" i="10"/>
  <c r="E26" i="10"/>
  <c r="AP59" i="11" l="1"/>
  <c r="AL59" i="11"/>
  <c r="AH59" i="11"/>
  <c r="AD59" i="11"/>
  <c r="Z59" i="11"/>
  <c r="V59" i="11"/>
  <c r="R59" i="11"/>
  <c r="N59" i="11"/>
  <c r="J59" i="11"/>
  <c r="AO59" i="11"/>
  <c r="AK59" i="11"/>
  <c r="AG59" i="11"/>
  <c r="AC59" i="11"/>
  <c r="Y59" i="11"/>
  <c r="U59" i="11"/>
  <c r="Q59" i="11"/>
  <c r="M59" i="11"/>
  <c r="I59" i="11"/>
  <c r="AN59" i="11"/>
  <c r="AJ59" i="11"/>
  <c r="AF59" i="11"/>
  <c r="AB59" i="11"/>
  <c r="X59" i="11"/>
  <c r="T59" i="11"/>
  <c r="P59" i="11"/>
  <c r="L59" i="11"/>
  <c r="AE59" i="11"/>
  <c r="O59" i="11"/>
  <c r="AM59" i="11"/>
  <c r="AI59" i="11"/>
  <c r="S59" i="11"/>
  <c r="AQ59" i="11"/>
  <c r="AA59" i="11"/>
  <c r="K59" i="11"/>
  <c r="W59" i="11"/>
  <c r="E18" i="10"/>
  <c r="E16" i="10"/>
  <c r="E15" i="10"/>
  <c r="E14" i="10"/>
  <c r="E12" i="10"/>
  <c r="E11" i="10"/>
  <c r="E10" i="10"/>
  <c r="B15" i="10"/>
  <c r="B14" i="10"/>
  <c r="B11" i="10"/>
  <c r="B10" i="10"/>
  <c r="I6" i="10"/>
  <c r="H99" i="11"/>
  <c r="E99" i="11"/>
  <c r="I48" i="8"/>
  <c r="H81" i="11" s="1"/>
  <c r="B98" i="11"/>
  <c r="R41" i="8"/>
  <c r="H63" i="11" s="1"/>
  <c r="B47" i="8" l="1"/>
  <c r="B80" i="11" s="1"/>
  <c r="E48" i="8"/>
  <c r="E81" i="11" s="1"/>
  <c r="I41" i="8"/>
  <c r="H45" i="11" s="1"/>
  <c r="I93" i="7" l="1"/>
  <c r="N41" i="8"/>
  <c r="E63" i="11" s="1"/>
  <c r="E41" i="8"/>
  <c r="E45" i="11" s="1"/>
  <c r="B40" i="8"/>
  <c r="B44" i="11" s="1"/>
  <c r="E38" i="8"/>
  <c r="E35" i="8"/>
  <c r="E36" i="8"/>
  <c r="E37" i="8"/>
  <c r="E34" i="8"/>
  <c r="E6" i="8"/>
  <c r="E7" i="8"/>
  <c r="E9" i="8"/>
  <c r="E11" i="8"/>
  <c r="E12" i="8"/>
  <c r="N6" i="8"/>
  <c r="N7" i="8"/>
  <c r="N12" i="8"/>
  <c r="G35" i="8"/>
  <c r="I35" i="8" s="1"/>
  <c r="G36" i="8"/>
  <c r="I36" i="8" s="1"/>
  <c r="G37" i="8"/>
  <c r="I37" i="8" s="1"/>
  <c r="G34" i="8"/>
  <c r="I34" i="8" s="1"/>
  <c r="B35" i="8"/>
  <c r="K40" i="8" s="1"/>
  <c r="B62" i="11" s="1"/>
  <c r="B36" i="8"/>
  <c r="B37" i="8"/>
  <c r="B34" i="8"/>
  <c r="E87" i="7"/>
  <c r="E88" i="7"/>
  <c r="E89" i="7"/>
  <c r="E86" i="7"/>
  <c r="I38" i="8" l="1"/>
  <c r="I85" i="7"/>
  <c r="E83" i="7"/>
  <c r="E81" i="7"/>
  <c r="E45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10" i="9"/>
  <c r="I20" i="8" l="1"/>
  <c r="I20" i="13" s="1"/>
  <c r="I28" i="10"/>
  <c r="Q7" i="8"/>
  <c r="Q7" i="13" s="1"/>
  <c r="I6" i="9"/>
  <c r="I19" i="12" l="1"/>
  <c r="I45" i="13"/>
  <c r="B10" i="9"/>
  <c r="I80" i="7"/>
  <c r="G75" i="7"/>
  <c r="G77" i="7"/>
  <c r="G76" i="7"/>
  <c r="B73" i="7"/>
  <c r="E73" i="7"/>
  <c r="E78" i="7"/>
  <c r="B77" i="7"/>
  <c r="E75" i="7"/>
  <c r="E77" i="7"/>
  <c r="B75" i="7"/>
  <c r="I72" i="7"/>
  <c r="E52" i="7" l="1"/>
  <c r="E47" i="7"/>
  <c r="E50" i="7"/>
  <c r="E46" i="7" l="1"/>
  <c r="E45" i="7"/>
  <c r="B46" i="7"/>
  <c r="B45" i="7"/>
  <c r="I44" i="7"/>
  <c r="B19" i="8" l="1"/>
  <c r="B19" i="13"/>
  <c r="E16" i="2"/>
  <c r="B35" i="7" l="1"/>
  <c r="B32" i="7"/>
  <c r="B29" i="7"/>
  <c r="B19" i="7" l="1"/>
  <c r="B14" i="7"/>
  <c r="B9" i="7"/>
  <c r="I8" i="7"/>
  <c r="B17" i="6" l="1"/>
  <c r="B12" i="6"/>
  <c r="B7" i="6"/>
  <c r="I6" i="6"/>
  <c r="E70" i="2"/>
  <c r="K68" i="2"/>
  <c r="J68" i="2"/>
  <c r="E63" i="2"/>
  <c r="E62" i="2"/>
  <c r="E54" i="2"/>
  <c r="E44" i="2"/>
  <c r="E43" i="2"/>
  <c r="B56" i="2"/>
  <c r="B57" i="2"/>
  <c r="B55" i="2"/>
  <c r="E9" i="2"/>
  <c r="J44" i="2"/>
  <c r="K44" i="2"/>
  <c r="I44" i="2"/>
  <c r="J41" i="2"/>
  <c r="K41" i="2"/>
  <c r="I41" i="2"/>
  <c r="E8" i="2"/>
  <c r="B37" i="2"/>
  <c r="B38" i="2"/>
  <c r="B36" i="2"/>
  <c r="I20" i="2"/>
  <c r="K26" i="2"/>
  <c r="L26" i="2" s="1"/>
  <c r="J26" i="2"/>
  <c r="J21" i="2"/>
  <c r="J22" i="2" s="1"/>
  <c r="J23" i="2" s="1"/>
  <c r="J24" i="2" s="1"/>
  <c r="J25" i="2" s="1"/>
  <c r="I25" i="2" s="1"/>
  <c r="K17" i="2"/>
  <c r="E10" i="2"/>
  <c r="I80" i="13" l="1"/>
  <c r="I18" i="8"/>
  <c r="I18" i="13" s="1"/>
  <c r="I31" i="7"/>
  <c r="I39" i="11"/>
  <c r="I38" i="11"/>
  <c r="I31" i="11"/>
  <c r="I32" i="11"/>
  <c r="I55" i="10" s="1"/>
  <c r="I49" i="10"/>
  <c r="I49" i="13" s="1"/>
  <c r="I50" i="10"/>
  <c r="I64" i="10"/>
  <c r="I61" i="10"/>
  <c r="I63" i="10"/>
  <c r="I62" i="10"/>
  <c r="I76" i="7"/>
  <c r="I77" i="7"/>
  <c r="I74" i="7"/>
  <c r="I46" i="7"/>
  <c r="I12" i="12" s="1"/>
  <c r="I50" i="7"/>
  <c r="J44" i="7"/>
  <c r="J43" i="7" s="1"/>
  <c r="J59" i="13"/>
  <c r="J23" i="13"/>
  <c r="K23" i="13" s="1"/>
  <c r="L23" i="13" s="1"/>
  <c r="M23" i="13" s="1"/>
  <c r="N23" i="13" s="1"/>
  <c r="O23" i="13" s="1"/>
  <c r="P23" i="13" s="1"/>
  <c r="Q23" i="13" s="1"/>
  <c r="R23" i="13" s="1"/>
  <c r="J35" i="13"/>
  <c r="J16" i="13"/>
  <c r="J28" i="12"/>
  <c r="J55" i="12"/>
  <c r="J6" i="12"/>
  <c r="J23" i="8"/>
  <c r="K23" i="8" s="1"/>
  <c r="L23" i="8" s="1"/>
  <c r="M23" i="8" s="1"/>
  <c r="N23" i="8" s="1"/>
  <c r="O23" i="8" s="1"/>
  <c r="P23" i="8" s="1"/>
  <c r="Q23" i="8" s="1"/>
  <c r="R23" i="8" s="1"/>
  <c r="J16" i="8"/>
  <c r="J49" i="7"/>
  <c r="J64" i="7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V64" i="7" s="1"/>
  <c r="W64" i="7" s="1"/>
  <c r="X64" i="7" s="1"/>
  <c r="Y64" i="7" s="1"/>
  <c r="Z64" i="7" s="1"/>
  <c r="AA64" i="7" s="1"/>
  <c r="AB64" i="7" s="1"/>
  <c r="AC64" i="7" s="1"/>
  <c r="AD64" i="7" s="1"/>
  <c r="AE64" i="7" s="1"/>
  <c r="AF64" i="7" s="1"/>
  <c r="AG64" i="7" s="1"/>
  <c r="AH64" i="7" s="1"/>
  <c r="AI64" i="7" s="1"/>
  <c r="AJ64" i="7" s="1"/>
  <c r="AK64" i="7" s="1"/>
  <c r="AL64" i="7" s="1"/>
  <c r="AM64" i="7" s="1"/>
  <c r="AN64" i="7" s="1"/>
  <c r="AO64" i="7" s="1"/>
  <c r="AP64" i="7" s="1"/>
  <c r="AQ64" i="7" s="1"/>
  <c r="J28" i="7"/>
  <c r="J108" i="7"/>
  <c r="J58" i="7"/>
  <c r="I55" i="11"/>
  <c r="J44" i="11"/>
  <c r="I91" i="11"/>
  <c r="I109" i="11"/>
  <c r="J8" i="11"/>
  <c r="I73" i="11"/>
  <c r="J6" i="10"/>
  <c r="J93" i="7"/>
  <c r="J85" i="7"/>
  <c r="K85" i="7" s="1"/>
  <c r="L85" i="7" s="1"/>
  <c r="M85" i="7" s="1"/>
  <c r="N85" i="7" s="1"/>
  <c r="O85" i="7" s="1"/>
  <c r="P85" i="7" s="1"/>
  <c r="Q85" i="7" s="1"/>
  <c r="R85" i="7" s="1"/>
  <c r="J6" i="9"/>
  <c r="B11" i="9"/>
  <c r="J72" i="7"/>
  <c r="J80" i="7"/>
  <c r="K80" i="7" s="1"/>
  <c r="L80" i="7" s="1"/>
  <c r="M80" i="7" s="1"/>
  <c r="N80" i="7" s="1"/>
  <c r="O80" i="7" s="1"/>
  <c r="P80" i="7" s="1"/>
  <c r="Q80" i="7" s="1"/>
  <c r="I45" i="7"/>
  <c r="Q6" i="8"/>
  <c r="Q6" i="13" s="1"/>
  <c r="G73" i="7"/>
  <c r="S85" i="7"/>
  <c r="J46" i="7"/>
  <c r="J12" i="12" s="1"/>
  <c r="J45" i="7"/>
  <c r="K44" i="7"/>
  <c r="K43" i="7" s="1"/>
  <c r="J8" i="7"/>
  <c r="J7" i="7" s="1"/>
  <c r="J49" i="2"/>
  <c r="K49" i="2" s="1"/>
  <c r="J50" i="2" s="1"/>
  <c r="K50" i="2" s="1"/>
  <c r="I51" i="2" s="1"/>
  <c r="J51" i="2" s="1"/>
  <c r="K51" i="2" s="1"/>
  <c r="J30" i="2"/>
  <c r="K30" i="2" s="1"/>
  <c r="J31" i="2" s="1"/>
  <c r="K31" i="2" s="1"/>
  <c r="I32" i="2" s="1"/>
  <c r="I30" i="7"/>
  <c r="I37" i="7"/>
  <c r="I33" i="7"/>
  <c r="I34" i="7"/>
  <c r="I36" i="7"/>
  <c r="I11" i="7"/>
  <c r="I21" i="7"/>
  <c r="I16" i="7"/>
  <c r="J6" i="6"/>
  <c r="J5" i="6" s="1"/>
  <c r="I13" i="6"/>
  <c r="I15" i="7" s="1"/>
  <c r="I8" i="6"/>
  <c r="I10" i="7" s="1"/>
  <c r="I18" i="6"/>
  <c r="I20" i="7" s="1"/>
  <c r="I24" i="2"/>
  <c r="B43" i="2"/>
  <c r="B44" i="2"/>
  <c r="B54" i="2"/>
  <c r="I21" i="2"/>
  <c r="I22" i="2" s="1"/>
  <c r="I23" i="2" s="1"/>
  <c r="K35" i="13" l="1"/>
  <c r="J34" i="13"/>
  <c r="J71" i="7"/>
  <c r="J76" i="7"/>
  <c r="J74" i="7"/>
  <c r="K72" i="7"/>
  <c r="J77" i="7"/>
  <c r="K49" i="7"/>
  <c r="J50" i="7"/>
  <c r="I33" i="11"/>
  <c r="K8" i="11"/>
  <c r="J38" i="11"/>
  <c r="J56" i="10" s="1"/>
  <c r="J39" i="11"/>
  <c r="J31" i="11"/>
  <c r="J32" i="11"/>
  <c r="J7" i="11"/>
  <c r="B12" i="9"/>
  <c r="I11" i="9"/>
  <c r="K16" i="8"/>
  <c r="J15" i="8"/>
  <c r="J18" i="8" s="1"/>
  <c r="J80" i="13"/>
  <c r="K59" i="13"/>
  <c r="J58" i="13"/>
  <c r="I40" i="11"/>
  <c r="I56" i="10"/>
  <c r="I50" i="13" s="1"/>
  <c r="I11" i="12"/>
  <c r="I47" i="7"/>
  <c r="I14" i="10" s="1"/>
  <c r="K28" i="7"/>
  <c r="J31" i="7"/>
  <c r="J5" i="9"/>
  <c r="K5" i="9" s="1"/>
  <c r="J12" i="9"/>
  <c r="K6" i="9"/>
  <c r="J43" i="11"/>
  <c r="J73" i="11" s="1"/>
  <c r="K44" i="11"/>
  <c r="J109" i="11"/>
  <c r="J91" i="11"/>
  <c r="J55" i="11"/>
  <c r="I12" i="11"/>
  <c r="K6" i="12"/>
  <c r="L6" i="12" s="1"/>
  <c r="J5" i="12"/>
  <c r="K5" i="12" s="1"/>
  <c r="I19" i="8"/>
  <c r="I19" i="13" s="1"/>
  <c r="I65" i="10"/>
  <c r="I51" i="13" s="1"/>
  <c r="J15" i="13"/>
  <c r="K16" i="13"/>
  <c r="J92" i="7"/>
  <c r="K93" i="7"/>
  <c r="J57" i="7"/>
  <c r="K58" i="7"/>
  <c r="K55" i="12"/>
  <c r="J54" i="12"/>
  <c r="K6" i="10"/>
  <c r="J63" i="10"/>
  <c r="J49" i="10"/>
  <c r="J49" i="13" s="1"/>
  <c r="J50" i="10"/>
  <c r="J5" i="10"/>
  <c r="J61" i="10"/>
  <c r="J62" i="10"/>
  <c r="J64" i="10"/>
  <c r="J107" i="7"/>
  <c r="K108" i="7"/>
  <c r="J27" i="12"/>
  <c r="K28" i="12"/>
  <c r="Q12" i="13"/>
  <c r="R6" i="13" s="1"/>
  <c r="Q12" i="8"/>
  <c r="R8" i="8" s="1"/>
  <c r="J19" i="8"/>
  <c r="J19" i="13" s="1"/>
  <c r="J11" i="12"/>
  <c r="I17" i="8"/>
  <c r="I73" i="7"/>
  <c r="J73" i="7"/>
  <c r="T85" i="7"/>
  <c r="R80" i="7"/>
  <c r="J47" i="7"/>
  <c r="J14" i="10" s="1"/>
  <c r="J21" i="7"/>
  <c r="I26" i="7"/>
  <c r="I51" i="7" s="1"/>
  <c r="I52" i="7" s="1"/>
  <c r="I13" i="12" s="1"/>
  <c r="K45" i="7"/>
  <c r="K46" i="7"/>
  <c r="K12" i="12" s="1"/>
  <c r="L44" i="7"/>
  <c r="L43" i="7" s="1"/>
  <c r="K8" i="7"/>
  <c r="K7" i="7" s="1"/>
  <c r="I22" i="7"/>
  <c r="I12" i="7"/>
  <c r="J11" i="7"/>
  <c r="I39" i="7"/>
  <c r="J36" i="7"/>
  <c r="J30" i="7"/>
  <c r="J37" i="7"/>
  <c r="J33" i="7"/>
  <c r="J34" i="7"/>
  <c r="I17" i="7"/>
  <c r="J16" i="7"/>
  <c r="M32" i="2"/>
  <c r="J32" i="2"/>
  <c r="K32" i="2" s="1"/>
  <c r="K6" i="6"/>
  <c r="J9" i="6"/>
  <c r="J19" i="6"/>
  <c r="J14" i="6"/>
  <c r="I21" i="6"/>
  <c r="I22" i="6" s="1"/>
  <c r="J18" i="6"/>
  <c r="J20" i="7" s="1"/>
  <c r="J8" i="6"/>
  <c r="J10" i="7" s="1"/>
  <c r="J13" i="6"/>
  <c r="J15" i="7" s="1"/>
  <c r="L32" i="2"/>
  <c r="J18" i="13" l="1"/>
  <c r="J17" i="8"/>
  <c r="J17" i="13" s="1"/>
  <c r="L28" i="12"/>
  <c r="K27" i="12"/>
  <c r="K92" i="7"/>
  <c r="L93" i="7"/>
  <c r="I63" i="13"/>
  <c r="I97" i="7"/>
  <c r="K80" i="13"/>
  <c r="L59" i="13"/>
  <c r="K58" i="13"/>
  <c r="J12" i="11"/>
  <c r="J55" i="10"/>
  <c r="J50" i="13" s="1"/>
  <c r="K77" i="7"/>
  <c r="K71" i="7"/>
  <c r="K74" i="7" s="1"/>
  <c r="K73" i="7" s="1"/>
  <c r="K26" i="10" s="1"/>
  <c r="K76" i="7"/>
  <c r="L72" i="7"/>
  <c r="K107" i="7"/>
  <c r="L108" i="7"/>
  <c r="L16" i="13"/>
  <c r="K15" i="13"/>
  <c r="L28" i="7"/>
  <c r="K31" i="7"/>
  <c r="K50" i="10"/>
  <c r="K61" i="10"/>
  <c r="K49" i="10"/>
  <c r="K49" i="13" s="1"/>
  <c r="K63" i="10"/>
  <c r="K62" i="10"/>
  <c r="L6" i="10"/>
  <c r="K64" i="10"/>
  <c r="K18" i="8"/>
  <c r="K15" i="8"/>
  <c r="L16" i="8"/>
  <c r="L6" i="6"/>
  <c r="K5" i="6"/>
  <c r="K43" i="11"/>
  <c r="K73" i="11" s="1"/>
  <c r="L44" i="11"/>
  <c r="K55" i="11"/>
  <c r="K38" i="11"/>
  <c r="K56" i="10" s="1"/>
  <c r="K39" i="11"/>
  <c r="K32" i="11"/>
  <c r="K31" i="11"/>
  <c r="K55" i="10" s="1"/>
  <c r="K50" i="13" s="1"/>
  <c r="L8" i="11"/>
  <c r="L55" i="12"/>
  <c r="K54" i="12"/>
  <c r="J30" i="11"/>
  <c r="J33" i="11" s="1"/>
  <c r="I33" i="12"/>
  <c r="J65" i="10"/>
  <c r="J51" i="13" s="1"/>
  <c r="K57" i="7"/>
  <c r="L58" i="7"/>
  <c r="K13" i="9"/>
  <c r="L6" i="9"/>
  <c r="I34" i="12"/>
  <c r="I74" i="13" s="1"/>
  <c r="J37" i="11"/>
  <c r="J40" i="11" s="1"/>
  <c r="B13" i="9"/>
  <c r="I12" i="9"/>
  <c r="K5" i="10"/>
  <c r="L5" i="12"/>
  <c r="M6" i="12"/>
  <c r="K7" i="11"/>
  <c r="L49" i="7"/>
  <c r="K50" i="7"/>
  <c r="L35" i="13"/>
  <c r="K34" i="13"/>
  <c r="R7" i="13"/>
  <c r="R8" i="13"/>
  <c r="I21" i="8"/>
  <c r="I17" i="13"/>
  <c r="I21" i="13" s="1"/>
  <c r="J21" i="13"/>
  <c r="J26" i="10"/>
  <c r="I26" i="10"/>
  <c r="J21" i="8"/>
  <c r="I11" i="10"/>
  <c r="I8" i="12"/>
  <c r="K19" i="8"/>
  <c r="K11" i="12"/>
  <c r="I68" i="7"/>
  <c r="I41" i="12" s="1"/>
  <c r="I15" i="10"/>
  <c r="I16" i="10" s="1"/>
  <c r="R7" i="8"/>
  <c r="H7" i="8"/>
  <c r="H7" i="13" s="1"/>
  <c r="R6" i="8"/>
  <c r="U85" i="7"/>
  <c r="S80" i="7"/>
  <c r="J22" i="7"/>
  <c r="J26" i="7"/>
  <c r="J51" i="7" s="1"/>
  <c r="J52" i="7" s="1"/>
  <c r="J13" i="12" s="1"/>
  <c r="K47" i="7"/>
  <c r="K14" i="10" s="1"/>
  <c r="L46" i="7"/>
  <c r="L12" i="12" s="1"/>
  <c r="L45" i="7"/>
  <c r="K16" i="7"/>
  <c r="L8" i="7"/>
  <c r="L21" i="7" s="1"/>
  <c r="K21" i="7"/>
  <c r="M44" i="7"/>
  <c r="M43" i="7" s="1"/>
  <c r="K11" i="7"/>
  <c r="J12" i="7"/>
  <c r="I24" i="7"/>
  <c r="I7" i="12" s="1"/>
  <c r="I9" i="12" s="1"/>
  <c r="I14" i="12" s="1"/>
  <c r="K8" i="6"/>
  <c r="K10" i="7" s="1"/>
  <c r="K18" i="6"/>
  <c r="K20" i="7" s="1"/>
  <c r="J17" i="7"/>
  <c r="K13" i="6"/>
  <c r="K15" i="7" s="1"/>
  <c r="K37" i="7"/>
  <c r="K30" i="7"/>
  <c r="K34" i="7"/>
  <c r="K33" i="7"/>
  <c r="K36" i="7"/>
  <c r="J39" i="7"/>
  <c r="K19" i="6"/>
  <c r="K9" i="6"/>
  <c r="K14" i="6"/>
  <c r="L14" i="6"/>
  <c r="L19" i="6"/>
  <c r="L9" i="6"/>
  <c r="J21" i="6"/>
  <c r="J22" i="6" s="1"/>
  <c r="L18" i="6"/>
  <c r="L20" i="7" s="1"/>
  <c r="L8" i="6"/>
  <c r="L10" i="7" s="1"/>
  <c r="L13" i="6"/>
  <c r="L15" i="7" s="1"/>
  <c r="M6" i="6"/>
  <c r="K37" i="11" l="1"/>
  <c r="K40" i="11" s="1"/>
  <c r="J34" i="12"/>
  <c r="J74" i="13" s="1"/>
  <c r="K18" i="13"/>
  <c r="K17" i="8"/>
  <c r="K17" i="13" s="1"/>
  <c r="M49" i="7"/>
  <c r="N49" i="7" s="1"/>
  <c r="O49" i="7" s="1"/>
  <c r="P49" i="7" s="1"/>
  <c r="Q49" i="7" s="1"/>
  <c r="R49" i="7" s="1"/>
  <c r="S49" i="7" s="1"/>
  <c r="T49" i="7" s="1"/>
  <c r="U49" i="7" s="1"/>
  <c r="V49" i="7" s="1"/>
  <c r="W49" i="7" s="1"/>
  <c r="X49" i="7" s="1"/>
  <c r="Y49" i="7" s="1"/>
  <c r="Z49" i="7" s="1"/>
  <c r="AA49" i="7" s="1"/>
  <c r="AB49" i="7" s="1"/>
  <c r="AC49" i="7" s="1"/>
  <c r="AD49" i="7" s="1"/>
  <c r="AE49" i="7" s="1"/>
  <c r="AF49" i="7" s="1"/>
  <c r="AG49" i="7" s="1"/>
  <c r="AH49" i="7" s="1"/>
  <c r="AI49" i="7" s="1"/>
  <c r="AJ49" i="7" s="1"/>
  <c r="AK49" i="7" s="1"/>
  <c r="AL49" i="7" s="1"/>
  <c r="AM49" i="7" s="1"/>
  <c r="AN49" i="7" s="1"/>
  <c r="AO49" i="7" s="1"/>
  <c r="AP49" i="7" s="1"/>
  <c r="AQ49" i="7" s="1"/>
  <c r="L50" i="7"/>
  <c r="M55" i="12"/>
  <c r="L54" i="12"/>
  <c r="K109" i="11"/>
  <c r="M28" i="7"/>
  <c r="L31" i="7"/>
  <c r="L14" i="9"/>
  <c r="M6" i="9"/>
  <c r="L39" i="11"/>
  <c r="L38" i="11"/>
  <c r="L56" i="10" s="1"/>
  <c r="L31" i="11"/>
  <c r="L32" i="11"/>
  <c r="M8" i="11"/>
  <c r="L7" i="11"/>
  <c r="L43" i="11"/>
  <c r="L109" i="11" s="1"/>
  <c r="M44" i="11"/>
  <c r="L55" i="11"/>
  <c r="L73" i="11"/>
  <c r="L91" i="11"/>
  <c r="L5" i="10"/>
  <c r="L64" i="10"/>
  <c r="M6" i="10"/>
  <c r="L61" i="10"/>
  <c r="L63" i="10"/>
  <c r="L49" i="10"/>
  <c r="L62" i="10"/>
  <c r="L50" i="10"/>
  <c r="L92" i="7"/>
  <c r="M93" i="7"/>
  <c r="M5" i="12"/>
  <c r="N6" i="12"/>
  <c r="L57" i="7"/>
  <c r="M58" i="7"/>
  <c r="L15" i="13"/>
  <c r="M16" i="13"/>
  <c r="J63" i="13"/>
  <c r="J97" i="7"/>
  <c r="K21" i="8"/>
  <c r="K19" i="13"/>
  <c r="L107" i="7"/>
  <c r="M108" i="7"/>
  <c r="L5" i="6"/>
  <c r="M5" i="6" s="1"/>
  <c r="L80" i="13"/>
  <c r="L58" i="13"/>
  <c r="M59" i="13"/>
  <c r="M28" i="12"/>
  <c r="L27" i="12"/>
  <c r="I70" i="12"/>
  <c r="I73" i="13"/>
  <c r="L18" i="8"/>
  <c r="L15" i="8"/>
  <c r="M16" i="8"/>
  <c r="K65" i="10"/>
  <c r="K51" i="13" s="1"/>
  <c r="L77" i="7"/>
  <c r="L71" i="7"/>
  <c r="L74" i="7" s="1"/>
  <c r="M72" i="7"/>
  <c r="L76" i="7"/>
  <c r="L73" i="7"/>
  <c r="L26" i="10" s="1"/>
  <c r="L34" i="13"/>
  <c r="M35" i="13"/>
  <c r="B14" i="9"/>
  <c r="I13" i="9"/>
  <c r="J13" i="9"/>
  <c r="J33" i="12"/>
  <c r="K30" i="11"/>
  <c r="K33" i="11" s="1"/>
  <c r="K91" i="11"/>
  <c r="K12" i="11" s="1"/>
  <c r="L5" i="9"/>
  <c r="M5" i="9" s="1"/>
  <c r="R12" i="13"/>
  <c r="H12" i="13"/>
  <c r="I42" i="12"/>
  <c r="I60" i="12"/>
  <c r="I67" i="7"/>
  <c r="J11" i="10"/>
  <c r="J8" i="12"/>
  <c r="L19" i="8"/>
  <c r="L11" i="12"/>
  <c r="J66" i="7"/>
  <c r="J68" i="7"/>
  <c r="R12" i="8"/>
  <c r="I10" i="10"/>
  <c r="I12" i="10" s="1"/>
  <c r="I62" i="7"/>
  <c r="I32" i="12" s="1"/>
  <c r="J15" i="10"/>
  <c r="J16" i="10" s="1"/>
  <c r="J40" i="7"/>
  <c r="H12" i="8"/>
  <c r="V85" i="7"/>
  <c r="T80" i="7"/>
  <c r="K17" i="7"/>
  <c r="L26" i="7"/>
  <c r="L51" i="7" s="1"/>
  <c r="L52" i="7" s="1"/>
  <c r="L13" i="12" s="1"/>
  <c r="K26" i="7"/>
  <c r="K51" i="7" s="1"/>
  <c r="K52" i="7" s="1"/>
  <c r="K13" i="12" s="1"/>
  <c r="L47" i="7"/>
  <c r="L14" i="10" s="1"/>
  <c r="K12" i="7"/>
  <c r="L11" i="7"/>
  <c r="L12" i="7" s="1"/>
  <c r="M45" i="7"/>
  <c r="M11" i="12" s="1"/>
  <c r="M46" i="7"/>
  <c r="M12" i="12" s="1"/>
  <c r="K22" i="7"/>
  <c r="L22" i="7"/>
  <c r="M8" i="7"/>
  <c r="L16" i="7"/>
  <c r="L17" i="7" s="1"/>
  <c r="L7" i="7"/>
  <c r="N44" i="7"/>
  <c r="N43" i="7" s="1"/>
  <c r="J24" i="7"/>
  <c r="J7" i="12" s="1"/>
  <c r="J9" i="12" s="1"/>
  <c r="J14" i="12" s="1"/>
  <c r="K21" i="6"/>
  <c r="K22" i="6" s="1"/>
  <c r="K39" i="7"/>
  <c r="L33" i="7"/>
  <c r="L37" i="7"/>
  <c r="L30" i="7"/>
  <c r="L34" i="7"/>
  <c r="L36" i="7"/>
  <c r="M9" i="6"/>
  <c r="M19" i="6"/>
  <c r="M14" i="6"/>
  <c r="M13" i="6"/>
  <c r="M15" i="7" s="1"/>
  <c r="M18" i="6"/>
  <c r="M20" i="7" s="1"/>
  <c r="M8" i="6"/>
  <c r="M10" i="7" s="1"/>
  <c r="L21" i="6"/>
  <c r="L22" i="6" s="1"/>
  <c r="N6" i="6"/>
  <c r="K63" i="13" l="1"/>
  <c r="K97" i="7"/>
  <c r="M34" i="13"/>
  <c r="N35" i="13"/>
  <c r="M18" i="8"/>
  <c r="M19" i="8"/>
  <c r="M19" i="13" s="1"/>
  <c r="N16" i="8"/>
  <c r="M15" i="8"/>
  <c r="M54" i="12"/>
  <c r="N55" i="12"/>
  <c r="M15" i="13"/>
  <c r="N16" i="13"/>
  <c r="L55" i="10"/>
  <c r="L50" i="13" s="1"/>
  <c r="L18" i="13"/>
  <c r="L17" i="8"/>
  <c r="L17" i="13" s="1"/>
  <c r="L21" i="13" s="1"/>
  <c r="L19" i="13"/>
  <c r="L30" i="11"/>
  <c r="L33" i="11" s="1"/>
  <c r="K33" i="12"/>
  <c r="M107" i="7"/>
  <c r="N108" i="7"/>
  <c r="M57" i="7"/>
  <c r="N58" i="7"/>
  <c r="L49" i="13"/>
  <c r="L12" i="11"/>
  <c r="K21" i="13"/>
  <c r="N5" i="6"/>
  <c r="J70" i="12"/>
  <c r="J73" i="13"/>
  <c r="N72" i="7"/>
  <c r="M76" i="7"/>
  <c r="N76" i="7" s="1"/>
  <c r="M71" i="7"/>
  <c r="M74" i="7"/>
  <c r="M77" i="7"/>
  <c r="M73" i="7"/>
  <c r="M26" i="10" s="1"/>
  <c r="N44" i="11"/>
  <c r="M53" i="11"/>
  <c r="M72" i="11"/>
  <c r="M71" i="11"/>
  <c r="M43" i="11"/>
  <c r="M89" i="11"/>
  <c r="M54" i="11"/>
  <c r="M108" i="11"/>
  <c r="M90" i="11"/>
  <c r="N6" i="9"/>
  <c r="N5" i="12"/>
  <c r="O6" i="12"/>
  <c r="L65" i="10"/>
  <c r="L51" i="13" s="1"/>
  <c r="N28" i="7"/>
  <c r="M31" i="7"/>
  <c r="M27" i="12"/>
  <c r="N28" i="12"/>
  <c r="M33" i="10"/>
  <c r="M27" i="10"/>
  <c r="M5" i="10"/>
  <c r="N6" i="10"/>
  <c r="B15" i="9"/>
  <c r="I14" i="9"/>
  <c r="J14" i="9"/>
  <c r="K14" i="9"/>
  <c r="N59" i="13"/>
  <c r="M58" i="13"/>
  <c r="M92" i="7"/>
  <c r="N93" i="7"/>
  <c r="M7" i="11"/>
  <c r="N8" i="11"/>
  <c r="L37" i="11"/>
  <c r="L40" i="11" s="1"/>
  <c r="K34" i="12"/>
  <c r="K74" i="13" s="1"/>
  <c r="I18" i="10"/>
  <c r="I39" i="13" s="1"/>
  <c r="I40" i="13" s="1"/>
  <c r="I36" i="13"/>
  <c r="I10" i="13"/>
  <c r="I6" i="13"/>
  <c r="I9" i="13"/>
  <c r="I8" i="13"/>
  <c r="I11" i="13"/>
  <c r="I7" i="13"/>
  <c r="K66" i="7"/>
  <c r="J41" i="12"/>
  <c r="I59" i="12"/>
  <c r="J67" i="7"/>
  <c r="K11" i="10"/>
  <c r="K8" i="12"/>
  <c r="K68" i="7"/>
  <c r="L68" i="7"/>
  <c r="I8" i="8"/>
  <c r="J10" i="10"/>
  <c r="J12" i="10" s="1"/>
  <c r="J62" i="7"/>
  <c r="J32" i="12" s="1"/>
  <c r="J59" i="12" s="1"/>
  <c r="I61" i="7"/>
  <c r="I21" i="10" s="1"/>
  <c r="J60" i="7"/>
  <c r="L15" i="10"/>
  <c r="L16" i="10" s="1"/>
  <c r="K15" i="10"/>
  <c r="K16" i="10" s="1"/>
  <c r="I7" i="8"/>
  <c r="I10" i="8"/>
  <c r="K40" i="7"/>
  <c r="I9" i="8"/>
  <c r="I6" i="8"/>
  <c r="I11" i="8"/>
  <c r="W85" i="7"/>
  <c r="U80" i="7"/>
  <c r="K24" i="7"/>
  <c r="M26" i="7"/>
  <c r="M51" i="7" s="1"/>
  <c r="L24" i="7"/>
  <c r="L7" i="12" s="1"/>
  <c r="M47" i="7"/>
  <c r="M14" i="10" s="1"/>
  <c r="N46" i="7"/>
  <c r="N12" i="12" s="1"/>
  <c r="N45" i="7"/>
  <c r="N11" i="12" s="1"/>
  <c r="M21" i="7"/>
  <c r="M22" i="7" s="1"/>
  <c r="N8" i="7"/>
  <c r="M16" i="7"/>
  <c r="M17" i="7" s="1"/>
  <c r="M7" i="7"/>
  <c r="M11" i="7"/>
  <c r="M12" i="7" s="1"/>
  <c r="J25" i="7"/>
  <c r="O44" i="7"/>
  <c r="O43" i="7" s="1"/>
  <c r="M34" i="7"/>
  <c r="M33" i="7"/>
  <c r="M36" i="7"/>
  <c r="M37" i="7"/>
  <c r="M30" i="7"/>
  <c r="L39" i="7"/>
  <c r="N14" i="6"/>
  <c r="N13" i="6" s="1"/>
  <c r="N15" i="7" s="1"/>
  <c r="N9" i="6"/>
  <c r="N8" i="6" s="1"/>
  <c r="N10" i="7" s="1"/>
  <c r="N19" i="6"/>
  <c r="N18" i="6" s="1"/>
  <c r="N20" i="7" s="1"/>
  <c r="M21" i="6"/>
  <c r="M22" i="6" s="1"/>
  <c r="M50" i="7" s="1"/>
  <c r="O6" i="6"/>
  <c r="N92" i="7" l="1"/>
  <c r="O93" i="7"/>
  <c r="B16" i="9"/>
  <c r="I15" i="9"/>
  <c r="J15" i="9"/>
  <c r="K15" i="9"/>
  <c r="L15" i="9"/>
  <c r="O28" i="7"/>
  <c r="N31" i="7"/>
  <c r="N57" i="7"/>
  <c r="O58" i="7"/>
  <c r="O6" i="10"/>
  <c r="N27" i="10"/>
  <c r="N33" i="10"/>
  <c r="N5" i="10"/>
  <c r="M15" i="9"/>
  <c r="O72" i="7"/>
  <c r="N73" i="7"/>
  <c r="N26" i="10" s="1"/>
  <c r="N74" i="7"/>
  <c r="O74" i="7" s="1"/>
  <c r="N77" i="7"/>
  <c r="N18" i="8"/>
  <c r="N19" i="8"/>
  <c r="N19" i="13" s="1"/>
  <c r="O16" i="8"/>
  <c r="N15" i="8"/>
  <c r="P6" i="12"/>
  <c r="O5" i="12"/>
  <c r="O108" i="7"/>
  <c r="N107" i="7"/>
  <c r="O59" i="13"/>
  <c r="N58" i="13"/>
  <c r="M46" i="13"/>
  <c r="M34" i="10"/>
  <c r="N54" i="11"/>
  <c r="N71" i="11"/>
  <c r="N108" i="11"/>
  <c r="N90" i="11"/>
  <c r="N72" i="11"/>
  <c r="O44" i="11"/>
  <c r="N53" i="11"/>
  <c r="N89" i="11"/>
  <c r="N15" i="13"/>
  <c r="O16" i="13"/>
  <c r="M18" i="13"/>
  <c r="M17" i="8"/>
  <c r="N16" i="9"/>
  <c r="O6" i="9"/>
  <c r="O5" i="6"/>
  <c r="K73" i="13"/>
  <c r="K70" i="12"/>
  <c r="O35" i="13"/>
  <c r="N34" i="13"/>
  <c r="L34" i="12"/>
  <c r="L74" i="13" s="1"/>
  <c r="M37" i="11"/>
  <c r="N27" i="12"/>
  <c r="O28" i="12"/>
  <c r="M11" i="11"/>
  <c r="M30" i="11"/>
  <c r="L33" i="12"/>
  <c r="N5" i="9"/>
  <c r="O5" i="9" s="1"/>
  <c r="I19" i="10"/>
  <c r="N7" i="11"/>
  <c r="O8" i="11"/>
  <c r="L97" i="7"/>
  <c r="L63" i="13"/>
  <c r="O55" i="12"/>
  <c r="N54" i="12"/>
  <c r="N43" i="11"/>
  <c r="N71" i="7"/>
  <c r="L21" i="8"/>
  <c r="I22" i="10"/>
  <c r="I42" i="13"/>
  <c r="I12" i="13"/>
  <c r="J18" i="10"/>
  <c r="J39" i="13" s="1"/>
  <c r="J36" i="13"/>
  <c r="J37" i="13" s="1"/>
  <c r="J42" i="12"/>
  <c r="J60" i="12"/>
  <c r="M66" i="7"/>
  <c r="L41" i="12"/>
  <c r="L66" i="7"/>
  <c r="L67" i="7" s="1"/>
  <c r="K41" i="12"/>
  <c r="L11" i="10"/>
  <c r="L8" i="12"/>
  <c r="L9" i="12" s="1"/>
  <c r="L14" i="12" s="1"/>
  <c r="K67" i="7"/>
  <c r="K62" i="7"/>
  <c r="K7" i="12"/>
  <c r="K9" i="12" s="1"/>
  <c r="K14" i="12" s="1"/>
  <c r="M26" i="8"/>
  <c r="M26" i="13" s="1"/>
  <c r="I26" i="8"/>
  <c r="I26" i="13" s="1"/>
  <c r="J26" i="8"/>
  <c r="K26" i="8"/>
  <c r="K26" i="13" s="1"/>
  <c r="L26" i="8"/>
  <c r="M27" i="8"/>
  <c r="M27" i="13" s="1"/>
  <c r="I27" i="8"/>
  <c r="J27" i="8"/>
  <c r="K27" i="8"/>
  <c r="L27" i="8"/>
  <c r="M24" i="8"/>
  <c r="I24" i="8"/>
  <c r="J24" i="8"/>
  <c r="K24" i="8"/>
  <c r="K24" i="13" s="1"/>
  <c r="L24" i="8"/>
  <c r="M28" i="8"/>
  <c r="M28" i="13" s="1"/>
  <c r="I28" i="8"/>
  <c r="J28" i="8"/>
  <c r="K28" i="8"/>
  <c r="L28" i="8"/>
  <c r="M29" i="8"/>
  <c r="I29" i="8"/>
  <c r="J29" i="8"/>
  <c r="K29" i="8"/>
  <c r="L29" i="8"/>
  <c r="M25" i="8"/>
  <c r="M25" i="13" s="1"/>
  <c r="M53" i="13" s="1"/>
  <c r="I25" i="8"/>
  <c r="I25" i="13" s="1"/>
  <c r="I53" i="13" s="1"/>
  <c r="J25" i="8"/>
  <c r="J25" i="13" s="1"/>
  <c r="J53" i="13" s="1"/>
  <c r="K25" i="8"/>
  <c r="K25" i="13" s="1"/>
  <c r="K53" i="13" s="1"/>
  <c r="L25" i="8"/>
  <c r="L25" i="13" s="1"/>
  <c r="L53" i="13" s="1"/>
  <c r="I53" i="11"/>
  <c r="K53" i="11"/>
  <c r="I36" i="10"/>
  <c r="L36" i="10"/>
  <c r="L10" i="10"/>
  <c r="L62" i="7"/>
  <c r="L32" i="12" s="1"/>
  <c r="K60" i="7"/>
  <c r="J61" i="7"/>
  <c r="J21" i="10" s="1"/>
  <c r="K25" i="7"/>
  <c r="K10" i="10"/>
  <c r="K12" i="10" s="1"/>
  <c r="K36" i="13" s="1"/>
  <c r="M52" i="7"/>
  <c r="M13" i="12" s="1"/>
  <c r="L40" i="7"/>
  <c r="I12" i="8"/>
  <c r="X85" i="7"/>
  <c r="V80" i="7"/>
  <c r="L25" i="7"/>
  <c r="N26" i="7"/>
  <c r="N51" i="7" s="1"/>
  <c r="N47" i="7"/>
  <c r="N14" i="10" s="1"/>
  <c r="O45" i="7"/>
  <c r="O11" i="12" s="1"/>
  <c r="O46" i="7"/>
  <c r="O12" i="12" s="1"/>
  <c r="M24" i="7"/>
  <c r="M7" i="12" s="1"/>
  <c r="O8" i="7"/>
  <c r="N16" i="7"/>
  <c r="N17" i="7" s="1"/>
  <c r="N11" i="7"/>
  <c r="N12" i="7" s="1"/>
  <c r="N21" i="7"/>
  <c r="N22" i="7" s="1"/>
  <c r="N7" i="7"/>
  <c r="P44" i="7"/>
  <c r="P43" i="7" s="1"/>
  <c r="N34" i="7"/>
  <c r="N33" i="7" s="1"/>
  <c r="N30" i="7"/>
  <c r="N37" i="7"/>
  <c r="N36" i="7" s="1"/>
  <c r="M39" i="7"/>
  <c r="O19" i="6"/>
  <c r="O18" i="6" s="1"/>
  <c r="O20" i="7" s="1"/>
  <c r="O9" i="6"/>
  <c r="O8" i="6" s="1"/>
  <c r="O10" i="7" s="1"/>
  <c r="O14" i="6"/>
  <c r="O13" i="6" s="1"/>
  <c r="O15" i="7" s="1"/>
  <c r="N21" i="6"/>
  <c r="N22" i="6" s="1"/>
  <c r="N50" i="7" s="1"/>
  <c r="P6" i="6"/>
  <c r="P28" i="7" l="1"/>
  <c r="O31" i="7"/>
  <c r="L73" i="13"/>
  <c r="L70" i="12"/>
  <c r="P35" i="13"/>
  <c r="O34" i="13"/>
  <c r="O90" i="11"/>
  <c r="O53" i="11"/>
  <c r="O108" i="11"/>
  <c r="P44" i="11"/>
  <c r="O54" i="11"/>
  <c r="O11" i="11" s="1"/>
  <c r="O43" i="11"/>
  <c r="O72" i="11"/>
  <c r="O71" i="11"/>
  <c r="O89" i="11"/>
  <c r="O18" i="8"/>
  <c r="O19" i="8"/>
  <c r="O19" i="13" s="1"/>
  <c r="P16" i="8"/>
  <c r="O15" i="8"/>
  <c r="P55" i="12"/>
  <c r="O54" i="12"/>
  <c r="P59" i="13"/>
  <c r="O58" i="13"/>
  <c r="M62" i="13"/>
  <c r="M96" i="7"/>
  <c r="M21" i="8"/>
  <c r="M17" i="13"/>
  <c r="M21" i="13" s="1"/>
  <c r="N18" i="13"/>
  <c r="N17" i="8"/>
  <c r="N46" i="13"/>
  <c r="N34" i="10"/>
  <c r="P28" i="12"/>
  <c r="O27" i="12"/>
  <c r="P5" i="6"/>
  <c r="O27" i="10"/>
  <c r="O33" i="10"/>
  <c r="O5" i="10"/>
  <c r="P6" i="10"/>
  <c r="P8" i="11"/>
  <c r="O7" i="11"/>
  <c r="P6" i="9"/>
  <c r="P16" i="13"/>
  <c r="O15" i="13"/>
  <c r="O107" i="7"/>
  <c r="P108" i="7"/>
  <c r="O57" i="7"/>
  <c r="P58" i="7"/>
  <c r="B17" i="9"/>
  <c r="I16" i="9"/>
  <c r="J16" i="9"/>
  <c r="K16" i="9"/>
  <c r="L16" i="9"/>
  <c r="M16" i="9"/>
  <c r="N11" i="11"/>
  <c r="O92" i="7"/>
  <c r="P93" i="7"/>
  <c r="Q6" i="12"/>
  <c r="P5" i="12"/>
  <c r="O71" i="7"/>
  <c r="O76" i="7"/>
  <c r="O73" i="7"/>
  <c r="O26" i="10" s="1"/>
  <c r="P72" i="7"/>
  <c r="O77" i="7"/>
  <c r="J19" i="10"/>
  <c r="J40" i="13"/>
  <c r="K37" i="13"/>
  <c r="M107" i="11"/>
  <c r="M29" i="13"/>
  <c r="I115" i="7"/>
  <c r="I116" i="7" s="1"/>
  <c r="I24" i="13"/>
  <c r="L71" i="11"/>
  <c r="L27" i="13"/>
  <c r="L107" i="11"/>
  <c r="L29" i="13"/>
  <c r="K71" i="11"/>
  <c r="K27" i="13"/>
  <c r="K107" i="11"/>
  <c r="K29" i="13"/>
  <c r="J71" i="11"/>
  <c r="J27" i="13"/>
  <c r="L53" i="11"/>
  <c r="L10" i="11" s="1"/>
  <c r="L26" i="13"/>
  <c r="J107" i="11"/>
  <c r="J29" i="13"/>
  <c r="L89" i="11"/>
  <c r="L28" i="13"/>
  <c r="I71" i="11"/>
  <c r="I10" i="11" s="1"/>
  <c r="I61" i="13" s="1"/>
  <c r="I27" i="13"/>
  <c r="I107" i="11"/>
  <c r="I29" i="13"/>
  <c r="K89" i="11"/>
  <c r="K28" i="13"/>
  <c r="J53" i="11"/>
  <c r="J10" i="11" s="1"/>
  <c r="J61" i="13" s="1"/>
  <c r="J26" i="13"/>
  <c r="J89" i="11"/>
  <c r="J28" i="13"/>
  <c r="L115" i="7"/>
  <c r="L24" i="13"/>
  <c r="M115" i="7"/>
  <c r="M24" i="13"/>
  <c r="M30" i="13" s="1"/>
  <c r="I89" i="11"/>
  <c r="I28" i="13"/>
  <c r="J115" i="7"/>
  <c r="J24" i="13"/>
  <c r="J22" i="10"/>
  <c r="J42" i="13"/>
  <c r="K35" i="10"/>
  <c r="K110" i="7"/>
  <c r="M10" i="11"/>
  <c r="M61" i="13" s="1"/>
  <c r="I48" i="12"/>
  <c r="I72" i="12" s="1"/>
  <c r="J114" i="7"/>
  <c r="J35" i="10"/>
  <c r="J110" i="7"/>
  <c r="I35" i="10"/>
  <c r="I110" i="7"/>
  <c r="I111" i="7" s="1"/>
  <c r="K36" i="10"/>
  <c r="K115" i="7"/>
  <c r="L35" i="10"/>
  <c r="L110" i="7"/>
  <c r="M35" i="10"/>
  <c r="M110" i="7"/>
  <c r="K42" i="12"/>
  <c r="K60" i="12"/>
  <c r="L42" i="12"/>
  <c r="L60" i="12"/>
  <c r="L12" i="10"/>
  <c r="M11" i="10"/>
  <c r="M8" i="12"/>
  <c r="M9" i="12" s="1"/>
  <c r="M14" i="12" s="1"/>
  <c r="L60" i="7"/>
  <c r="K32" i="12"/>
  <c r="K59" i="12" s="1"/>
  <c r="M68" i="7"/>
  <c r="M41" i="12" s="1"/>
  <c r="K61" i="7"/>
  <c r="K21" i="10" s="1"/>
  <c r="K42" i="13" s="1"/>
  <c r="I60" i="11"/>
  <c r="I30" i="8"/>
  <c r="I114" i="11"/>
  <c r="I108" i="11" s="1"/>
  <c r="I111" i="11" s="1"/>
  <c r="J106" i="11" s="1"/>
  <c r="J114" i="11" s="1"/>
  <c r="J108" i="11" s="1"/>
  <c r="J111" i="11" s="1"/>
  <c r="K106" i="11" s="1"/>
  <c r="K114" i="11" s="1"/>
  <c r="K108" i="11" s="1"/>
  <c r="K111" i="11" s="1"/>
  <c r="L106" i="11" s="1"/>
  <c r="I96" i="11"/>
  <c r="I90" i="11" s="1"/>
  <c r="I93" i="11" s="1"/>
  <c r="J88" i="11" s="1"/>
  <c r="J96" i="11" s="1"/>
  <c r="J90" i="11" s="1"/>
  <c r="K33" i="10"/>
  <c r="L33" i="10"/>
  <c r="J33" i="10"/>
  <c r="I33" i="10"/>
  <c r="M30" i="8"/>
  <c r="M36" i="10"/>
  <c r="M37" i="10" s="1"/>
  <c r="M47" i="13" s="1"/>
  <c r="J30" i="8"/>
  <c r="J36" i="10"/>
  <c r="I78" i="11"/>
  <c r="I72" i="11" s="1"/>
  <c r="L30" i="8"/>
  <c r="K30" i="8"/>
  <c r="M62" i="7"/>
  <c r="M60" i="7"/>
  <c r="L61" i="7"/>
  <c r="L21" i="10" s="1"/>
  <c r="L42" i="13" s="1"/>
  <c r="M15" i="10"/>
  <c r="M16" i="10" s="1"/>
  <c r="K18" i="10"/>
  <c r="K39" i="13" s="1"/>
  <c r="M25" i="7"/>
  <c r="M10" i="10"/>
  <c r="N52" i="7"/>
  <c r="N13" i="12" s="1"/>
  <c r="M40" i="7"/>
  <c r="Y85" i="7"/>
  <c r="W80" i="7"/>
  <c r="O26" i="7"/>
  <c r="O51" i="7" s="1"/>
  <c r="O47" i="7"/>
  <c r="O14" i="10" s="1"/>
  <c r="P46" i="7"/>
  <c r="P12" i="12" s="1"/>
  <c r="P45" i="7"/>
  <c r="P11" i="12" s="1"/>
  <c r="N24" i="7"/>
  <c r="N7" i="12" s="1"/>
  <c r="O21" i="7"/>
  <c r="O22" i="7" s="1"/>
  <c r="O16" i="7"/>
  <c r="O17" i="7" s="1"/>
  <c r="O7" i="7"/>
  <c r="P8" i="7"/>
  <c r="O11" i="7"/>
  <c r="O12" i="7" s="1"/>
  <c r="Q44" i="7"/>
  <c r="Q43" i="7" s="1"/>
  <c r="O37" i="7"/>
  <c r="O36" i="7" s="1"/>
  <c r="O30" i="7"/>
  <c r="O34" i="7"/>
  <c r="O33" i="7" s="1"/>
  <c r="N39" i="7"/>
  <c r="P14" i="6"/>
  <c r="P13" i="6" s="1"/>
  <c r="P15" i="7" s="1"/>
  <c r="P9" i="6"/>
  <c r="P8" i="6" s="1"/>
  <c r="P10" i="7" s="1"/>
  <c r="P19" i="6"/>
  <c r="P18" i="6" s="1"/>
  <c r="P20" i="7" s="1"/>
  <c r="O21" i="6"/>
  <c r="O22" i="6" s="1"/>
  <c r="O50" i="7" s="1"/>
  <c r="Q6" i="6"/>
  <c r="R6" i="12" l="1"/>
  <c r="Q5" i="12"/>
  <c r="P15" i="13"/>
  <c r="Q16" i="13"/>
  <c r="P33" i="10"/>
  <c r="P27" i="10"/>
  <c r="Q6" i="10"/>
  <c r="P5" i="10"/>
  <c r="Q59" i="13"/>
  <c r="P58" i="13"/>
  <c r="P92" i="7"/>
  <c r="Q93" i="7"/>
  <c r="P18" i="9"/>
  <c r="Q6" i="9"/>
  <c r="N17" i="13"/>
  <c r="N21" i="13" s="1"/>
  <c r="N21" i="8"/>
  <c r="N24" i="8"/>
  <c r="N29" i="8"/>
  <c r="N27" i="8"/>
  <c r="N27" i="13" s="1"/>
  <c r="N28" i="8"/>
  <c r="N28" i="13" s="1"/>
  <c r="N26" i="8"/>
  <c r="N26" i="13" s="1"/>
  <c r="N25" i="8"/>
  <c r="B18" i="9"/>
  <c r="I17" i="9"/>
  <c r="J17" i="9"/>
  <c r="K17" i="9"/>
  <c r="L17" i="9"/>
  <c r="M17" i="9"/>
  <c r="N17" i="9"/>
  <c r="Q35" i="13"/>
  <c r="P34" i="13"/>
  <c r="L30" i="13"/>
  <c r="P73" i="7"/>
  <c r="P26" i="10" s="1"/>
  <c r="P74" i="7"/>
  <c r="Q72" i="7"/>
  <c r="P71" i="7"/>
  <c r="P76" i="7"/>
  <c r="P77" i="7"/>
  <c r="N62" i="13"/>
  <c r="N96" i="7"/>
  <c r="P57" i="7"/>
  <c r="Q58" i="7"/>
  <c r="O46" i="13"/>
  <c r="O34" i="10"/>
  <c r="P54" i="12"/>
  <c r="Q55" i="12"/>
  <c r="Q5" i="6"/>
  <c r="O62" i="13"/>
  <c r="O96" i="7"/>
  <c r="Q108" i="7"/>
  <c r="P107" i="7"/>
  <c r="O17" i="9"/>
  <c r="P18" i="8"/>
  <c r="P19" i="8"/>
  <c r="P19" i="13" s="1"/>
  <c r="P15" i="8"/>
  <c r="Q16" i="8"/>
  <c r="P108" i="11"/>
  <c r="Q44" i="11"/>
  <c r="P53" i="11"/>
  <c r="P72" i="11"/>
  <c r="P89" i="11"/>
  <c r="P43" i="11"/>
  <c r="P71" i="11"/>
  <c r="P90" i="11"/>
  <c r="P54" i="11"/>
  <c r="P11" i="11" s="1"/>
  <c r="Q28" i="12"/>
  <c r="P27" i="12"/>
  <c r="Q28" i="7"/>
  <c r="P31" i="7"/>
  <c r="Q8" i="11"/>
  <c r="P7" i="11"/>
  <c r="O18" i="13"/>
  <c r="O17" i="8"/>
  <c r="P5" i="9"/>
  <c r="Q5" i="9" s="1"/>
  <c r="K30" i="13"/>
  <c r="K10" i="11"/>
  <c r="K61" i="13" s="1"/>
  <c r="M12" i="10"/>
  <c r="M36" i="13" s="1"/>
  <c r="L61" i="13"/>
  <c r="L95" i="7"/>
  <c r="J116" i="7"/>
  <c r="J48" i="12" s="1"/>
  <c r="J72" i="12" s="1"/>
  <c r="J30" i="13"/>
  <c r="I95" i="7"/>
  <c r="I30" i="13"/>
  <c r="L18" i="10"/>
  <c r="L22" i="10" s="1"/>
  <c r="L36" i="13"/>
  <c r="L37" i="13" s="1"/>
  <c r="K40" i="13"/>
  <c r="I47" i="12"/>
  <c r="I71" i="12" s="1"/>
  <c r="J109" i="7"/>
  <c r="J111" i="7" s="1"/>
  <c r="K114" i="7"/>
  <c r="K116" i="7" s="1"/>
  <c r="J95" i="7"/>
  <c r="M95" i="7"/>
  <c r="I17" i="11"/>
  <c r="M42" i="12"/>
  <c r="M60" i="12"/>
  <c r="L59" i="12"/>
  <c r="K22" i="10"/>
  <c r="M67" i="7"/>
  <c r="N66" i="7"/>
  <c r="N11" i="10"/>
  <c r="N8" i="12"/>
  <c r="N9" i="12" s="1"/>
  <c r="N14" i="12" s="1"/>
  <c r="N60" i="7"/>
  <c r="M32" i="12"/>
  <c r="M59" i="12" s="1"/>
  <c r="N68" i="7"/>
  <c r="I54" i="11"/>
  <c r="L114" i="11"/>
  <c r="L108" i="11" s="1"/>
  <c r="L111" i="11" s="1"/>
  <c r="M106" i="11" s="1"/>
  <c r="I75" i="11"/>
  <c r="J70" i="11" s="1"/>
  <c r="J78" i="11" s="1"/>
  <c r="J72" i="11" s="1"/>
  <c r="J75" i="11" s="1"/>
  <c r="J93" i="11"/>
  <c r="K88" i="11" s="1"/>
  <c r="K96" i="11" s="1"/>
  <c r="K90" i="11" s="1"/>
  <c r="M61" i="7"/>
  <c r="K19" i="10"/>
  <c r="N62" i="7"/>
  <c r="N15" i="10"/>
  <c r="N16" i="10" s="1"/>
  <c r="M18" i="10"/>
  <c r="M39" i="13" s="1"/>
  <c r="O52" i="7"/>
  <c r="O13" i="12" s="1"/>
  <c r="N25" i="7"/>
  <c r="N10" i="10"/>
  <c r="N40" i="7"/>
  <c r="Z85" i="7"/>
  <c r="X80" i="7"/>
  <c r="P26" i="7"/>
  <c r="P51" i="7" s="1"/>
  <c r="P47" i="7"/>
  <c r="P14" i="10" s="1"/>
  <c r="O24" i="7"/>
  <c r="O7" i="12" s="1"/>
  <c r="Q45" i="7"/>
  <c r="Q11" i="12" s="1"/>
  <c r="Q46" i="7"/>
  <c r="Q12" i="12" s="1"/>
  <c r="P11" i="7"/>
  <c r="P12" i="7" s="1"/>
  <c r="P7" i="7"/>
  <c r="P16" i="7"/>
  <c r="P17" i="7" s="1"/>
  <c r="Q8" i="7"/>
  <c r="P21" i="7"/>
  <c r="P22" i="7" s="1"/>
  <c r="R44" i="7"/>
  <c r="R43" i="7" s="1"/>
  <c r="O39" i="7"/>
  <c r="P37" i="7"/>
  <c r="P36" i="7" s="1"/>
  <c r="P34" i="7"/>
  <c r="P33" i="7" s="1"/>
  <c r="P30" i="7"/>
  <c r="Q9" i="6"/>
  <c r="Q8" i="6" s="1"/>
  <c r="Q10" i="7" s="1"/>
  <c r="Q19" i="6"/>
  <c r="Q18" i="6" s="1"/>
  <c r="Q20" i="7" s="1"/>
  <c r="Q14" i="6"/>
  <c r="Q13" i="6" s="1"/>
  <c r="Q15" i="7" s="1"/>
  <c r="P21" i="6"/>
  <c r="P22" i="6" s="1"/>
  <c r="P50" i="7" s="1"/>
  <c r="R6" i="6"/>
  <c r="P18" i="13" l="1"/>
  <c r="P17" i="8"/>
  <c r="R28" i="7"/>
  <c r="Q31" i="7"/>
  <c r="R6" i="10"/>
  <c r="Q33" i="10"/>
  <c r="Q27" i="10"/>
  <c r="Q5" i="10"/>
  <c r="Q71" i="7"/>
  <c r="Q73" i="7"/>
  <c r="Q26" i="10" s="1"/>
  <c r="R72" i="7"/>
  <c r="Q74" i="7"/>
  <c r="Q76" i="7"/>
  <c r="Q77" i="7"/>
  <c r="P46" i="13"/>
  <c r="P34" i="10"/>
  <c r="R28" i="12"/>
  <c r="Q27" i="12"/>
  <c r="Q90" i="11"/>
  <c r="R44" i="11"/>
  <c r="Q89" i="11"/>
  <c r="Q43" i="11"/>
  <c r="Q53" i="11"/>
  <c r="Q72" i="11"/>
  <c r="Q54" i="11"/>
  <c r="Q71" i="11"/>
  <c r="Q108" i="11"/>
  <c r="R108" i="7"/>
  <c r="Q107" i="7"/>
  <c r="Q57" i="7"/>
  <c r="R58" i="7"/>
  <c r="N107" i="11"/>
  <c r="N10" i="11" s="1"/>
  <c r="N29" i="13"/>
  <c r="Q92" i="7"/>
  <c r="R93" i="7"/>
  <c r="O21" i="8"/>
  <c r="O17" i="13"/>
  <c r="O21" i="13" s="1"/>
  <c r="O26" i="8"/>
  <c r="O26" i="13" s="1"/>
  <c r="O27" i="8"/>
  <c r="O27" i="13" s="1"/>
  <c r="O25" i="8"/>
  <c r="O24" i="8"/>
  <c r="O28" i="8"/>
  <c r="O28" i="13" s="1"/>
  <c r="O29" i="8"/>
  <c r="P62" i="13"/>
  <c r="P96" i="7"/>
  <c r="N30" i="8"/>
  <c r="N36" i="10"/>
  <c r="N115" i="7"/>
  <c r="N24" i="13"/>
  <c r="R16" i="13"/>
  <c r="R15" i="13" s="1"/>
  <c r="Q15" i="13"/>
  <c r="Q18" i="8"/>
  <c r="Q19" i="8"/>
  <c r="Q19" i="13" s="1"/>
  <c r="R16" i="8"/>
  <c r="Q15" i="8"/>
  <c r="K95" i="7"/>
  <c r="R5" i="6"/>
  <c r="B19" i="9"/>
  <c r="I18" i="9"/>
  <c r="J18" i="9"/>
  <c r="K18" i="9"/>
  <c r="L18" i="9"/>
  <c r="M18" i="9"/>
  <c r="N18" i="9"/>
  <c r="O18" i="9"/>
  <c r="Q58" i="13"/>
  <c r="R59" i="13"/>
  <c r="Q7" i="11"/>
  <c r="R8" i="11"/>
  <c r="R55" i="12"/>
  <c r="Q54" i="12"/>
  <c r="Q34" i="13"/>
  <c r="R35" i="13"/>
  <c r="N25" i="13"/>
  <c r="N53" i="13" s="1"/>
  <c r="N35" i="10"/>
  <c r="N110" i="7"/>
  <c r="Q19" i="9"/>
  <c r="R6" i="9"/>
  <c r="S6" i="12"/>
  <c r="R5" i="12"/>
  <c r="M37" i="13"/>
  <c r="I19" i="11"/>
  <c r="I68" i="13"/>
  <c r="I70" i="13" s="1"/>
  <c r="M21" i="10"/>
  <c r="M42" i="13" s="1"/>
  <c r="M40" i="13"/>
  <c r="L19" i="10"/>
  <c r="L39" i="13"/>
  <c r="I11" i="11"/>
  <c r="I62" i="13" s="1"/>
  <c r="L114" i="7"/>
  <c r="L116" i="7" s="1"/>
  <c r="K48" i="12"/>
  <c r="K72" i="12" s="1"/>
  <c r="J47" i="12"/>
  <c r="J71" i="12" s="1"/>
  <c r="K109" i="7"/>
  <c r="K111" i="7" s="1"/>
  <c r="N12" i="10"/>
  <c r="N36" i="13" s="1"/>
  <c r="N37" i="13" s="1"/>
  <c r="O66" i="7"/>
  <c r="N41" i="12"/>
  <c r="I20" i="12"/>
  <c r="I102" i="7"/>
  <c r="O11" i="10"/>
  <c r="O8" i="12"/>
  <c r="O9" i="12" s="1"/>
  <c r="O14" i="12" s="1"/>
  <c r="N61" i="7"/>
  <c r="N32" i="12"/>
  <c r="N59" i="12" s="1"/>
  <c r="O68" i="7"/>
  <c r="N67" i="7"/>
  <c r="K93" i="11"/>
  <c r="L88" i="11" s="1"/>
  <c r="L96" i="11" s="1"/>
  <c r="L90" i="11" s="1"/>
  <c r="K70" i="11"/>
  <c r="K78" i="11" s="1"/>
  <c r="K72" i="11" s="1"/>
  <c r="M19" i="10"/>
  <c r="O62" i="7"/>
  <c r="O32" i="12" s="1"/>
  <c r="O60" i="7"/>
  <c r="O15" i="10"/>
  <c r="O16" i="10" s="1"/>
  <c r="O25" i="7"/>
  <c r="O10" i="10"/>
  <c r="P52" i="7"/>
  <c r="P13" i="12" s="1"/>
  <c r="O40" i="7"/>
  <c r="AA85" i="7"/>
  <c r="Y80" i="7"/>
  <c r="Q26" i="7"/>
  <c r="Q51" i="7" s="1"/>
  <c r="Q47" i="7"/>
  <c r="Q14" i="10" s="1"/>
  <c r="R46" i="7"/>
  <c r="R12" i="12" s="1"/>
  <c r="R45" i="7"/>
  <c r="R11" i="12" s="1"/>
  <c r="P24" i="7"/>
  <c r="P7" i="12" s="1"/>
  <c r="Q16" i="7"/>
  <c r="Q17" i="7" s="1"/>
  <c r="R8" i="7"/>
  <c r="Q11" i="7"/>
  <c r="Q12" i="7" s="1"/>
  <c r="Q21" i="7"/>
  <c r="Q22" i="7" s="1"/>
  <c r="Q7" i="7"/>
  <c r="S44" i="7"/>
  <c r="S43" i="7" s="1"/>
  <c r="Q34" i="7"/>
  <c r="Q33" i="7" s="1"/>
  <c r="Q30" i="7"/>
  <c r="Q37" i="7"/>
  <c r="Q36" i="7" s="1"/>
  <c r="P39" i="7"/>
  <c r="R14" i="6"/>
  <c r="R13" i="6" s="1"/>
  <c r="R15" i="7" s="1"/>
  <c r="R19" i="6"/>
  <c r="R18" i="6" s="1"/>
  <c r="R20" i="7" s="1"/>
  <c r="R9" i="6"/>
  <c r="R8" i="6" s="1"/>
  <c r="R10" i="7" s="1"/>
  <c r="Q21" i="6"/>
  <c r="Q22" i="6" s="1"/>
  <c r="Q50" i="7" s="1"/>
  <c r="S6" i="6"/>
  <c r="R18" i="8" l="1"/>
  <c r="R19" i="8"/>
  <c r="R19" i="13" s="1"/>
  <c r="R15" i="8"/>
  <c r="R58" i="13"/>
  <c r="S59" i="13"/>
  <c r="Q34" i="10"/>
  <c r="Q46" i="13"/>
  <c r="Q18" i="13"/>
  <c r="Q17" i="8"/>
  <c r="R107" i="7"/>
  <c r="S108" i="7"/>
  <c r="R89" i="11"/>
  <c r="R43" i="11"/>
  <c r="R108" i="11"/>
  <c r="R53" i="11"/>
  <c r="R90" i="11"/>
  <c r="R71" i="11"/>
  <c r="R54" i="11"/>
  <c r="S44" i="11"/>
  <c r="R72" i="11"/>
  <c r="R34" i="13"/>
  <c r="S35" i="13"/>
  <c r="B20" i="9"/>
  <c r="I19" i="9"/>
  <c r="J19" i="9"/>
  <c r="K19" i="9"/>
  <c r="L19" i="9"/>
  <c r="M19" i="9"/>
  <c r="N19" i="9"/>
  <c r="O19" i="9"/>
  <c r="P19" i="9"/>
  <c r="O107" i="11"/>
  <c r="O10" i="11" s="1"/>
  <c r="O29" i="13"/>
  <c r="R92" i="7"/>
  <c r="S93" i="7"/>
  <c r="R27" i="10"/>
  <c r="S6" i="10"/>
  <c r="R5" i="10"/>
  <c r="R33" i="10"/>
  <c r="S5" i="12"/>
  <c r="T6" i="12"/>
  <c r="S5" i="6"/>
  <c r="R71" i="7"/>
  <c r="R73" i="7"/>
  <c r="R26" i="10" s="1"/>
  <c r="R74" i="7"/>
  <c r="R77" i="7"/>
  <c r="R76" i="7"/>
  <c r="S72" i="7"/>
  <c r="R20" i="9"/>
  <c r="S6" i="9"/>
  <c r="N30" i="13"/>
  <c r="O24" i="13"/>
  <c r="O30" i="13" s="1"/>
  <c r="O30" i="8"/>
  <c r="O36" i="10"/>
  <c r="O115" i="7"/>
  <c r="Q11" i="11"/>
  <c r="R27" i="12"/>
  <c r="S28" i="12"/>
  <c r="S28" i="7"/>
  <c r="R31" i="7"/>
  <c r="S55" i="12"/>
  <c r="R54" i="12"/>
  <c r="O25" i="13"/>
  <c r="O53" i="13" s="1"/>
  <c r="O35" i="10"/>
  <c r="O110" i="7"/>
  <c r="N61" i="13"/>
  <c r="N95" i="7"/>
  <c r="R5" i="9"/>
  <c r="S5" i="9" s="1"/>
  <c r="P21" i="8"/>
  <c r="P17" i="13"/>
  <c r="P21" i="13" s="1"/>
  <c r="P26" i="8"/>
  <c r="P26" i="13" s="1"/>
  <c r="P28" i="8"/>
  <c r="P28" i="13" s="1"/>
  <c r="P29" i="8"/>
  <c r="P27" i="8"/>
  <c r="P27" i="13" s="1"/>
  <c r="P25" i="8"/>
  <c r="P24" i="8"/>
  <c r="R7" i="11"/>
  <c r="S8" i="11"/>
  <c r="N37" i="10"/>
  <c r="N47" i="13" s="1"/>
  <c r="R57" i="7"/>
  <c r="S58" i="7"/>
  <c r="N18" i="10"/>
  <c r="N39" i="13" s="1"/>
  <c r="N40" i="13" s="1"/>
  <c r="M22" i="10"/>
  <c r="M29" i="10" s="1"/>
  <c r="M40" i="10" s="1"/>
  <c r="O67" i="7"/>
  <c r="O59" i="12"/>
  <c r="L40" i="13"/>
  <c r="M114" i="7"/>
  <c r="M116" i="7" s="1"/>
  <c r="L48" i="12"/>
  <c r="L72" i="12" s="1"/>
  <c r="K47" i="12"/>
  <c r="K71" i="12" s="1"/>
  <c r="L109" i="7"/>
  <c r="L111" i="7" s="1"/>
  <c r="I27" i="10"/>
  <c r="I68" i="12"/>
  <c r="I96" i="7"/>
  <c r="N42" i="12"/>
  <c r="N60" i="12"/>
  <c r="P66" i="7"/>
  <c r="O41" i="12"/>
  <c r="O12" i="10"/>
  <c r="N21" i="10"/>
  <c r="P11" i="10"/>
  <c r="P8" i="12"/>
  <c r="P9" i="12" s="1"/>
  <c r="P14" i="12" s="1"/>
  <c r="P68" i="7"/>
  <c r="K75" i="11"/>
  <c r="L70" i="11" s="1"/>
  <c r="L78" i="11" s="1"/>
  <c r="L72" i="11" s="1"/>
  <c r="O61" i="7"/>
  <c r="O21" i="10" s="1"/>
  <c r="O42" i="13" s="1"/>
  <c r="P60" i="7"/>
  <c r="P62" i="7"/>
  <c r="P15" i="10"/>
  <c r="P16" i="10" s="1"/>
  <c r="Q52" i="7"/>
  <c r="Q13" i="12" s="1"/>
  <c r="P25" i="7"/>
  <c r="P10" i="10"/>
  <c r="P40" i="7"/>
  <c r="AB85" i="7"/>
  <c r="Z80" i="7"/>
  <c r="R26" i="7"/>
  <c r="R51" i="7" s="1"/>
  <c r="R47" i="7"/>
  <c r="R14" i="10" s="1"/>
  <c r="S45" i="7"/>
  <c r="S11" i="12" s="1"/>
  <c r="S46" i="7"/>
  <c r="S12" i="12" s="1"/>
  <c r="Q24" i="7"/>
  <c r="Q7" i="12" s="1"/>
  <c r="R16" i="7"/>
  <c r="R17" i="7" s="1"/>
  <c r="S8" i="7"/>
  <c r="R21" i="7"/>
  <c r="R22" i="7" s="1"/>
  <c r="R7" i="7"/>
  <c r="R11" i="7"/>
  <c r="R12" i="7" s="1"/>
  <c r="T44" i="7"/>
  <c r="T43" i="7" s="1"/>
  <c r="Q39" i="7"/>
  <c r="R37" i="7"/>
  <c r="R36" i="7" s="1"/>
  <c r="R30" i="7"/>
  <c r="R34" i="7"/>
  <c r="R33" i="7" s="1"/>
  <c r="S19" i="6"/>
  <c r="S18" i="6" s="1"/>
  <c r="S20" i="7" s="1"/>
  <c r="S9" i="6"/>
  <c r="S8" i="6" s="1"/>
  <c r="S10" i="7" s="1"/>
  <c r="S14" i="6"/>
  <c r="S13" i="6" s="1"/>
  <c r="S15" i="7" s="1"/>
  <c r="R21" i="6"/>
  <c r="R22" i="6" s="1"/>
  <c r="R50" i="7" s="1"/>
  <c r="T6" i="6"/>
  <c r="P24" i="13" l="1"/>
  <c r="P115" i="7"/>
  <c r="P30" i="8"/>
  <c r="P36" i="10"/>
  <c r="R34" i="10"/>
  <c r="R46" i="13"/>
  <c r="S58" i="13"/>
  <c r="T59" i="13"/>
  <c r="P25" i="13"/>
  <c r="P53" i="13" s="1"/>
  <c r="P35" i="10"/>
  <c r="P37" i="10" s="1"/>
  <c r="P47" i="13" s="1"/>
  <c r="P110" i="7"/>
  <c r="T28" i="7"/>
  <c r="S31" i="7"/>
  <c r="S92" i="7"/>
  <c r="T93" i="7"/>
  <c r="S27" i="12"/>
  <c r="T28" i="12"/>
  <c r="T6" i="9"/>
  <c r="T5" i="9" s="1"/>
  <c r="T5" i="6"/>
  <c r="S72" i="11"/>
  <c r="S89" i="11"/>
  <c r="S108" i="11"/>
  <c r="S54" i="11"/>
  <c r="S53" i="11"/>
  <c r="S43" i="11"/>
  <c r="S71" i="11"/>
  <c r="S90" i="11"/>
  <c r="T44" i="11"/>
  <c r="S107" i="7"/>
  <c r="T108" i="7"/>
  <c r="S57" i="7"/>
  <c r="T58" i="7"/>
  <c r="P107" i="11"/>
  <c r="P10" i="11" s="1"/>
  <c r="P29" i="13"/>
  <c r="P30" i="13" s="1"/>
  <c r="T5" i="12"/>
  <c r="U6" i="12"/>
  <c r="R11" i="11"/>
  <c r="Q62" i="13"/>
  <c r="Q96" i="7"/>
  <c r="S77" i="7"/>
  <c r="T72" i="7"/>
  <c r="S73" i="7"/>
  <c r="S26" i="10" s="1"/>
  <c r="S76" i="7"/>
  <c r="S71" i="7"/>
  <c r="S74" i="7"/>
  <c r="O61" i="13"/>
  <c r="O95" i="7"/>
  <c r="Q21" i="8"/>
  <c r="Q17" i="13"/>
  <c r="Q21" i="13" s="1"/>
  <c r="Q27" i="8"/>
  <c r="Q27" i="13" s="1"/>
  <c r="Q24" i="8"/>
  <c r="Q29" i="8"/>
  <c r="Q25" i="8"/>
  <c r="Q28" i="8"/>
  <c r="Q28" i="13" s="1"/>
  <c r="Q26" i="8"/>
  <c r="Q26" i="13" s="1"/>
  <c r="B21" i="9"/>
  <c r="I20" i="9"/>
  <c r="J20" i="9"/>
  <c r="K20" i="9"/>
  <c r="L20" i="9"/>
  <c r="M20" i="9"/>
  <c r="N20" i="9"/>
  <c r="O20" i="9"/>
  <c r="P20" i="9"/>
  <c r="Q20" i="9"/>
  <c r="T8" i="11"/>
  <c r="S7" i="11"/>
  <c r="O37" i="10"/>
  <c r="O47" i="13" s="1"/>
  <c r="S34" i="13"/>
  <c r="T35" i="13"/>
  <c r="R18" i="13"/>
  <c r="R17" i="8"/>
  <c r="N19" i="10"/>
  <c r="T55" i="12"/>
  <c r="S54" i="12"/>
  <c r="S5" i="10"/>
  <c r="S27" i="10"/>
  <c r="S33" i="10"/>
  <c r="T6" i="10"/>
  <c r="I29" i="10"/>
  <c r="I46" i="13"/>
  <c r="N22" i="10"/>
  <c r="N29" i="10" s="1"/>
  <c r="N40" i="10" s="1"/>
  <c r="N42" i="13"/>
  <c r="O18" i="10"/>
  <c r="O39" i="13" s="1"/>
  <c r="O36" i="13"/>
  <c r="O37" i="13" s="1"/>
  <c r="L47" i="12"/>
  <c r="L71" i="12" s="1"/>
  <c r="M109" i="7"/>
  <c r="M111" i="7" s="1"/>
  <c r="N114" i="7"/>
  <c r="N116" i="7" s="1"/>
  <c r="M48" i="12"/>
  <c r="M72" i="12" s="1"/>
  <c r="I34" i="10"/>
  <c r="I37" i="10" s="1"/>
  <c r="O22" i="10"/>
  <c r="O29" i="10" s="1"/>
  <c r="O42" i="12"/>
  <c r="O60" i="12"/>
  <c r="P12" i="10"/>
  <c r="Q66" i="7"/>
  <c r="P41" i="12"/>
  <c r="Q11" i="10"/>
  <c r="Q8" i="12"/>
  <c r="Q9" i="12" s="1"/>
  <c r="Q14" i="12" s="1"/>
  <c r="P67" i="7"/>
  <c r="Q60" i="7"/>
  <c r="P32" i="12"/>
  <c r="P59" i="12" s="1"/>
  <c r="Q68" i="7"/>
  <c r="L75" i="11"/>
  <c r="M70" i="11" s="1"/>
  <c r="L93" i="11"/>
  <c r="P61" i="7"/>
  <c r="O19" i="10"/>
  <c r="Q62" i="7"/>
  <c r="Q15" i="10"/>
  <c r="Q16" i="10" s="1"/>
  <c r="Q25" i="7"/>
  <c r="Q10" i="10"/>
  <c r="R52" i="7"/>
  <c r="R13" i="12" s="1"/>
  <c r="Q40" i="7"/>
  <c r="AC85" i="7"/>
  <c r="AA80" i="7"/>
  <c r="S47" i="7"/>
  <c r="S14" i="10" s="1"/>
  <c r="S26" i="7"/>
  <c r="S51" i="7" s="1"/>
  <c r="T46" i="7"/>
  <c r="T12" i="12" s="1"/>
  <c r="T45" i="7"/>
  <c r="T11" i="12" s="1"/>
  <c r="R24" i="7"/>
  <c r="R7" i="12" s="1"/>
  <c r="R39" i="7"/>
  <c r="S11" i="7"/>
  <c r="S12" i="7" s="1"/>
  <c r="S16" i="7"/>
  <c r="S17" i="7" s="1"/>
  <c r="T8" i="7"/>
  <c r="S21" i="7"/>
  <c r="S22" i="7" s="1"/>
  <c r="S7" i="7"/>
  <c r="U44" i="7"/>
  <c r="U43" i="7" s="1"/>
  <c r="S37" i="7"/>
  <c r="S36" i="7" s="1"/>
  <c r="S30" i="7"/>
  <c r="S34" i="7"/>
  <c r="S33" i="7" s="1"/>
  <c r="T14" i="6"/>
  <c r="T13" i="6" s="1"/>
  <c r="T15" i="7" s="1"/>
  <c r="T19" i="6"/>
  <c r="T18" i="6" s="1"/>
  <c r="T20" i="7" s="1"/>
  <c r="T9" i="6"/>
  <c r="T8" i="6" s="1"/>
  <c r="T10" i="7" s="1"/>
  <c r="S21" i="6"/>
  <c r="S22" i="6" s="1"/>
  <c r="S50" i="7" s="1"/>
  <c r="U6" i="6"/>
  <c r="Q35" i="10" l="1"/>
  <c r="Q25" i="13"/>
  <c r="Q53" i="13" s="1"/>
  <c r="Q110" i="7"/>
  <c r="R62" i="13"/>
  <c r="R96" i="7"/>
  <c r="U55" i="12"/>
  <c r="T54" i="12"/>
  <c r="Q29" i="13"/>
  <c r="Q107" i="11"/>
  <c r="Q10" i="11" s="1"/>
  <c r="U5" i="12"/>
  <c r="V6" i="12"/>
  <c r="T54" i="11"/>
  <c r="T71" i="11"/>
  <c r="T90" i="11"/>
  <c r="T43" i="11"/>
  <c r="T72" i="11"/>
  <c r="T108" i="11"/>
  <c r="T53" i="11"/>
  <c r="T89" i="11"/>
  <c r="U44" i="11"/>
  <c r="U28" i="7"/>
  <c r="T31" i="7"/>
  <c r="O40" i="10"/>
  <c r="T7" i="11"/>
  <c r="U8" i="11"/>
  <c r="Q24" i="13"/>
  <c r="Q30" i="13" s="1"/>
  <c r="Q30" i="8"/>
  <c r="Q36" i="10"/>
  <c r="Q115" i="7"/>
  <c r="U5" i="6"/>
  <c r="R21" i="8"/>
  <c r="S21" i="8" s="1"/>
  <c r="R17" i="13"/>
  <c r="R21" i="13" s="1"/>
  <c r="R28" i="8"/>
  <c r="R28" i="13" s="1"/>
  <c r="R26" i="8"/>
  <c r="R26" i="13" s="1"/>
  <c r="R27" i="8"/>
  <c r="R27" i="13" s="1"/>
  <c r="R29" i="8"/>
  <c r="R25" i="8"/>
  <c r="R24" i="8"/>
  <c r="U6" i="9"/>
  <c r="U6" i="10"/>
  <c r="T27" i="10"/>
  <c r="T5" i="10"/>
  <c r="T33" i="10"/>
  <c r="B22" i="9"/>
  <c r="I21" i="9"/>
  <c r="J21" i="9"/>
  <c r="K21" i="9"/>
  <c r="L21" i="9"/>
  <c r="M21" i="9"/>
  <c r="N21" i="9"/>
  <c r="O21" i="9"/>
  <c r="P21" i="9"/>
  <c r="Q21" i="9"/>
  <c r="R21" i="9"/>
  <c r="T77" i="7"/>
  <c r="T76" i="7"/>
  <c r="T73" i="7"/>
  <c r="T26" i="10" s="1"/>
  <c r="T74" i="7"/>
  <c r="T71" i="7"/>
  <c r="U72" i="7"/>
  <c r="P95" i="7"/>
  <c r="P61" i="13"/>
  <c r="T27" i="12"/>
  <c r="U28" i="12"/>
  <c r="T57" i="7"/>
  <c r="U58" i="7"/>
  <c r="S10" i="11"/>
  <c r="T58" i="13"/>
  <c r="U59" i="13"/>
  <c r="S34" i="10"/>
  <c r="S37" i="10" s="1"/>
  <c r="S47" i="13" s="1"/>
  <c r="S46" i="13"/>
  <c r="U35" i="13"/>
  <c r="T34" i="13"/>
  <c r="S11" i="11"/>
  <c r="T92" i="7"/>
  <c r="U93" i="7"/>
  <c r="T107" i="7"/>
  <c r="U108" i="7"/>
  <c r="S21" i="9"/>
  <c r="I40" i="10"/>
  <c r="I47" i="13"/>
  <c r="O40" i="13"/>
  <c r="P21" i="10"/>
  <c r="P42" i="13" s="1"/>
  <c r="P18" i="10"/>
  <c r="P39" i="13" s="1"/>
  <c r="P36" i="13"/>
  <c r="P37" i="13" s="1"/>
  <c r="O114" i="7"/>
  <c r="O116" i="7" s="1"/>
  <c r="N48" i="12"/>
  <c r="N72" i="12" s="1"/>
  <c r="M47" i="12"/>
  <c r="M71" i="12" s="1"/>
  <c r="N109" i="7"/>
  <c r="N111" i="7" s="1"/>
  <c r="P42" i="12"/>
  <c r="P60" i="12"/>
  <c r="Q12" i="10"/>
  <c r="Q67" i="7"/>
  <c r="Q41" i="12"/>
  <c r="R66" i="7"/>
  <c r="Q61" i="7"/>
  <c r="Q32" i="12"/>
  <c r="Q59" i="12" s="1"/>
  <c r="R11" i="10"/>
  <c r="R8" i="12"/>
  <c r="R9" i="12" s="1"/>
  <c r="R14" i="12" s="1"/>
  <c r="R68" i="7"/>
  <c r="M88" i="11"/>
  <c r="R62" i="7"/>
  <c r="R60" i="7"/>
  <c r="R15" i="10"/>
  <c r="R16" i="10" s="1"/>
  <c r="S52" i="7"/>
  <c r="S13" i="12" s="1"/>
  <c r="R25" i="7"/>
  <c r="R10" i="10"/>
  <c r="R40" i="7"/>
  <c r="AD85" i="7"/>
  <c r="AB80" i="7"/>
  <c r="T26" i="7"/>
  <c r="T51" i="7" s="1"/>
  <c r="T47" i="7"/>
  <c r="T14" i="10" s="1"/>
  <c r="U45" i="7"/>
  <c r="U11" i="12" s="1"/>
  <c r="U46" i="7"/>
  <c r="U12" i="12" s="1"/>
  <c r="S24" i="7"/>
  <c r="S7" i="12" s="1"/>
  <c r="T11" i="7"/>
  <c r="T12" i="7" s="1"/>
  <c r="T16" i="7"/>
  <c r="T17" i="7" s="1"/>
  <c r="T7" i="7"/>
  <c r="T21" i="7"/>
  <c r="T22" i="7" s="1"/>
  <c r="U8" i="7"/>
  <c r="V44" i="7"/>
  <c r="V43" i="7" s="1"/>
  <c r="S39" i="7"/>
  <c r="T30" i="7"/>
  <c r="T34" i="7"/>
  <c r="T33" i="7" s="1"/>
  <c r="T37" i="7"/>
  <c r="T36" i="7" s="1"/>
  <c r="U9" i="6"/>
  <c r="U8" i="6" s="1"/>
  <c r="U10" i="7" s="1"/>
  <c r="U19" i="6"/>
  <c r="U18" i="6" s="1"/>
  <c r="U20" i="7" s="1"/>
  <c r="U14" i="6"/>
  <c r="U13" i="6" s="1"/>
  <c r="U15" i="7" s="1"/>
  <c r="T21" i="6"/>
  <c r="T22" i="6" s="1"/>
  <c r="T50" i="7" s="1"/>
  <c r="V6" i="6"/>
  <c r="V59" i="13" l="1"/>
  <c r="U58" i="13"/>
  <c r="V6" i="9"/>
  <c r="R30" i="8"/>
  <c r="S30" i="8" s="1"/>
  <c r="R36" i="10"/>
  <c r="R115" i="7"/>
  <c r="R24" i="13"/>
  <c r="R30" i="13" s="1"/>
  <c r="V5" i="6"/>
  <c r="U54" i="12"/>
  <c r="V55" i="12"/>
  <c r="U92" i="7"/>
  <c r="V93" i="7"/>
  <c r="R25" i="13"/>
  <c r="R53" i="13" s="1"/>
  <c r="R35" i="10"/>
  <c r="R37" i="10" s="1"/>
  <c r="R47" i="13" s="1"/>
  <c r="R110" i="7"/>
  <c r="V28" i="7"/>
  <c r="U31" i="7"/>
  <c r="R29" i="13"/>
  <c r="R107" i="11"/>
  <c r="R10" i="11" s="1"/>
  <c r="U54" i="11"/>
  <c r="U71" i="11"/>
  <c r="U72" i="11"/>
  <c r="U108" i="11"/>
  <c r="U90" i="11"/>
  <c r="V44" i="11"/>
  <c r="U89" i="11"/>
  <c r="U43" i="11"/>
  <c r="U53" i="11"/>
  <c r="U10" i="11" s="1"/>
  <c r="T11" i="11"/>
  <c r="S62" i="13"/>
  <c r="S96" i="7"/>
  <c r="S61" i="13"/>
  <c r="S95" i="7"/>
  <c r="V72" i="7"/>
  <c r="U71" i="7"/>
  <c r="U73" i="7"/>
  <c r="U26" i="10" s="1"/>
  <c r="U77" i="7"/>
  <c r="U76" i="7"/>
  <c r="U74" i="7"/>
  <c r="B23" i="9"/>
  <c r="I22" i="9"/>
  <c r="J22" i="9"/>
  <c r="K22" i="9"/>
  <c r="L22" i="9"/>
  <c r="M22" i="9"/>
  <c r="N22" i="9"/>
  <c r="O22" i="9"/>
  <c r="P22" i="9"/>
  <c r="Q22" i="9"/>
  <c r="R22" i="9"/>
  <c r="S22" i="9"/>
  <c r="V5" i="12"/>
  <c r="W6" i="12"/>
  <c r="U57" i="7"/>
  <c r="V58" i="7"/>
  <c r="T10" i="11"/>
  <c r="V35" i="13"/>
  <c r="U34" i="13"/>
  <c r="V8" i="11"/>
  <c r="U7" i="11"/>
  <c r="Q95" i="7"/>
  <c r="Q61" i="13"/>
  <c r="Q37" i="10"/>
  <c r="Q47" i="13" s="1"/>
  <c r="T34" i="10"/>
  <c r="T37" i="10" s="1"/>
  <c r="T47" i="13" s="1"/>
  <c r="T46" i="13"/>
  <c r="U5" i="9"/>
  <c r="V5" i="9" s="1"/>
  <c r="U107" i="7"/>
  <c r="V108" i="7"/>
  <c r="U27" i="12"/>
  <c r="V28" i="12"/>
  <c r="V6" i="10"/>
  <c r="U33" i="10"/>
  <c r="U27" i="10"/>
  <c r="U5" i="10"/>
  <c r="T22" i="9"/>
  <c r="P40" i="13"/>
  <c r="P19" i="10"/>
  <c r="P22" i="10"/>
  <c r="P29" i="10" s="1"/>
  <c r="P40" i="10" s="1"/>
  <c r="Q21" i="10"/>
  <c r="Q42" i="13" s="1"/>
  <c r="Q18" i="10"/>
  <c r="Q39" i="13" s="1"/>
  <c r="Q36" i="13"/>
  <c r="Q37" i="13" s="1"/>
  <c r="N47" i="12"/>
  <c r="N71" i="12" s="1"/>
  <c r="O109" i="7"/>
  <c r="O111" i="7" s="1"/>
  <c r="P114" i="7"/>
  <c r="P116" i="7" s="1"/>
  <c r="O48" i="12"/>
  <c r="O72" i="12" s="1"/>
  <c r="Q42" i="12"/>
  <c r="Q60" i="12"/>
  <c r="R12" i="10"/>
  <c r="R36" i="13" s="1"/>
  <c r="S66" i="7"/>
  <c r="R41" i="12"/>
  <c r="R67" i="7"/>
  <c r="S11" i="10"/>
  <c r="S8" i="12"/>
  <c r="S9" i="12" s="1"/>
  <c r="S14" i="12" s="1"/>
  <c r="S60" i="7"/>
  <c r="R32" i="12"/>
  <c r="R59" i="12" s="1"/>
  <c r="S68" i="7"/>
  <c r="R61" i="7"/>
  <c r="S62" i="7"/>
  <c r="S15" i="10"/>
  <c r="S16" i="10" s="1"/>
  <c r="S25" i="7"/>
  <c r="S10" i="10"/>
  <c r="T52" i="7"/>
  <c r="T13" i="12" s="1"/>
  <c r="S40" i="7"/>
  <c r="AE85" i="7"/>
  <c r="AC80" i="7"/>
  <c r="U26" i="7"/>
  <c r="U51" i="7" s="1"/>
  <c r="U47" i="7"/>
  <c r="U14" i="10" s="1"/>
  <c r="V46" i="7"/>
  <c r="V12" i="12" s="1"/>
  <c r="V45" i="7"/>
  <c r="V11" i="12" s="1"/>
  <c r="T24" i="7"/>
  <c r="T7" i="12" s="1"/>
  <c r="U21" i="7"/>
  <c r="U22" i="7" s="1"/>
  <c r="U7" i="7"/>
  <c r="U16" i="7"/>
  <c r="U17" i="7" s="1"/>
  <c r="V8" i="7"/>
  <c r="U11" i="7"/>
  <c r="U12" i="7" s="1"/>
  <c r="W44" i="7"/>
  <c r="W43" i="7" s="1"/>
  <c r="T39" i="7"/>
  <c r="U37" i="7"/>
  <c r="U36" i="7" s="1"/>
  <c r="U30" i="7"/>
  <c r="U34" i="7"/>
  <c r="U33" i="7" s="1"/>
  <c r="V14" i="6"/>
  <c r="V13" i="6" s="1"/>
  <c r="V15" i="7" s="1"/>
  <c r="V9" i="6"/>
  <c r="V8" i="6" s="1"/>
  <c r="V10" i="7" s="1"/>
  <c r="V19" i="6"/>
  <c r="V18" i="6" s="1"/>
  <c r="V20" i="7" s="1"/>
  <c r="U21" i="6"/>
  <c r="U22" i="6" s="1"/>
  <c r="U50" i="7" s="1"/>
  <c r="W6" i="6"/>
  <c r="T61" i="13" l="1"/>
  <c r="T95" i="7"/>
  <c r="V108" i="11"/>
  <c r="V71" i="11"/>
  <c r="V54" i="11"/>
  <c r="V89" i="11"/>
  <c r="V90" i="11"/>
  <c r="V53" i="11"/>
  <c r="V72" i="11"/>
  <c r="V43" i="11"/>
  <c r="W44" i="11"/>
  <c r="V33" i="10"/>
  <c r="W6" i="10"/>
  <c r="V27" i="10"/>
  <c r="V5" i="10"/>
  <c r="B24" i="9"/>
  <c r="I23" i="9"/>
  <c r="J23" i="9"/>
  <c r="K23" i="9"/>
  <c r="L23" i="9"/>
  <c r="M23" i="9"/>
  <c r="N23" i="9"/>
  <c r="O23" i="9"/>
  <c r="P23" i="9"/>
  <c r="Q23" i="9"/>
  <c r="R23" i="9"/>
  <c r="S23" i="9"/>
  <c r="T23" i="9"/>
  <c r="W28" i="7"/>
  <c r="V31" i="7"/>
  <c r="W5" i="6"/>
  <c r="W28" i="12"/>
  <c r="V27" i="12"/>
  <c r="V57" i="7"/>
  <c r="W58" i="7"/>
  <c r="W108" i="7"/>
  <c r="V107" i="7"/>
  <c r="W5" i="12"/>
  <c r="X6" i="12"/>
  <c r="T62" i="13"/>
  <c r="T96" i="7"/>
  <c r="U23" i="9"/>
  <c r="W8" i="11"/>
  <c r="V7" i="11"/>
  <c r="U61" i="13"/>
  <c r="U95" i="7"/>
  <c r="U11" i="11"/>
  <c r="V92" i="7"/>
  <c r="W93" i="7"/>
  <c r="R61" i="13"/>
  <c r="R95" i="7"/>
  <c r="V24" i="9"/>
  <c r="W6" i="9"/>
  <c r="V58" i="13"/>
  <c r="W59" i="13"/>
  <c r="U34" i="10"/>
  <c r="U37" i="10" s="1"/>
  <c r="U47" i="13" s="1"/>
  <c r="U46" i="13"/>
  <c r="W35" i="13"/>
  <c r="V34" i="13"/>
  <c r="V77" i="7"/>
  <c r="V73" i="7"/>
  <c r="V26" i="10" s="1"/>
  <c r="W72" i="7"/>
  <c r="V74" i="7"/>
  <c r="V76" i="7"/>
  <c r="V71" i="7"/>
  <c r="W55" i="12"/>
  <c r="V54" i="12"/>
  <c r="Q19" i="10"/>
  <c r="R37" i="13"/>
  <c r="Q22" i="10"/>
  <c r="Q29" i="10" s="1"/>
  <c r="Q40" i="10" s="1"/>
  <c r="R18" i="10"/>
  <c r="R39" i="13" s="1"/>
  <c r="R40" i="13" s="1"/>
  <c r="Q40" i="13"/>
  <c r="Q114" i="7"/>
  <c r="Q116" i="7" s="1"/>
  <c r="P48" i="12"/>
  <c r="P72" i="12" s="1"/>
  <c r="O47" i="12"/>
  <c r="O71" i="12" s="1"/>
  <c r="P109" i="7"/>
  <c r="P111" i="7" s="1"/>
  <c r="R42" i="12"/>
  <c r="R60" i="12"/>
  <c r="R21" i="10"/>
  <c r="T66" i="7"/>
  <c r="S41" i="12"/>
  <c r="S12" i="10"/>
  <c r="S36" i="13" s="1"/>
  <c r="S37" i="13" s="1"/>
  <c r="S67" i="7"/>
  <c r="T11" i="10"/>
  <c r="T8" i="12"/>
  <c r="T9" i="12" s="1"/>
  <c r="T14" i="12" s="1"/>
  <c r="T60" i="7"/>
  <c r="S32" i="12"/>
  <c r="S59" i="12" s="1"/>
  <c r="T68" i="7"/>
  <c r="T62" i="7"/>
  <c r="S61" i="7"/>
  <c r="T15" i="10"/>
  <c r="T16" i="10" s="1"/>
  <c r="T25" i="7"/>
  <c r="T10" i="10"/>
  <c r="U52" i="7"/>
  <c r="U13" i="12" s="1"/>
  <c r="T40" i="7"/>
  <c r="AF85" i="7"/>
  <c r="AD80" i="7"/>
  <c r="V26" i="7"/>
  <c r="V51" i="7" s="1"/>
  <c r="V47" i="7"/>
  <c r="V14" i="10" s="1"/>
  <c r="W45" i="7"/>
  <c r="W11" i="12" s="1"/>
  <c r="W46" i="7"/>
  <c r="W12" i="12" s="1"/>
  <c r="U24" i="7"/>
  <c r="U7" i="12" s="1"/>
  <c r="V11" i="7"/>
  <c r="V12" i="7" s="1"/>
  <c r="V21" i="7"/>
  <c r="V22" i="7" s="1"/>
  <c r="V7" i="7"/>
  <c r="V16" i="7"/>
  <c r="V17" i="7" s="1"/>
  <c r="W8" i="7"/>
  <c r="X44" i="7"/>
  <c r="X43" i="7" s="1"/>
  <c r="U39" i="7"/>
  <c r="V37" i="7"/>
  <c r="V36" i="7" s="1"/>
  <c r="V30" i="7"/>
  <c r="V34" i="7"/>
  <c r="V33" i="7" s="1"/>
  <c r="W19" i="6"/>
  <c r="W18" i="6" s="1"/>
  <c r="W20" i="7" s="1"/>
  <c r="W9" i="6"/>
  <c r="W8" i="6" s="1"/>
  <c r="W10" i="7" s="1"/>
  <c r="W14" i="6"/>
  <c r="W13" i="6" s="1"/>
  <c r="W15" i="7" s="1"/>
  <c r="V21" i="6"/>
  <c r="V22" i="6" s="1"/>
  <c r="V50" i="7" s="1"/>
  <c r="X6" i="6"/>
  <c r="U62" i="13" l="1"/>
  <c r="U96" i="7"/>
  <c r="Y6" i="12"/>
  <c r="X5" i="12"/>
  <c r="X5" i="6"/>
  <c r="V46" i="13"/>
  <c r="V34" i="10"/>
  <c r="V37" i="10" s="1"/>
  <c r="V47" i="13" s="1"/>
  <c r="X59" i="13"/>
  <c r="W58" i="13"/>
  <c r="X28" i="7"/>
  <c r="W31" i="7"/>
  <c r="W5" i="10"/>
  <c r="W27" i="10"/>
  <c r="X6" i="10"/>
  <c r="W33" i="10"/>
  <c r="V11" i="11"/>
  <c r="W77" i="7"/>
  <c r="W71" i="7"/>
  <c r="W73" i="7"/>
  <c r="W26" i="10" s="1"/>
  <c r="W76" i="7"/>
  <c r="W74" i="7"/>
  <c r="X72" i="7"/>
  <c r="X108" i="7"/>
  <c r="W107" i="7"/>
  <c r="W7" i="11"/>
  <c r="X8" i="11"/>
  <c r="W57" i="7"/>
  <c r="X58" i="7"/>
  <c r="W90" i="11"/>
  <c r="W53" i="11"/>
  <c r="X44" i="11"/>
  <c r="W71" i="11"/>
  <c r="W43" i="11"/>
  <c r="W89" i="11"/>
  <c r="W108" i="11"/>
  <c r="W72" i="11"/>
  <c r="W54" i="11"/>
  <c r="W11" i="11" s="1"/>
  <c r="X6" i="9"/>
  <c r="W5" i="9"/>
  <c r="W92" i="7"/>
  <c r="X93" i="7"/>
  <c r="W54" i="12"/>
  <c r="X55" i="12"/>
  <c r="X35" i="13"/>
  <c r="W34" i="13"/>
  <c r="W27" i="12"/>
  <c r="X28" i="12"/>
  <c r="B25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10" i="11"/>
  <c r="S21" i="10"/>
  <c r="S42" i="13" s="1"/>
  <c r="R19" i="10"/>
  <c r="S18" i="10"/>
  <c r="S39" i="13" s="1"/>
  <c r="S40" i="13" s="1"/>
  <c r="R22" i="10"/>
  <c r="R29" i="10" s="1"/>
  <c r="R40" i="10" s="1"/>
  <c r="R42" i="13"/>
  <c r="P47" i="12"/>
  <c r="P71" i="12" s="1"/>
  <c r="Q109" i="7"/>
  <c r="Q111" i="7" s="1"/>
  <c r="R114" i="7"/>
  <c r="R116" i="7" s="1"/>
  <c r="Q48" i="12"/>
  <c r="Q72" i="12" s="1"/>
  <c r="S42" i="12"/>
  <c r="S60" i="12"/>
  <c r="U66" i="7"/>
  <c r="T41" i="12"/>
  <c r="T12" i="10"/>
  <c r="T36" i="13" s="1"/>
  <c r="T37" i="13" s="1"/>
  <c r="T67" i="7"/>
  <c r="U11" i="10"/>
  <c r="U8" i="12"/>
  <c r="U9" i="12" s="1"/>
  <c r="U14" i="12" s="1"/>
  <c r="U60" i="7"/>
  <c r="T32" i="12"/>
  <c r="T59" i="12" s="1"/>
  <c r="U68" i="7"/>
  <c r="T61" i="7"/>
  <c r="U62" i="7"/>
  <c r="U15" i="10"/>
  <c r="U16" i="10" s="1"/>
  <c r="U25" i="7"/>
  <c r="U10" i="10"/>
  <c r="V52" i="7"/>
  <c r="V13" i="12" s="1"/>
  <c r="U40" i="7"/>
  <c r="AG85" i="7"/>
  <c r="AE80" i="7"/>
  <c r="W47" i="7"/>
  <c r="W14" i="10" s="1"/>
  <c r="W26" i="7"/>
  <c r="W51" i="7" s="1"/>
  <c r="X46" i="7"/>
  <c r="X12" i="12" s="1"/>
  <c r="X45" i="7"/>
  <c r="X11" i="12" s="1"/>
  <c r="V24" i="7"/>
  <c r="V7" i="12" s="1"/>
  <c r="W21" i="7"/>
  <c r="W22" i="7" s="1"/>
  <c r="W7" i="7"/>
  <c r="W16" i="7"/>
  <c r="W17" i="7" s="1"/>
  <c r="X8" i="7"/>
  <c r="W11" i="7"/>
  <c r="W12" i="7" s="1"/>
  <c r="Y44" i="7"/>
  <c r="Y43" i="7" s="1"/>
  <c r="V39" i="7"/>
  <c r="W37" i="7"/>
  <c r="W36" i="7" s="1"/>
  <c r="W34" i="7"/>
  <c r="W33" i="7" s="1"/>
  <c r="W30" i="7"/>
  <c r="X14" i="6"/>
  <c r="X13" i="6" s="1"/>
  <c r="X15" i="7" s="1"/>
  <c r="X19" i="6"/>
  <c r="X18" i="6" s="1"/>
  <c r="X20" i="7" s="1"/>
  <c r="X9" i="6"/>
  <c r="X8" i="6" s="1"/>
  <c r="X10" i="7" s="1"/>
  <c r="W21" i="6"/>
  <c r="W22" i="6" s="1"/>
  <c r="W50" i="7" s="1"/>
  <c r="Y6" i="6"/>
  <c r="W10" i="11" l="1"/>
  <c r="Y108" i="7"/>
  <c r="X107" i="7"/>
  <c r="X92" i="7"/>
  <c r="Y93" i="7"/>
  <c r="W96" i="7"/>
  <c r="W62" i="13"/>
  <c r="X77" i="7"/>
  <c r="X71" i="7"/>
  <c r="X73" i="7"/>
  <c r="X26" i="10" s="1"/>
  <c r="X74" i="7"/>
  <c r="X76" i="7"/>
  <c r="Y72" i="7"/>
  <c r="X5" i="10"/>
  <c r="X27" i="10"/>
  <c r="X33" i="10"/>
  <c r="Y6" i="10"/>
  <c r="B26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X57" i="7"/>
  <c r="Y58" i="7"/>
  <c r="W34" i="10"/>
  <c r="W37" i="10" s="1"/>
  <c r="W47" i="13" s="1"/>
  <c r="W46" i="13"/>
  <c r="Y28" i="12"/>
  <c r="X27" i="12"/>
  <c r="X5" i="9"/>
  <c r="Y5" i="6"/>
  <c r="V61" i="13"/>
  <c r="V95" i="7"/>
  <c r="X26" i="9"/>
  <c r="Y6" i="9"/>
  <c r="Y8" i="11"/>
  <c r="X7" i="11"/>
  <c r="Y28" i="7"/>
  <c r="X31" i="7"/>
  <c r="Z6" i="12"/>
  <c r="Y5" i="12"/>
  <c r="Y35" i="13"/>
  <c r="X34" i="13"/>
  <c r="W25" i="9"/>
  <c r="Y55" i="12"/>
  <c r="X54" i="12"/>
  <c r="X72" i="11"/>
  <c r="X89" i="11"/>
  <c r="X90" i="11"/>
  <c r="X108" i="11"/>
  <c r="X54" i="11"/>
  <c r="X11" i="11" s="1"/>
  <c r="X71" i="11"/>
  <c r="X53" i="11"/>
  <c r="X43" i="11"/>
  <c r="Y44" i="11"/>
  <c r="V62" i="13"/>
  <c r="V96" i="7"/>
  <c r="Y59" i="13"/>
  <c r="X58" i="13"/>
  <c r="T21" i="10"/>
  <c r="T42" i="13" s="1"/>
  <c r="S19" i="10"/>
  <c r="T18" i="10"/>
  <c r="T39" i="13" s="1"/>
  <c r="T40" i="13" s="1"/>
  <c r="S22" i="10"/>
  <c r="S29" i="10" s="1"/>
  <c r="S40" i="10" s="1"/>
  <c r="S114" i="7"/>
  <c r="S116" i="7" s="1"/>
  <c r="R48" i="12"/>
  <c r="R72" i="12" s="1"/>
  <c r="Q47" i="12"/>
  <c r="Q71" i="12" s="1"/>
  <c r="R109" i="7"/>
  <c r="R111" i="7" s="1"/>
  <c r="T42" i="12"/>
  <c r="T60" i="12"/>
  <c r="U12" i="10"/>
  <c r="U67" i="7"/>
  <c r="U41" i="12"/>
  <c r="V11" i="10"/>
  <c r="V8" i="12"/>
  <c r="V9" i="12" s="1"/>
  <c r="V14" i="12" s="1"/>
  <c r="V60" i="7"/>
  <c r="U32" i="12"/>
  <c r="U59" i="12" s="1"/>
  <c r="V66" i="7"/>
  <c r="V68" i="7"/>
  <c r="U61" i="7"/>
  <c r="U21" i="10" s="1"/>
  <c r="U42" i="13" s="1"/>
  <c r="V62" i="7"/>
  <c r="V15" i="10"/>
  <c r="V16" i="10" s="1"/>
  <c r="W52" i="7"/>
  <c r="W13" i="12" s="1"/>
  <c r="V25" i="7"/>
  <c r="V10" i="10"/>
  <c r="V40" i="7"/>
  <c r="AH85" i="7"/>
  <c r="AF80" i="7"/>
  <c r="X47" i="7"/>
  <c r="X14" i="10" s="1"/>
  <c r="X26" i="7"/>
  <c r="X51" i="7" s="1"/>
  <c r="Y45" i="7"/>
  <c r="Y11" i="12" s="1"/>
  <c r="Y46" i="7"/>
  <c r="Y12" i="12" s="1"/>
  <c r="W24" i="7"/>
  <c r="W7" i="12" s="1"/>
  <c r="X11" i="7"/>
  <c r="X12" i="7" s="1"/>
  <c r="X16" i="7"/>
  <c r="X17" i="7" s="1"/>
  <c r="X7" i="7"/>
  <c r="X21" i="7"/>
  <c r="X22" i="7" s="1"/>
  <c r="Y8" i="7"/>
  <c r="Z44" i="7"/>
  <c r="Z43" i="7" s="1"/>
  <c r="X30" i="7"/>
  <c r="X37" i="7"/>
  <c r="X36" i="7" s="1"/>
  <c r="X34" i="7"/>
  <c r="X33" i="7" s="1"/>
  <c r="W39" i="7"/>
  <c r="Y9" i="6"/>
  <c r="Y8" i="6" s="1"/>
  <c r="Y10" i="7" s="1"/>
  <c r="Y19" i="6"/>
  <c r="Y18" i="6" s="1"/>
  <c r="Y20" i="7" s="1"/>
  <c r="Y14" i="6"/>
  <c r="Y13" i="6" s="1"/>
  <c r="Y15" i="7" s="1"/>
  <c r="X21" i="6"/>
  <c r="X22" i="6" s="1"/>
  <c r="X50" i="7" s="1"/>
  <c r="Z6" i="6"/>
  <c r="Y7" i="11" l="1"/>
  <c r="Z8" i="11"/>
  <c r="Y5" i="9"/>
  <c r="X34" i="10"/>
  <c r="X46" i="13"/>
  <c r="Y58" i="13"/>
  <c r="Z59" i="13"/>
  <c r="X96" i="7"/>
  <c r="X62" i="13"/>
  <c r="Z6" i="9"/>
  <c r="Y34" i="13"/>
  <c r="Z35" i="13"/>
  <c r="Z28" i="12"/>
  <c r="Y27" i="12"/>
  <c r="Y77" i="7"/>
  <c r="Z72" i="7"/>
  <c r="Y71" i="7"/>
  <c r="Y73" i="7"/>
  <c r="Y26" i="10" s="1"/>
  <c r="Y74" i="7"/>
  <c r="Y76" i="7"/>
  <c r="Y92" i="7"/>
  <c r="Z93" i="7"/>
  <c r="AA6" i="12"/>
  <c r="Z5" i="12"/>
  <c r="Y54" i="11"/>
  <c r="Y89" i="11"/>
  <c r="Y108" i="11"/>
  <c r="Y53" i="11"/>
  <c r="Y10" i="11" s="1"/>
  <c r="Y72" i="11"/>
  <c r="Y71" i="11"/>
  <c r="Z44" i="11"/>
  <c r="Y90" i="11"/>
  <c r="Y43" i="11"/>
  <c r="Y57" i="7"/>
  <c r="Z58" i="7"/>
  <c r="B27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T19" i="10"/>
  <c r="Z28" i="7"/>
  <c r="Y31" i="7"/>
  <c r="Y27" i="10"/>
  <c r="Z6" i="10"/>
  <c r="Y33" i="10"/>
  <c r="Y5" i="10"/>
  <c r="Y107" i="7"/>
  <c r="Z108" i="7"/>
  <c r="X10" i="11"/>
  <c r="Z55" i="12"/>
  <c r="Y54" i="12"/>
  <c r="Z5" i="6"/>
  <c r="X37" i="10"/>
  <c r="X47" i="13" s="1"/>
  <c r="W61" i="13"/>
  <c r="W95" i="7"/>
  <c r="T22" i="10"/>
  <c r="T29" i="10" s="1"/>
  <c r="T40" i="10" s="1"/>
  <c r="U18" i="10"/>
  <c r="U39" i="13" s="1"/>
  <c r="U36" i="13"/>
  <c r="U37" i="13" s="1"/>
  <c r="R47" i="12"/>
  <c r="R71" i="12" s="1"/>
  <c r="S109" i="7"/>
  <c r="S111" i="7" s="1"/>
  <c r="T114" i="7"/>
  <c r="T116" i="7" s="1"/>
  <c r="S48" i="12"/>
  <c r="S72" i="12" s="1"/>
  <c r="U42" i="12"/>
  <c r="U60" i="12"/>
  <c r="V12" i="10"/>
  <c r="W66" i="7"/>
  <c r="V41" i="12"/>
  <c r="V67" i="7"/>
  <c r="V61" i="7"/>
  <c r="V32" i="12"/>
  <c r="V59" i="12" s="1"/>
  <c r="W11" i="10"/>
  <c r="W8" i="12"/>
  <c r="W9" i="12" s="1"/>
  <c r="W14" i="12" s="1"/>
  <c r="W68" i="7"/>
  <c r="W62" i="7"/>
  <c r="W32" i="12" s="1"/>
  <c r="W60" i="7"/>
  <c r="W15" i="10"/>
  <c r="W16" i="10" s="1"/>
  <c r="W25" i="7"/>
  <c r="W10" i="10"/>
  <c r="X52" i="7"/>
  <c r="X13" i="12" s="1"/>
  <c r="W40" i="7"/>
  <c r="AI85" i="7"/>
  <c r="AG80" i="7"/>
  <c r="Y26" i="7"/>
  <c r="Y51" i="7" s="1"/>
  <c r="Y47" i="7"/>
  <c r="Y14" i="10" s="1"/>
  <c r="Z46" i="7"/>
  <c r="Z12" i="12" s="1"/>
  <c r="Z45" i="7"/>
  <c r="Z11" i="12" s="1"/>
  <c r="X24" i="7"/>
  <c r="X7" i="12" s="1"/>
  <c r="Y16" i="7"/>
  <c r="Y17" i="7" s="1"/>
  <c r="Z8" i="7"/>
  <c r="Y11" i="7"/>
  <c r="Y12" i="7" s="1"/>
  <c r="Y21" i="7"/>
  <c r="Y22" i="7" s="1"/>
  <c r="Y7" i="7"/>
  <c r="AA44" i="7"/>
  <c r="AA43" i="7" s="1"/>
  <c r="Y37" i="7"/>
  <c r="Y36" i="7" s="1"/>
  <c r="Y34" i="7"/>
  <c r="Y33" i="7" s="1"/>
  <c r="Y30" i="7"/>
  <c r="X39" i="7"/>
  <c r="Z14" i="6"/>
  <c r="Z13" i="6" s="1"/>
  <c r="Z15" i="7" s="1"/>
  <c r="Z9" i="6"/>
  <c r="Z8" i="6" s="1"/>
  <c r="Z10" i="7" s="1"/>
  <c r="Z19" i="6"/>
  <c r="Z18" i="6" s="1"/>
  <c r="Z20" i="7" s="1"/>
  <c r="Y21" i="6"/>
  <c r="Y22" i="6" s="1"/>
  <c r="Y50" i="7" s="1"/>
  <c r="AA6" i="6"/>
  <c r="X61" i="13" l="1"/>
  <c r="X95" i="7"/>
  <c r="AA28" i="7"/>
  <c r="Z31" i="7"/>
  <c r="Z27" i="12"/>
  <c r="AA28" i="12"/>
  <c r="Z58" i="13"/>
  <c r="AA59" i="13"/>
  <c r="AA108" i="7"/>
  <c r="Z107" i="7"/>
  <c r="B28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61" i="13"/>
  <c r="Y95" i="7"/>
  <c r="AA35" i="13"/>
  <c r="Z34" i="13"/>
  <c r="Z57" i="7"/>
  <c r="AA58" i="7"/>
  <c r="Y27" i="9"/>
  <c r="Z28" i="9"/>
  <c r="AA6" i="9"/>
  <c r="Y11" i="11"/>
  <c r="AA5" i="6"/>
  <c r="Z5" i="10"/>
  <c r="Z33" i="10"/>
  <c r="Z27" i="10"/>
  <c r="AA6" i="10"/>
  <c r="Z77" i="7"/>
  <c r="Z76" i="7"/>
  <c r="AA72" i="7"/>
  <c r="Z74" i="7"/>
  <c r="Z71" i="7"/>
  <c r="Z73" i="7"/>
  <c r="Z26" i="10" s="1"/>
  <c r="Z5" i="9"/>
  <c r="Y34" i="10"/>
  <c r="Y37" i="10" s="1"/>
  <c r="Y47" i="13" s="1"/>
  <c r="Y46" i="13"/>
  <c r="Z72" i="11"/>
  <c r="Z53" i="11"/>
  <c r="Z108" i="11"/>
  <c r="Z90" i="11"/>
  <c r="Z71" i="11"/>
  <c r="AA44" i="11"/>
  <c r="Z54" i="11"/>
  <c r="Z89" i="11"/>
  <c r="Z43" i="11"/>
  <c r="AB6" i="12"/>
  <c r="AA5" i="12"/>
  <c r="AA8" i="11"/>
  <c r="Z7" i="11"/>
  <c r="AA55" i="12"/>
  <c r="Z54" i="12"/>
  <c r="Z92" i="7"/>
  <c r="AA93" i="7"/>
  <c r="V21" i="10"/>
  <c r="V42" i="13" s="1"/>
  <c r="W59" i="12"/>
  <c r="U19" i="10"/>
  <c r="V18" i="10"/>
  <c r="V39" i="13" s="1"/>
  <c r="V36" i="13"/>
  <c r="V37" i="13" s="1"/>
  <c r="U40" i="13"/>
  <c r="U22" i="10"/>
  <c r="U29" i="10" s="1"/>
  <c r="U40" i="10" s="1"/>
  <c r="U114" i="7"/>
  <c r="U116" i="7" s="1"/>
  <c r="T48" i="12"/>
  <c r="T72" i="12" s="1"/>
  <c r="S47" i="12"/>
  <c r="S71" i="12" s="1"/>
  <c r="T109" i="7"/>
  <c r="T111" i="7" s="1"/>
  <c r="V42" i="12"/>
  <c r="V60" i="12"/>
  <c r="X66" i="7"/>
  <c r="W41" i="12"/>
  <c r="W12" i="10"/>
  <c r="W67" i="7"/>
  <c r="X11" i="10"/>
  <c r="X8" i="12"/>
  <c r="X9" i="12" s="1"/>
  <c r="X14" i="12" s="1"/>
  <c r="X68" i="7"/>
  <c r="X41" i="12" s="1"/>
  <c r="W61" i="7"/>
  <c r="X62" i="7"/>
  <c r="X32" i="12" s="1"/>
  <c r="X59" i="12" s="1"/>
  <c r="X60" i="7"/>
  <c r="X15" i="10"/>
  <c r="X16" i="10" s="1"/>
  <c r="X25" i="7"/>
  <c r="X10" i="10"/>
  <c r="Y52" i="7"/>
  <c r="Y13" i="12" s="1"/>
  <c r="X40" i="7"/>
  <c r="AJ85" i="7"/>
  <c r="AH80" i="7"/>
  <c r="Z26" i="7"/>
  <c r="Z51" i="7" s="1"/>
  <c r="Z47" i="7"/>
  <c r="Z14" i="10" s="1"/>
  <c r="AA45" i="7"/>
  <c r="AA11" i="12" s="1"/>
  <c r="AA46" i="7"/>
  <c r="AA12" i="12" s="1"/>
  <c r="Y24" i="7"/>
  <c r="Y7" i="12" s="1"/>
  <c r="Z16" i="7"/>
  <c r="Z17" i="7" s="1"/>
  <c r="AA8" i="7"/>
  <c r="Z11" i="7"/>
  <c r="Z12" i="7" s="1"/>
  <c r="Z21" i="7"/>
  <c r="Z22" i="7" s="1"/>
  <c r="Z7" i="7"/>
  <c r="AB44" i="7"/>
  <c r="AB43" i="7" s="1"/>
  <c r="Y39" i="7"/>
  <c r="Z30" i="7"/>
  <c r="Z37" i="7"/>
  <c r="Z36" i="7" s="1"/>
  <c r="Z34" i="7"/>
  <c r="Z33" i="7" s="1"/>
  <c r="AA19" i="6"/>
  <c r="AA18" i="6" s="1"/>
  <c r="AA20" i="7" s="1"/>
  <c r="AA9" i="6"/>
  <c r="AA8" i="6" s="1"/>
  <c r="AA10" i="7" s="1"/>
  <c r="AA14" i="6"/>
  <c r="AA13" i="6" s="1"/>
  <c r="AA15" i="7" s="1"/>
  <c r="Z21" i="6"/>
  <c r="Z22" i="6" s="1"/>
  <c r="Z50" i="7" s="1"/>
  <c r="AB6" i="6"/>
  <c r="AB5" i="6" l="1"/>
  <c r="AB5" i="12"/>
  <c r="AC6" i="12"/>
  <c r="Z10" i="11"/>
  <c r="AA76" i="7"/>
  <c r="AB72" i="7"/>
  <c r="AA71" i="7"/>
  <c r="AA73" i="7"/>
  <c r="AA26" i="10" s="1"/>
  <c r="AA77" i="7"/>
  <c r="AA74" i="7"/>
  <c r="Y62" i="13"/>
  <c r="Y96" i="7"/>
  <c r="AB35" i="13"/>
  <c r="AA34" i="13"/>
  <c r="AA92" i="7"/>
  <c r="AB93" i="7"/>
  <c r="AA27" i="12"/>
  <c r="AB28" i="12"/>
  <c r="AA29" i="9"/>
  <c r="AB6" i="9"/>
  <c r="Z11" i="11"/>
  <c r="AB6" i="10"/>
  <c r="AA27" i="10"/>
  <c r="AA5" i="10"/>
  <c r="AA33" i="10"/>
  <c r="B29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AB55" i="12"/>
  <c r="AA54" i="12"/>
  <c r="AA71" i="11"/>
  <c r="AA90" i="11"/>
  <c r="AA89" i="11"/>
  <c r="AA72" i="11"/>
  <c r="AA108" i="11"/>
  <c r="AA54" i="11"/>
  <c r="AB44" i="11"/>
  <c r="AA53" i="11"/>
  <c r="AA10" i="11" s="1"/>
  <c r="AA43" i="11"/>
  <c r="AA5" i="9"/>
  <c r="AB5" i="9" s="1"/>
  <c r="Z46" i="13"/>
  <c r="Z34" i="10"/>
  <c r="Z37" i="10" s="1"/>
  <c r="Z47" i="13" s="1"/>
  <c r="AB28" i="7"/>
  <c r="AA31" i="7"/>
  <c r="AA57" i="7"/>
  <c r="AB58" i="7"/>
  <c r="AA107" i="7"/>
  <c r="AB108" i="7"/>
  <c r="AA7" i="11"/>
  <c r="AB8" i="11"/>
  <c r="AA58" i="13"/>
  <c r="AB59" i="13"/>
  <c r="V22" i="10"/>
  <c r="V29" i="10" s="1"/>
  <c r="V40" i="10" s="1"/>
  <c r="V19" i="10"/>
  <c r="W18" i="10"/>
  <c r="W39" i="13" s="1"/>
  <c r="W36" i="13"/>
  <c r="W37" i="13" s="1"/>
  <c r="V40" i="13"/>
  <c r="T47" i="12"/>
  <c r="T71" i="12" s="1"/>
  <c r="U109" i="7"/>
  <c r="U111" i="7" s="1"/>
  <c r="V114" i="7"/>
  <c r="V116" i="7" s="1"/>
  <c r="U48" i="12"/>
  <c r="U72" i="12" s="1"/>
  <c r="W42" i="12"/>
  <c r="W60" i="12"/>
  <c r="X42" i="12"/>
  <c r="X60" i="12"/>
  <c r="W21" i="10"/>
  <c r="Y66" i="7"/>
  <c r="X67" i="7"/>
  <c r="X12" i="10"/>
  <c r="Y11" i="10"/>
  <c r="Y8" i="12"/>
  <c r="Y9" i="12" s="1"/>
  <c r="Y14" i="12" s="1"/>
  <c r="Y68" i="7"/>
  <c r="Z66" i="7" s="1"/>
  <c r="X61" i="7"/>
  <c r="X21" i="10" s="1"/>
  <c r="X42" i="13" s="1"/>
  <c r="Y60" i="7"/>
  <c r="W19" i="10"/>
  <c r="Y62" i="7"/>
  <c r="Y32" i="12" s="1"/>
  <c r="Y59" i="12" s="1"/>
  <c r="Y15" i="10"/>
  <c r="Y16" i="10" s="1"/>
  <c r="Y25" i="7"/>
  <c r="Y10" i="10"/>
  <c r="Z52" i="7"/>
  <c r="Z13" i="12" s="1"/>
  <c r="Y40" i="7"/>
  <c r="AK85" i="7"/>
  <c r="AI80" i="7"/>
  <c r="AA26" i="7"/>
  <c r="AA51" i="7" s="1"/>
  <c r="AA47" i="7"/>
  <c r="AA14" i="10" s="1"/>
  <c r="AB46" i="7"/>
  <c r="AB12" i="12" s="1"/>
  <c r="AB45" i="7"/>
  <c r="AB11" i="12" s="1"/>
  <c r="Z24" i="7"/>
  <c r="Z7" i="12" s="1"/>
  <c r="AA16" i="7"/>
  <c r="AA17" i="7" s="1"/>
  <c r="AB8" i="7"/>
  <c r="AA21" i="7"/>
  <c r="AA22" i="7" s="1"/>
  <c r="AA7" i="7"/>
  <c r="AA11" i="7"/>
  <c r="AA12" i="7" s="1"/>
  <c r="AC44" i="7"/>
  <c r="AC43" i="7" s="1"/>
  <c r="AA34" i="7"/>
  <c r="AA33" i="7" s="1"/>
  <c r="AA30" i="7"/>
  <c r="AA37" i="7"/>
  <c r="AA36" i="7" s="1"/>
  <c r="Z39" i="7"/>
  <c r="AB14" i="6"/>
  <c r="AB13" i="6" s="1"/>
  <c r="AB15" i="7" s="1"/>
  <c r="AB9" i="6"/>
  <c r="AB8" i="6" s="1"/>
  <c r="AB10" i="7" s="1"/>
  <c r="AB19" i="6"/>
  <c r="AB18" i="6" s="1"/>
  <c r="AB20" i="7" s="1"/>
  <c r="AA21" i="6"/>
  <c r="AA22" i="6" s="1"/>
  <c r="AA50" i="7" s="1"/>
  <c r="AC6" i="6"/>
  <c r="AB92" i="7" l="1"/>
  <c r="AC93" i="7"/>
  <c r="AC108" i="7"/>
  <c r="AB107" i="7"/>
  <c r="AA34" i="10"/>
  <c r="AA37" i="10" s="1"/>
  <c r="AA47" i="13" s="1"/>
  <c r="AA46" i="13"/>
  <c r="AB77" i="7"/>
  <c r="AB74" i="7"/>
  <c r="AB76" i="7"/>
  <c r="AC72" i="7"/>
  <c r="AB71" i="7"/>
  <c r="AB73" i="7"/>
  <c r="AB26" i="10" s="1"/>
  <c r="AB57" i="7"/>
  <c r="AC58" i="7"/>
  <c r="AB5" i="10"/>
  <c r="AC6" i="10"/>
  <c r="AB27" i="10"/>
  <c r="AB33" i="10"/>
  <c r="AB34" i="13"/>
  <c r="AC35" i="13"/>
  <c r="AB58" i="13"/>
  <c r="AC59" i="13"/>
  <c r="AA61" i="13"/>
  <c r="AA95" i="7"/>
  <c r="Z62" i="13"/>
  <c r="Z96" i="7"/>
  <c r="Z61" i="13"/>
  <c r="Z95" i="7"/>
  <c r="AB43" i="11"/>
  <c r="AB53" i="11"/>
  <c r="AB72" i="11"/>
  <c r="AB90" i="11"/>
  <c r="AB71" i="11"/>
  <c r="AC44" i="11"/>
  <c r="AB54" i="11"/>
  <c r="AB89" i="11"/>
  <c r="AB108" i="11"/>
  <c r="AC55" i="12"/>
  <c r="AB54" i="12"/>
  <c r="AB30" i="9"/>
  <c r="AC6" i="9"/>
  <c r="AC5" i="9" s="1"/>
  <c r="AD6" i="12"/>
  <c r="AC5" i="12"/>
  <c r="AA11" i="11"/>
  <c r="AB27" i="12"/>
  <c r="AC28" i="12"/>
  <c r="AB7" i="11"/>
  <c r="AC8" i="11"/>
  <c r="AC28" i="7"/>
  <c r="AB31" i="7"/>
  <c r="B30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C5" i="6"/>
  <c r="X18" i="10"/>
  <c r="X39" i="13" s="1"/>
  <c r="X36" i="13"/>
  <c r="X37" i="13" s="1"/>
  <c r="W22" i="10"/>
  <c r="W29" i="10" s="1"/>
  <c r="W40" i="10" s="1"/>
  <c r="W42" i="13"/>
  <c r="W40" i="13"/>
  <c r="W114" i="7"/>
  <c r="W116" i="7" s="1"/>
  <c r="V48" i="12"/>
  <c r="V72" i="12" s="1"/>
  <c r="U47" i="12"/>
  <c r="U71" i="12" s="1"/>
  <c r="V109" i="7"/>
  <c r="V111" i="7" s="1"/>
  <c r="Y12" i="10"/>
  <c r="Y36" i="13" s="1"/>
  <c r="Y67" i="7"/>
  <c r="Y21" i="10" s="1"/>
  <c r="Y42" i="13" s="1"/>
  <c r="Y41" i="12"/>
  <c r="Z11" i="10"/>
  <c r="Z8" i="12"/>
  <c r="Z9" i="12" s="1"/>
  <c r="Z14" i="12" s="1"/>
  <c r="Z68" i="7"/>
  <c r="Y61" i="7"/>
  <c r="Z62" i="7"/>
  <c r="Z60" i="7"/>
  <c r="Z15" i="10"/>
  <c r="Z16" i="10" s="1"/>
  <c r="Y18" i="10"/>
  <c r="Z25" i="7"/>
  <c r="Z10" i="10"/>
  <c r="AA52" i="7"/>
  <c r="AA13" i="12" s="1"/>
  <c r="Z40" i="7"/>
  <c r="AL85" i="7"/>
  <c r="AJ80" i="7"/>
  <c r="AB26" i="7"/>
  <c r="AB51" i="7" s="1"/>
  <c r="AB47" i="7"/>
  <c r="AB14" i="10" s="1"/>
  <c r="AA24" i="7"/>
  <c r="AA7" i="12" s="1"/>
  <c r="AC45" i="7"/>
  <c r="AC11" i="12" s="1"/>
  <c r="AC46" i="7"/>
  <c r="AC12" i="12" s="1"/>
  <c r="AB11" i="7"/>
  <c r="AB12" i="7" s="1"/>
  <c r="AB16" i="7"/>
  <c r="AB17" i="7" s="1"/>
  <c r="AB7" i="7"/>
  <c r="AB21" i="7"/>
  <c r="AB22" i="7" s="1"/>
  <c r="AC8" i="7"/>
  <c r="AD44" i="7"/>
  <c r="AD43" i="7" s="1"/>
  <c r="AA39" i="7"/>
  <c r="AB30" i="7"/>
  <c r="AB34" i="7"/>
  <c r="AB33" i="7" s="1"/>
  <c r="AB37" i="7"/>
  <c r="AB36" i="7" s="1"/>
  <c r="AC9" i="6"/>
  <c r="AC8" i="6" s="1"/>
  <c r="AC10" i="7" s="1"/>
  <c r="AC19" i="6"/>
  <c r="AC18" i="6" s="1"/>
  <c r="AC20" i="7" s="1"/>
  <c r="AC14" i="6"/>
  <c r="AC13" i="6" s="1"/>
  <c r="AC15" i="7" s="1"/>
  <c r="AB21" i="6"/>
  <c r="AB22" i="6" s="1"/>
  <c r="AB50" i="7" s="1"/>
  <c r="AD6" i="6"/>
  <c r="AC57" i="7" l="1"/>
  <c r="AD58" i="7"/>
  <c r="AD5" i="6"/>
  <c r="AC27" i="12"/>
  <c r="AD28" i="12"/>
  <c r="AB11" i="11"/>
  <c r="AD35" i="13"/>
  <c r="AC34" i="13"/>
  <c r="AA62" i="13"/>
  <c r="AA96" i="7"/>
  <c r="AC54" i="11"/>
  <c r="AC11" i="11" s="1"/>
  <c r="AC43" i="11"/>
  <c r="AC55" i="11" s="1"/>
  <c r="AC90" i="11"/>
  <c r="AC108" i="11"/>
  <c r="AC72" i="11"/>
  <c r="AC89" i="11"/>
  <c r="AC53" i="11"/>
  <c r="AC71" i="11"/>
  <c r="AD44" i="11"/>
  <c r="B31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C76" i="7"/>
  <c r="AD72" i="7"/>
  <c r="AC71" i="7"/>
  <c r="AC73" i="7"/>
  <c r="AC26" i="10" s="1"/>
  <c r="AC77" i="7"/>
  <c r="AC74" i="7"/>
  <c r="AC107" i="7"/>
  <c r="AD108" i="7"/>
  <c r="AD5" i="12"/>
  <c r="AE6" i="12"/>
  <c r="AB34" i="10"/>
  <c r="AB37" i="10" s="1"/>
  <c r="AB47" i="13" s="1"/>
  <c r="AB46" i="13"/>
  <c r="AC92" i="7"/>
  <c r="AD93" i="7"/>
  <c r="AD28" i="7"/>
  <c r="AC31" i="7"/>
  <c r="AC31" i="9"/>
  <c r="AD6" i="9"/>
  <c r="AC5" i="10"/>
  <c r="AC33" i="10"/>
  <c r="AC27" i="10"/>
  <c r="AD6" i="10"/>
  <c r="AD8" i="11"/>
  <c r="AC7" i="11"/>
  <c r="AC54" i="12"/>
  <c r="AD55" i="12"/>
  <c r="AB10" i="11"/>
  <c r="AD59" i="13"/>
  <c r="AC58" i="13"/>
  <c r="X19" i="10"/>
  <c r="X22" i="10"/>
  <c r="X29" i="10" s="1"/>
  <c r="X40" i="10" s="1"/>
  <c r="Y37" i="13"/>
  <c r="Y22" i="10"/>
  <c r="Y29" i="10" s="1"/>
  <c r="Y40" i="10" s="1"/>
  <c r="Y39" i="13"/>
  <c r="X40" i="13"/>
  <c r="V47" i="12"/>
  <c r="V71" i="12" s="1"/>
  <c r="W109" i="7"/>
  <c r="W111" i="7" s="1"/>
  <c r="X114" i="7"/>
  <c r="X116" i="7" s="1"/>
  <c r="W48" i="12"/>
  <c r="W72" i="12" s="1"/>
  <c r="Y42" i="12"/>
  <c r="Y60" i="12"/>
  <c r="AA66" i="7"/>
  <c r="Z41" i="12"/>
  <c r="Z12" i="10"/>
  <c r="Z36" i="13" s="1"/>
  <c r="Z37" i="13" s="1"/>
  <c r="AA60" i="7"/>
  <c r="Z32" i="12"/>
  <c r="Z59" i="12" s="1"/>
  <c r="AA11" i="10"/>
  <c r="AA8" i="12"/>
  <c r="AA9" i="12" s="1"/>
  <c r="AA14" i="12" s="1"/>
  <c r="Z67" i="7"/>
  <c r="AA68" i="7"/>
  <c r="Z61" i="7"/>
  <c r="Y19" i="10"/>
  <c r="AA62" i="7"/>
  <c r="AA15" i="10"/>
  <c r="AA16" i="10" s="1"/>
  <c r="AA25" i="7"/>
  <c r="AA10" i="10"/>
  <c r="AB52" i="7"/>
  <c r="AB13" i="12" s="1"/>
  <c r="AA40" i="7"/>
  <c r="AM85" i="7"/>
  <c r="AK80" i="7"/>
  <c r="AC26" i="7"/>
  <c r="AC51" i="7" s="1"/>
  <c r="AC47" i="7"/>
  <c r="AC14" i="10" s="1"/>
  <c r="AD46" i="7"/>
  <c r="AD12" i="12" s="1"/>
  <c r="AD45" i="7"/>
  <c r="AD11" i="12" s="1"/>
  <c r="AB24" i="7"/>
  <c r="AB7" i="12" s="1"/>
  <c r="AC16" i="7"/>
  <c r="AC17" i="7" s="1"/>
  <c r="AD8" i="7"/>
  <c r="AC11" i="7"/>
  <c r="AC12" i="7" s="1"/>
  <c r="AC21" i="7"/>
  <c r="AC22" i="7" s="1"/>
  <c r="AC7" i="7"/>
  <c r="AE44" i="7"/>
  <c r="AE43" i="7" s="1"/>
  <c r="AC30" i="7"/>
  <c r="AC34" i="7"/>
  <c r="AC33" i="7" s="1"/>
  <c r="AC37" i="7"/>
  <c r="AC36" i="7" s="1"/>
  <c r="AB39" i="7"/>
  <c r="AD14" i="6"/>
  <c r="AD13" i="6" s="1"/>
  <c r="AD15" i="7" s="1"/>
  <c r="AD19" i="6"/>
  <c r="AD18" i="6" s="1"/>
  <c r="AD20" i="7" s="1"/>
  <c r="AD9" i="6"/>
  <c r="AD8" i="6" s="1"/>
  <c r="AD10" i="7" s="1"/>
  <c r="AC21" i="6"/>
  <c r="AC22" i="6" s="1"/>
  <c r="AC50" i="7" s="1"/>
  <c r="AE6" i="6"/>
  <c r="AE55" i="12" l="1"/>
  <c r="AD54" i="12"/>
  <c r="AD10" i="9"/>
  <c r="AE6" i="9"/>
  <c r="AE28" i="7"/>
  <c r="AD31" i="7"/>
  <c r="AE35" i="13"/>
  <c r="AD34" i="13"/>
  <c r="AD92" i="7"/>
  <c r="AE93" i="7"/>
  <c r="AB62" i="13"/>
  <c r="AB96" i="7"/>
  <c r="AE28" i="12"/>
  <c r="AD27" i="12"/>
  <c r="AD7" i="11"/>
  <c r="AE8" i="11"/>
  <c r="B32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D27" i="10"/>
  <c r="AD33" i="10"/>
  <c r="AD5" i="10"/>
  <c r="AE6" i="10"/>
  <c r="AD72" i="11"/>
  <c r="AE44" i="11"/>
  <c r="AD43" i="11"/>
  <c r="AD73" i="11" s="1"/>
  <c r="AD71" i="11"/>
  <c r="AD108" i="11"/>
  <c r="AD89" i="11"/>
  <c r="AD90" i="11"/>
  <c r="AD53" i="11"/>
  <c r="AD54" i="11"/>
  <c r="AD11" i="11" s="1"/>
  <c r="AD55" i="11"/>
  <c r="AC62" i="13"/>
  <c r="AC96" i="7"/>
  <c r="AE5" i="6"/>
  <c r="AE59" i="13"/>
  <c r="AD58" i="13"/>
  <c r="AC46" i="13"/>
  <c r="AC34" i="10"/>
  <c r="AC37" i="10" s="1"/>
  <c r="AC47" i="13" s="1"/>
  <c r="AF6" i="12"/>
  <c r="AE5" i="12"/>
  <c r="AD71" i="7"/>
  <c r="AD73" i="7"/>
  <c r="AD26" i="10" s="1"/>
  <c r="AD77" i="7"/>
  <c r="AD76" i="7"/>
  <c r="AD74" i="7"/>
  <c r="AE72" i="7"/>
  <c r="AD57" i="7"/>
  <c r="AE58" i="7"/>
  <c r="AC10" i="11"/>
  <c r="AB61" i="13"/>
  <c r="AB95" i="7"/>
  <c r="AE108" i="7"/>
  <c r="AD107" i="7"/>
  <c r="AD5" i="9"/>
  <c r="AE5" i="9" s="1"/>
  <c r="Z18" i="10"/>
  <c r="Z39" i="13" s="1"/>
  <c r="Z40" i="13"/>
  <c r="Y40" i="13"/>
  <c r="Y114" i="7"/>
  <c r="Y116" i="7" s="1"/>
  <c r="X48" i="12"/>
  <c r="X72" i="12" s="1"/>
  <c r="W47" i="12"/>
  <c r="W71" i="12" s="1"/>
  <c r="X109" i="7"/>
  <c r="X111" i="7" s="1"/>
  <c r="Z42" i="12"/>
  <c r="Z60" i="12"/>
  <c r="AA12" i="10"/>
  <c r="AA36" i="13" s="1"/>
  <c r="AA37" i="13" s="1"/>
  <c r="Z21" i="10"/>
  <c r="AB66" i="7"/>
  <c r="AA41" i="12"/>
  <c r="AA67" i="7"/>
  <c r="AB60" i="7"/>
  <c r="AA32" i="12"/>
  <c r="AA59" i="12" s="1"/>
  <c r="AB11" i="10"/>
  <c r="AB8" i="12"/>
  <c r="AB9" i="12" s="1"/>
  <c r="AB14" i="12" s="1"/>
  <c r="AB68" i="7"/>
  <c r="Z19" i="10"/>
  <c r="AA61" i="7"/>
  <c r="AB62" i="7"/>
  <c r="AB15" i="10"/>
  <c r="AB16" i="10" s="1"/>
  <c r="AA18" i="10"/>
  <c r="AA39" i="13" s="1"/>
  <c r="AB25" i="7"/>
  <c r="AB10" i="10"/>
  <c r="AC52" i="7"/>
  <c r="AC13" i="12" s="1"/>
  <c r="AB40" i="7"/>
  <c r="AN85" i="7"/>
  <c r="AL80" i="7"/>
  <c r="AD26" i="7"/>
  <c r="AD51" i="7" s="1"/>
  <c r="AD47" i="7"/>
  <c r="AD14" i="10" s="1"/>
  <c r="AC24" i="7"/>
  <c r="AC7" i="12" s="1"/>
  <c r="AE45" i="7"/>
  <c r="AE11" i="12" s="1"/>
  <c r="AE46" i="7"/>
  <c r="AE12" i="12" s="1"/>
  <c r="AD11" i="7"/>
  <c r="AD12" i="7" s="1"/>
  <c r="AD21" i="7"/>
  <c r="AD22" i="7" s="1"/>
  <c r="AD7" i="7"/>
  <c r="AD16" i="7"/>
  <c r="AD17" i="7" s="1"/>
  <c r="AE8" i="7"/>
  <c r="AF44" i="7"/>
  <c r="AF43" i="7" s="1"/>
  <c r="AD30" i="7"/>
  <c r="AD34" i="7"/>
  <c r="AD33" i="7" s="1"/>
  <c r="AD37" i="7"/>
  <c r="AD36" i="7" s="1"/>
  <c r="AC39" i="7"/>
  <c r="AE19" i="6"/>
  <c r="AE18" i="6" s="1"/>
  <c r="AE20" i="7" s="1"/>
  <c r="AE9" i="6"/>
  <c r="AE8" i="6" s="1"/>
  <c r="AE10" i="7" s="1"/>
  <c r="AE14" i="6"/>
  <c r="AE13" i="6" s="1"/>
  <c r="AE15" i="7" s="1"/>
  <c r="AD21" i="6"/>
  <c r="AD22" i="6" s="1"/>
  <c r="AD50" i="7" s="1"/>
  <c r="AF6" i="6"/>
  <c r="AF72" i="7" l="1"/>
  <c r="AE71" i="7"/>
  <c r="AE73" i="7"/>
  <c r="AE26" i="10" s="1"/>
  <c r="AE77" i="7"/>
  <c r="AE76" i="7"/>
  <c r="AE74" i="7"/>
  <c r="AE53" i="11"/>
  <c r="AE10" i="11" s="1"/>
  <c r="AE90" i="11"/>
  <c r="AE71" i="11"/>
  <c r="AE108" i="11"/>
  <c r="AE89" i="11"/>
  <c r="AE54" i="11"/>
  <c r="AE11" i="11" s="1"/>
  <c r="AF44" i="11"/>
  <c r="AE72" i="11"/>
  <c r="AE43" i="11"/>
  <c r="AE55" i="11" s="1"/>
  <c r="AE73" i="11"/>
  <c r="AF108" i="7"/>
  <c r="AE107" i="7"/>
  <c r="AD96" i="7"/>
  <c r="AD62" i="13"/>
  <c r="AE92" i="7"/>
  <c r="AF93" i="7"/>
  <c r="AD10" i="11"/>
  <c r="AE27" i="10"/>
  <c r="AF6" i="10"/>
  <c r="AE5" i="10"/>
  <c r="AE33" i="10"/>
  <c r="B33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F59" i="13"/>
  <c r="AE58" i="13"/>
  <c r="AF8" i="11"/>
  <c r="AE7" i="11"/>
  <c r="AC61" i="13"/>
  <c r="AC95" i="7"/>
  <c r="AE34" i="13"/>
  <c r="AF35" i="13"/>
  <c r="AF5" i="6"/>
  <c r="AD34" i="10"/>
  <c r="AD37" i="10" s="1"/>
  <c r="AD47" i="13" s="1"/>
  <c r="AD46" i="13"/>
  <c r="AE57" i="7"/>
  <c r="AF58" i="7"/>
  <c r="AF28" i="12"/>
  <c r="AE27" i="12"/>
  <c r="AF28" i="7"/>
  <c r="AE31" i="7"/>
  <c r="AA21" i="10"/>
  <c r="AA42" i="13" s="1"/>
  <c r="AF5" i="9"/>
  <c r="AG6" i="12"/>
  <c r="AF5" i="12"/>
  <c r="AE11" i="9"/>
  <c r="AE33" i="9"/>
  <c r="AE10" i="9"/>
  <c r="AF6" i="9"/>
  <c r="AE54" i="12"/>
  <c r="AF55" i="12"/>
  <c r="AA40" i="13"/>
  <c r="Z22" i="10"/>
  <c r="Z29" i="10" s="1"/>
  <c r="Z40" i="10" s="1"/>
  <c r="Z42" i="13"/>
  <c r="X47" i="12"/>
  <c r="X71" i="12" s="1"/>
  <c r="Y109" i="7"/>
  <c r="Y111" i="7" s="1"/>
  <c r="Z114" i="7"/>
  <c r="Z116" i="7" s="1"/>
  <c r="Y48" i="12"/>
  <c r="Y72" i="12" s="1"/>
  <c r="AA42" i="12"/>
  <c r="AA60" i="12"/>
  <c r="AA22" i="10"/>
  <c r="AA29" i="10" s="1"/>
  <c r="AA40" i="10" s="1"/>
  <c r="AC66" i="7"/>
  <c r="AB41" i="12"/>
  <c r="AB12" i="10"/>
  <c r="AB67" i="7"/>
  <c r="AC11" i="10"/>
  <c r="AC8" i="12"/>
  <c r="AC9" i="12" s="1"/>
  <c r="AC14" i="12" s="1"/>
  <c r="AC60" i="7"/>
  <c r="AB32" i="12"/>
  <c r="AB59" i="12" s="1"/>
  <c r="AC68" i="7"/>
  <c r="AA19" i="10"/>
  <c r="AC62" i="7"/>
  <c r="AB61" i="7"/>
  <c r="AB21" i="10" s="1"/>
  <c r="AB42" i="13" s="1"/>
  <c r="AC15" i="10"/>
  <c r="AC16" i="10" s="1"/>
  <c r="AD52" i="7"/>
  <c r="AD13" i="12" s="1"/>
  <c r="AC25" i="7"/>
  <c r="AC10" i="10"/>
  <c r="AC12" i="10" s="1"/>
  <c r="AC36" i="13" s="1"/>
  <c r="AC40" i="7"/>
  <c r="AO85" i="7"/>
  <c r="AM80" i="7"/>
  <c r="AE26" i="7"/>
  <c r="AE51" i="7" s="1"/>
  <c r="AE47" i="7"/>
  <c r="AE14" i="10" s="1"/>
  <c r="AF46" i="7"/>
  <c r="AF12" i="12" s="1"/>
  <c r="AF45" i="7"/>
  <c r="AF11" i="12" s="1"/>
  <c r="AD24" i="7"/>
  <c r="AD7" i="12" s="1"/>
  <c r="AE11" i="7"/>
  <c r="AE12" i="7" s="1"/>
  <c r="AE21" i="7"/>
  <c r="AE22" i="7" s="1"/>
  <c r="AE7" i="7"/>
  <c r="AE16" i="7"/>
  <c r="AE17" i="7" s="1"/>
  <c r="AF8" i="7"/>
  <c r="AG44" i="7"/>
  <c r="AG43" i="7" s="1"/>
  <c r="AE30" i="7"/>
  <c r="AE37" i="7"/>
  <c r="AE36" i="7" s="1"/>
  <c r="AE34" i="7"/>
  <c r="AE33" i="7" s="1"/>
  <c r="AD39" i="7"/>
  <c r="AF14" i="6"/>
  <c r="AF13" i="6" s="1"/>
  <c r="AF15" i="7" s="1"/>
  <c r="AF19" i="6"/>
  <c r="AF18" i="6" s="1"/>
  <c r="AF20" i="7" s="1"/>
  <c r="AF9" i="6"/>
  <c r="AF8" i="6" s="1"/>
  <c r="AF10" i="7" s="1"/>
  <c r="AE21" i="6"/>
  <c r="AE22" i="6" s="1"/>
  <c r="AE50" i="7" s="1"/>
  <c r="AG6" i="6"/>
  <c r="AD61" i="13" l="1"/>
  <c r="AD95" i="7"/>
  <c r="AF7" i="11"/>
  <c r="AG8" i="11"/>
  <c r="AF92" i="7"/>
  <c r="AG93" i="7"/>
  <c r="AE61" i="13"/>
  <c r="AE95" i="7"/>
  <c r="AG5" i="6"/>
  <c r="AG28" i="7"/>
  <c r="AF31" i="7"/>
  <c r="AG35" i="13"/>
  <c r="AF34" i="13"/>
  <c r="AG59" i="13"/>
  <c r="AF58" i="13"/>
  <c r="B34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F72" i="11"/>
  <c r="AF71" i="11"/>
  <c r="AF54" i="11"/>
  <c r="AF89" i="11"/>
  <c r="AF90" i="11"/>
  <c r="AG44" i="11"/>
  <c r="AF108" i="11"/>
  <c r="AF43" i="11"/>
  <c r="AF53" i="11"/>
  <c r="AE62" i="13"/>
  <c r="AE96" i="7"/>
  <c r="AG55" i="12"/>
  <c r="AF54" i="12"/>
  <c r="AG28" i="12"/>
  <c r="AF27" i="12"/>
  <c r="AF57" i="7"/>
  <c r="AG58" i="7"/>
  <c r="AG6" i="10"/>
  <c r="AF27" i="10"/>
  <c r="AF33" i="10"/>
  <c r="AF5" i="10"/>
  <c r="AG108" i="7"/>
  <c r="AF107" i="7"/>
  <c r="AF34" i="9"/>
  <c r="AF11" i="9"/>
  <c r="AF12" i="9"/>
  <c r="AF10" i="9"/>
  <c r="AG6" i="9"/>
  <c r="AH6" i="12"/>
  <c r="AG5" i="12"/>
  <c r="AE34" i="10"/>
  <c r="AE37" i="10" s="1"/>
  <c r="AE47" i="13" s="1"/>
  <c r="AE46" i="13"/>
  <c r="AE91" i="11"/>
  <c r="AF71" i="7"/>
  <c r="AF73" i="7"/>
  <c r="AF26" i="10" s="1"/>
  <c r="AF77" i="7"/>
  <c r="AF76" i="7"/>
  <c r="AF74" i="7"/>
  <c r="AG72" i="7"/>
  <c r="AB18" i="10"/>
  <c r="AB39" i="13" s="1"/>
  <c r="AB36" i="13"/>
  <c r="AB37" i="13" s="1"/>
  <c r="AA114" i="7"/>
  <c r="AA116" i="7" s="1"/>
  <c r="Z48" i="12"/>
  <c r="Z72" i="12" s="1"/>
  <c r="Y47" i="12"/>
  <c r="Y71" i="12" s="1"/>
  <c r="Z109" i="7"/>
  <c r="Z111" i="7" s="1"/>
  <c r="AB42" i="12"/>
  <c r="AB60" i="12"/>
  <c r="AB22" i="10"/>
  <c r="AB29" i="10" s="1"/>
  <c r="AB40" i="10" s="1"/>
  <c r="AC67" i="7"/>
  <c r="AC41" i="12"/>
  <c r="AD66" i="7"/>
  <c r="AD11" i="10"/>
  <c r="AD8" i="12"/>
  <c r="AD9" i="12" s="1"/>
  <c r="AD14" i="12" s="1"/>
  <c r="AD60" i="7"/>
  <c r="AC32" i="12"/>
  <c r="AC59" i="12" s="1"/>
  <c r="AD68" i="7"/>
  <c r="AC61" i="7"/>
  <c r="AD62" i="7"/>
  <c r="AD15" i="10"/>
  <c r="AD16" i="10" s="1"/>
  <c r="AC18" i="10"/>
  <c r="AC39" i="13" s="1"/>
  <c r="AC40" i="13" s="1"/>
  <c r="AD25" i="7"/>
  <c r="AD10" i="10"/>
  <c r="AE52" i="7"/>
  <c r="AE13" i="12" s="1"/>
  <c r="AD40" i="7"/>
  <c r="AP85" i="7"/>
  <c r="AN80" i="7"/>
  <c r="AF26" i="7"/>
  <c r="AF51" i="7" s="1"/>
  <c r="AF47" i="7"/>
  <c r="AF14" i="10" s="1"/>
  <c r="AG45" i="7"/>
  <c r="AG11" i="12" s="1"/>
  <c r="AG46" i="7"/>
  <c r="AG12" i="12" s="1"/>
  <c r="AE24" i="7"/>
  <c r="AE7" i="12" s="1"/>
  <c r="AF11" i="7"/>
  <c r="AF12" i="7" s="1"/>
  <c r="AF16" i="7"/>
  <c r="AF17" i="7" s="1"/>
  <c r="AG8" i="7"/>
  <c r="AF21" i="7"/>
  <c r="AF22" i="7" s="1"/>
  <c r="AF7" i="7"/>
  <c r="AH44" i="7"/>
  <c r="AH43" i="7" s="1"/>
  <c r="AF34" i="7"/>
  <c r="AF33" i="7" s="1"/>
  <c r="AF37" i="7"/>
  <c r="AF36" i="7" s="1"/>
  <c r="AF30" i="7"/>
  <c r="AE39" i="7"/>
  <c r="AG14" i="6"/>
  <c r="AG19" i="6"/>
  <c r="AG9" i="6"/>
  <c r="AF21" i="6"/>
  <c r="AF22" i="6" s="1"/>
  <c r="AF50" i="7" s="1"/>
  <c r="AH6" i="6"/>
  <c r="AF73" i="11" l="1"/>
  <c r="AF109" i="11"/>
  <c r="AG58" i="13"/>
  <c r="AH59" i="13"/>
  <c r="AH55" i="12"/>
  <c r="AG54" i="12"/>
  <c r="AG92" i="7"/>
  <c r="AH93" i="7"/>
  <c r="AF34" i="10"/>
  <c r="AF37" i="10" s="1"/>
  <c r="AF47" i="13" s="1"/>
  <c r="AF46" i="13"/>
  <c r="AG72" i="11"/>
  <c r="AG53" i="11"/>
  <c r="AG90" i="11"/>
  <c r="AG71" i="11"/>
  <c r="AH44" i="11"/>
  <c r="AG108" i="11"/>
  <c r="AG43" i="11"/>
  <c r="AG55" i="11" s="1"/>
  <c r="AG54" i="11"/>
  <c r="AG89" i="11"/>
  <c r="AG5" i="10"/>
  <c r="AH6" i="10"/>
  <c r="AG27" i="10"/>
  <c r="AG33" i="10"/>
  <c r="AG34" i="13"/>
  <c r="AH35" i="13"/>
  <c r="AH8" i="11"/>
  <c r="AG7" i="11"/>
  <c r="AG77" i="7"/>
  <c r="AG74" i="7"/>
  <c r="AG76" i="7"/>
  <c r="AH72" i="7"/>
  <c r="AG71" i="7"/>
  <c r="AG73" i="7"/>
  <c r="AG26" i="10" s="1"/>
  <c r="AG57" i="7"/>
  <c r="AH58" i="7"/>
  <c r="AB19" i="10"/>
  <c r="AF91" i="11"/>
  <c r="AF11" i="11"/>
  <c r="AH28" i="7"/>
  <c r="AG31" i="7"/>
  <c r="AC21" i="10"/>
  <c r="AC42" i="13" s="1"/>
  <c r="AI6" i="12"/>
  <c r="AH5" i="12"/>
  <c r="AF55" i="11"/>
  <c r="B35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H5" i="6"/>
  <c r="AG11" i="9"/>
  <c r="AG13" i="9"/>
  <c r="AG12" i="9"/>
  <c r="AG10" i="9"/>
  <c r="AH6" i="9"/>
  <c r="AH108" i="7"/>
  <c r="AG107" i="7"/>
  <c r="AH28" i="12"/>
  <c r="AG27" i="12"/>
  <c r="AF10" i="11"/>
  <c r="AG5" i="9"/>
  <c r="AH5" i="9" s="1"/>
  <c r="AB40" i="13"/>
  <c r="AC37" i="13"/>
  <c r="AB114" i="7"/>
  <c r="AB116" i="7" s="1"/>
  <c r="AA48" i="12"/>
  <c r="AA72" i="12" s="1"/>
  <c r="Z47" i="12"/>
  <c r="Z71" i="12" s="1"/>
  <c r="AA109" i="7"/>
  <c r="AA111" i="7" s="1"/>
  <c r="AC42" i="12"/>
  <c r="AC60" i="12"/>
  <c r="AC22" i="10"/>
  <c r="AC29" i="10" s="1"/>
  <c r="AC40" i="10" s="1"/>
  <c r="AD67" i="7"/>
  <c r="AD41" i="12"/>
  <c r="AD12" i="10"/>
  <c r="AD36" i="13" s="1"/>
  <c r="AD37" i="13" s="1"/>
  <c r="AE60" i="7"/>
  <c r="AD32" i="12"/>
  <c r="AD59" i="12" s="1"/>
  <c r="AE11" i="10"/>
  <c r="AE8" i="12"/>
  <c r="AE9" i="12" s="1"/>
  <c r="AE14" i="12" s="1"/>
  <c r="AE66" i="7"/>
  <c r="AE68" i="7"/>
  <c r="AD61" i="7"/>
  <c r="AC19" i="10"/>
  <c r="AE62" i="7"/>
  <c r="AE15" i="10"/>
  <c r="AE16" i="10" s="1"/>
  <c r="AD18" i="10"/>
  <c r="AD39" i="13" s="1"/>
  <c r="AD40" i="13" s="1"/>
  <c r="AF52" i="7"/>
  <c r="AF13" i="12" s="1"/>
  <c r="AE25" i="7"/>
  <c r="AE10" i="10"/>
  <c r="AE40" i="7"/>
  <c r="AQ85" i="7"/>
  <c r="AO80" i="7"/>
  <c r="AG47" i="7"/>
  <c r="AG14" i="10" s="1"/>
  <c r="AH46" i="7"/>
  <c r="AH12" i="12" s="1"/>
  <c r="AH45" i="7"/>
  <c r="AH11" i="12" s="1"/>
  <c r="AF24" i="7"/>
  <c r="AF7" i="12" s="1"/>
  <c r="AG21" i="7"/>
  <c r="AH8" i="7"/>
  <c r="AG11" i="7"/>
  <c r="AG16" i="7"/>
  <c r="AG7" i="7"/>
  <c r="AF39" i="7"/>
  <c r="AI44" i="7"/>
  <c r="AI43" i="7" s="1"/>
  <c r="AG37" i="7"/>
  <c r="AG36" i="7" s="1"/>
  <c r="AG34" i="7"/>
  <c r="AG33" i="7" s="1"/>
  <c r="AG30" i="7"/>
  <c r="AH19" i="6"/>
  <c r="AH14" i="6"/>
  <c r="AH9" i="6"/>
  <c r="AI6" i="6"/>
  <c r="AF62" i="13" l="1"/>
  <c r="AF96" i="7"/>
  <c r="AH107" i="7"/>
  <c r="AI108" i="7"/>
  <c r="AI5" i="6"/>
  <c r="B36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11" i="11"/>
  <c r="AI55" i="12"/>
  <c r="AH54" i="12"/>
  <c r="AH12" i="9"/>
  <c r="AH14" i="9"/>
  <c r="AH11" i="9"/>
  <c r="AH13" i="9"/>
  <c r="AH36" i="9"/>
  <c r="AI6" i="9"/>
  <c r="AF12" i="11"/>
  <c r="AG34" i="10"/>
  <c r="AG37" i="10" s="1"/>
  <c r="AG47" i="13" s="1"/>
  <c r="AG46" i="13"/>
  <c r="AH57" i="7"/>
  <c r="AI58" i="7"/>
  <c r="AI6" i="10"/>
  <c r="AH27" i="10"/>
  <c r="AH33" i="10"/>
  <c r="AH5" i="10"/>
  <c r="AH92" i="7"/>
  <c r="AI93" i="7"/>
  <c r="AH58" i="13"/>
  <c r="AI59" i="13"/>
  <c r="AI5" i="12"/>
  <c r="AJ6" i="12"/>
  <c r="AI8" i="11"/>
  <c r="AH7" i="11"/>
  <c r="AH108" i="11"/>
  <c r="AH43" i="11"/>
  <c r="AH55" i="11" s="1"/>
  <c r="AH54" i="11"/>
  <c r="AH71" i="11"/>
  <c r="AH53" i="11"/>
  <c r="AH90" i="11"/>
  <c r="AH89" i="11"/>
  <c r="AI44" i="11"/>
  <c r="AH72" i="11"/>
  <c r="AH109" i="11"/>
  <c r="AF61" i="13"/>
  <c r="AF95" i="7"/>
  <c r="AI35" i="13"/>
  <c r="AH34" i="13"/>
  <c r="AG109" i="11"/>
  <c r="AG35" i="9"/>
  <c r="AG73" i="11"/>
  <c r="AG12" i="11" s="1"/>
  <c r="AH27" i="12"/>
  <c r="AI28" i="12"/>
  <c r="AI28" i="7"/>
  <c r="AH31" i="7"/>
  <c r="AH76" i="7"/>
  <c r="AI72" i="7"/>
  <c r="AH71" i="7"/>
  <c r="AH73" i="7"/>
  <c r="AH26" i="10" s="1"/>
  <c r="AH77" i="7"/>
  <c r="AH74" i="7"/>
  <c r="AG91" i="11"/>
  <c r="AG10" i="11"/>
  <c r="AD21" i="10"/>
  <c r="AD42" i="13" s="1"/>
  <c r="AC114" i="7"/>
  <c r="AC116" i="7" s="1"/>
  <c r="AB48" i="12"/>
  <c r="AB72" i="12" s="1"/>
  <c r="AA47" i="12"/>
  <c r="AA71" i="12" s="1"/>
  <c r="AB109" i="7"/>
  <c r="AB111" i="7" s="1"/>
  <c r="AD42" i="12"/>
  <c r="AD60" i="12"/>
  <c r="AE12" i="10"/>
  <c r="AE36" i="13" s="1"/>
  <c r="AE37" i="13" s="1"/>
  <c r="AF66" i="7"/>
  <c r="AE41" i="12"/>
  <c r="AF60" i="7"/>
  <c r="AE32" i="12"/>
  <c r="AE59" i="12" s="1"/>
  <c r="AF11" i="10"/>
  <c r="AF8" i="12"/>
  <c r="AF9" i="12" s="1"/>
  <c r="AF14" i="12" s="1"/>
  <c r="AE67" i="7"/>
  <c r="AF68" i="7"/>
  <c r="AD19" i="10"/>
  <c r="AF62" i="7"/>
  <c r="AE61" i="7"/>
  <c r="AF15" i="10"/>
  <c r="AF16" i="10" s="1"/>
  <c r="AF25" i="7"/>
  <c r="AF10" i="10"/>
  <c r="AF40" i="7"/>
  <c r="AP80" i="7"/>
  <c r="AH47" i="7"/>
  <c r="AH14" i="10" s="1"/>
  <c r="AI45" i="7"/>
  <c r="AI11" i="12" s="1"/>
  <c r="AI46" i="7"/>
  <c r="AI12" i="12" s="1"/>
  <c r="AH16" i="7"/>
  <c r="AH7" i="7"/>
  <c r="AH21" i="7"/>
  <c r="AI8" i="7"/>
  <c r="AH11" i="7"/>
  <c r="AJ44" i="7"/>
  <c r="AJ43" i="7" s="1"/>
  <c r="AH34" i="7"/>
  <c r="AH33" i="7" s="1"/>
  <c r="AH30" i="7"/>
  <c r="AH37" i="7"/>
  <c r="AH36" i="7" s="1"/>
  <c r="AG39" i="7"/>
  <c r="AI9" i="6"/>
  <c r="AI14" i="6"/>
  <c r="AI19" i="6"/>
  <c r="AJ6" i="6"/>
  <c r="AG63" i="13" l="1"/>
  <c r="AG50" i="10"/>
  <c r="AG97" i="7"/>
  <c r="AH46" i="13"/>
  <c r="AH34" i="10"/>
  <c r="AJ5" i="6"/>
  <c r="AJ72" i="7"/>
  <c r="AI71" i="7"/>
  <c r="AI73" i="7"/>
  <c r="AI26" i="10" s="1"/>
  <c r="AI76" i="7"/>
  <c r="AI77" i="7"/>
  <c r="AI74" i="7"/>
  <c r="AJ35" i="13"/>
  <c r="AI34" i="13"/>
  <c r="AI5" i="10"/>
  <c r="AJ6" i="10"/>
  <c r="AI27" i="10"/>
  <c r="AI33" i="10"/>
  <c r="AI107" i="7"/>
  <c r="AJ108" i="7"/>
  <c r="AI108" i="11"/>
  <c r="AI53" i="11"/>
  <c r="AI72" i="11"/>
  <c r="AI71" i="11"/>
  <c r="AI43" i="11"/>
  <c r="AI55" i="11" s="1"/>
  <c r="AI54" i="11"/>
  <c r="AI89" i="11"/>
  <c r="AJ44" i="11"/>
  <c r="AI90" i="11"/>
  <c r="AI91" i="11"/>
  <c r="AI57" i="7"/>
  <c r="AJ58" i="7"/>
  <c r="AF63" i="13"/>
  <c r="AF50" i="10"/>
  <c r="AF68" i="12"/>
  <c r="AF97" i="7"/>
  <c r="AJ55" i="12"/>
  <c r="AI54" i="12"/>
  <c r="AG61" i="13"/>
  <c r="AG95" i="7"/>
  <c r="AG68" i="12"/>
  <c r="AJ8" i="11"/>
  <c r="AI7" i="11"/>
  <c r="AI92" i="7"/>
  <c r="AJ93" i="7"/>
  <c r="AI12" i="9"/>
  <c r="AI14" i="9"/>
  <c r="AI13" i="9"/>
  <c r="AI15" i="9"/>
  <c r="AI10" i="9"/>
  <c r="AJ6" i="9"/>
  <c r="AJ28" i="7"/>
  <c r="AI31" i="7"/>
  <c r="AJ5" i="12"/>
  <c r="AK6" i="12"/>
  <c r="AI5" i="9"/>
  <c r="AJ5" i="9" s="1"/>
  <c r="AJ28" i="12"/>
  <c r="AI27" i="12"/>
  <c r="AH10" i="11"/>
  <c r="AG62" i="13"/>
  <c r="AG96" i="7"/>
  <c r="AE18" i="10"/>
  <c r="AE39" i="13" s="1"/>
  <c r="AH73" i="11"/>
  <c r="AH12" i="11" s="1"/>
  <c r="AI58" i="13"/>
  <c r="AJ59" i="13"/>
  <c r="AH91" i="11"/>
  <c r="AH11" i="11"/>
  <c r="AH37" i="10"/>
  <c r="AH47" i="13" s="1"/>
  <c r="B37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D22" i="10"/>
  <c r="AD29" i="10" s="1"/>
  <c r="AD40" i="10" s="1"/>
  <c r="AE40" i="13"/>
  <c r="AB47" i="12"/>
  <c r="AB71" i="12" s="1"/>
  <c r="AC109" i="7"/>
  <c r="AC111" i="7" s="1"/>
  <c r="AD114" i="7"/>
  <c r="AD116" i="7" s="1"/>
  <c r="AC48" i="12"/>
  <c r="AC72" i="12" s="1"/>
  <c r="AE42" i="12"/>
  <c r="AE60" i="12"/>
  <c r="AF12" i="10"/>
  <c r="AF36" i="13" s="1"/>
  <c r="AF37" i="13" s="1"/>
  <c r="AE21" i="10"/>
  <c r="AG66" i="7"/>
  <c r="AF41" i="12"/>
  <c r="AF61" i="7"/>
  <c r="AF32" i="12"/>
  <c r="AF59" i="12" s="1"/>
  <c r="AG11" i="10"/>
  <c r="AG8" i="12"/>
  <c r="AF67" i="7"/>
  <c r="AG60" i="7"/>
  <c r="AE19" i="10"/>
  <c r="AF18" i="10"/>
  <c r="AF39" i="13" s="1"/>
  <c r="AF40" i="13" s="1"/>
  <c r="AG40" i="7"/>
  <c r="AQ80" i="7"/>
  <c r="AI47" i="7"/>
  <c r="AI14" i="10" s="1"/>
  <c r="AJ46" i="7"/>
  <c r="AJ12" i="12" s="1"/>
  <c r="AJ45" i="7"/>
  <c r="AJ11" i="12" s="1"/>
  <c r="AI11" i="7"/>
  <c r="AI21" i="7"/>
  <c r="AJ8" i="7"/>
  <c r="AI16" i="7"/>
  <c r="AI7" i="7"/>
  <c r="AK44" i="7"/>
  <c r="AK43" i="7" s="1"/>
  <c r="AH39" i="7"/>
  <c r="AI30" i="7"/>
  <c r="AI34" i="7"/>
  <c r="AI33" i="7" s="1"/>
  <c r="AI37" i="7"/>
  <c r="AI36" i="7" s="1"/>
  <c r="AJ19" i="6"/>
  <c r="AJ9" i="6"/>
  <c r="AJ14" i="6"/>
  <c r="AK6" i="6"/>
  <c r="AH63" i="13" l="1"/>
  <c r="AH97" i="7"/>
  <c r="AH50" i="10"/>
  <c r="AJ57" i="7"/>
  <c r="AK58" i="7"/>
  <c r="AK5" i="6"/>
  <c r="AI11" i="11"/>
  <c r="AK35" i="13"/>
  <c r="AJ34" i="13"/>
  <c r="AJ58" i="13"/>
  <c r="AK59" i="13"/>
  <c r="AK28" i="7"/>
  <c r="AJ31" i="7"/>
  <c r="AH61" i="13"/>
  <c r="AH95" i="7"/>
  <c r="AH68" i="12"/>
  <c r="AK5" i="12"/>
  <c r="AL6" i="12"/>
  <c r="AJ92" i="7"/>
  <c r="AK93" i="7"/>
  <c r="AJ54" i="12"/>
  <c r="AK55" i="12"/>
  <c r="AI73" i="11"/>
  <c r="AI46" i="13"/>
  <c r="AI34" i="10"/>
  <c r="AI37" i="10" s="1"/>
  <c r="AI47" i="13" s="1"/>
  <c r="AJ33" i="10"/>
  <c r="AJ5" i="10"/>
  <c r="AJ27" i="10"/>
  <c r="AK6" i="10"/>
  <c r="B38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J14" i="9"/>
  <c r="AJ16" i="9"/>
  <c r="AJ38" i="9"/>
  <c r="AJ11" i="9"/>
  <c r="AJ13" i="9"/>
  <c r="AJ15" i="9"/>
  <c r="AJ10" i="9"/>
  <c r="AK6" i="9"/>
  <c r="AI109" i="11"/>
  <c r="AI12" i="11" s="1"/>
  <c r="AI10" i="11"/>
  <c r="AH62" i="13"/>
  <c r="AH96" i="7"/>
  <c r="AJ7" i="11"/>
  <c r="AK8" i="11"/>
  <c r="AJ27" i="12"/>
  <c r="AK28" i="12"/>
  <c r="AI37" i="9"/>
  <c r="AJ90" i="11"/>
  <c r="AJ72" i="11"/>
  <c r="AJ53" i="11"/>
  <c r="AJ71" i="11"/>
  <c r="AJ54" i="11"/>
  <c r="AJ89" i="11"/>
  <c r="AJ43" i="11"/>
  <c r="AJ73" i="11" s="1"/>
  <c r="AJ108" i="11"/>
  <c r="AK44" i="11"/>
  <c r="AJ107" i="7"/>
  <c r="AK108" i="7"/>
  <c r="AJ73" i="7"/>
  <c r="AJ26" i="10" s="1"/>
  <c r="AJ71" i="7"/>
  <c r="AJ77" i="7"/>
  <c r="AJ74" i="7"/>
  <c r="AJ76" i="7"/>
  <c r="AK72" i="7"/>
  <c r="AE22" i="10"/>
  <c r="AE29" i="10" s="1"/>
  <c r="AE40" i="10" s="1"/>
  <c r="AE42" i="13"/>
  <c r="AF21" i="10"/>
  <c r="AF42" i="13" s="1"/>
  <c r="AE114" i="7"/>
  <c r="AE116" i="7" s="1"/>
  <c r="AD48" i="12"/>
  <c r="AD72" i="12" s="1"/>
  <c r="AC47" i="12"/>
  <c r="AC71" i="12" s="1"/>
  <c r="AD109" i="7"/>
  <c r="AD111" i="7" s="1"/>
  <c r="AF42" i="12"/>
  <c r="AF60" i="12"/>
  <c r="AF22" i="10"/>
  <c r="AF29" i="10" s="1"/>
  <c r="AF40" i="10" s="1"/>
  <c r="AH11" i="10"/>
  <c r="AH8" i="12"/>
  <c r="AF19" i="10"/>
  <c r="AH40" i="7"/>
  <c r="AJ47" i="7"/>
  <c r="AJ14" i="10" s="1"/>
  <c r="AK45" i="7"/>
  <c r="AK11" i="12" s="1"/>
  <c r="AK46" i="7"/>
  <c r="AK12" i="12" s="1"/>
  <c r="AJ21" i="7"/>
  <c r="AJ11" i="7"/>
  <c r="AJ7" i="7"/>
  <c r="AJ16" i="7"/>
  <c r="AK8" i="7"/>
  <c r="AL44" i="7"/>
  <c r="AL43" i="7" s="1"/>
  <c r="AJ34" i="7"/>
  <c r="AJ33" i="7" s="1"/>
  <c r="AJ37" i="7"/>
  <c r="AJ36" i="7" s="1"/>
  <c r="AJ30" i="7"/>
  <c r="AI39" i="7"/>
  <c r="AK19" i="6"/>
  <c r="AK14" i="6"/>
  <c r="AK9" i="6"/>
  <c r="AL6" i="6"/>
  <c r="AI63" i="13" l="1"/>
  <c r="AI97" i="7"/>
  <c r="AI50" i="10"/>
  <c r="AI61" i="13"/>
  <c r="AI95" i="7"/>
  <c r="AI68" i="12"/>
  <c r="AK27" i="12"/>
  <c r="AL28" i="12"/>
  <c r="AK92" i="7"/>
  <c r="AL93" i="7"/>
  <c r="AK73" i="7"/>
  <c r="AK26" i="10" s="1"/>
  <c r="AK77" i="7"/>
  <c r="AK71" i="7"/>
  <c r="AK76" i="7"/>
  <c r="AK74" i="7"/>
  <c r="AL72" i="7"/>
  <c r="AK107" i="7"/>
  <c r="AL108" i="7"/>
  <c r="AK7" i="11"/>
  <c r="AL8" i="11"/>
  <c r="AK17" i="9"/>
  <c r="AK12" i="9"/>
  <c r="AK14" i="9"/>
  <c r="AK16" i="9"/>
  <c r="AK11" i="9"/>
  <c r="AK15" i="9"/>
  <c r="AK10" i="9"/>
  <c r="AL6" i="9"/>
  <c r="B39" i="9"/>
  <c r="AK39" i="9" s="1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K57" i="7"/>
  <c r="AL58" i="7"/>
  <c r="AJ11" i="11"/>
  <c r="AL5" i="12"/>
  <c r="AM6" i="12"/>
  <c r="AL35" i="13"/>
  <c r="AK34" i="13"/>
  <c r="AJ55" i="11"/>
  <c r="AJ12" i="11" s="1"/>
  <c r="AJ10" i="11"/>
  <c r="AL28" i="7"/>
  <c r="AK31" i="7"/>
  <c r="AJ109" i="11"/>
  <c r="AK33" i="10"/>
  <c r="AK5" i="10"/>
  <c r="AL6" i="10"/>
  <c r="AK27" i="10"/>
  <c r="AK5" i="9"/>
  <c r="AI96" i="7"/>
  <c r="AI62" i="13"/>
  <c r="AJ91" i="11"/>
  <c r="AK43" i="11"/>
  <c r="AK73" i="11" s="1"/>
  <c r="AK54" i="11"/>
  <c r="AK72" i="11"/>
  <c r="AK89" i="11"/>
  <c r="AK108" i="11"/>
  <c r="AK53" i="11"/>
  <c r="AK90" i="11"/>
  <c r="AK71" i="11"/>
  <c r="AL44" i="11"/>
  <c r="AK109" i="11"/>
  <c r="AJ46" i="13"/>
  <c r="AJ34" i="10"/>
  <c r="AJ37" i="10" s="1"/>
  <c r="AJ47" i="13" s="1"/>
  <c r="AL55" i="12"/>
  <c r="AK54" i="12"/>
  <c r="AL59" i="13"/>
  <c r="AK58" i="13"/>
  <c r="AL5" i="6"/>
  <c r="AM5" i="6" s="1"/>
  <c r="AD47" i="12"/>
  <c r="AD71" i="12" s="1"/>
  <c r="AE109" i="7"/>
  <c r="AE111" i="7" s="1"/>
  <c r="AF114" i="7"/>
  <c r="AF116" i="7" s="1"/>
  <c r="AE48" i="12"/>
  <c r="AE72" i="12" s="1"/>
  <c r="AI11" i="10"/>
  <c r="AI8" i="12"/>
  <c r="AI40" i="7"/>
  <c r="AK47" i="7"/>
  <c r="AK14" i="10" s="1"/>
  <c r="AL46" i="7"/>
  <c r="AL12" i="12" s="1"/>
  <c r="AL45" i="7"/>
  <c r="AL11" i="12" s="1"/>
  <c r="AK7" i="7"/>
  <c r="AK21" i="7"/>
  <c r="AL8" i="7"/>
  <c r="AK11" i="7"/>
  <c r="AK16" i="7"/>
  <c r="AM44" i="7"/>
  <c r="AM43" i="7" s="1"/>
  <c r="AJ39" i="7"/>
  <c r="AK30" i="7"/>
  <c r="AK37" i="7"/>
  <c r="AK36" i="7" s="1"/>
  <c r="AK34" i="7"/>
  <c r="AK33" i="7" s="1"/>
  <c r="AL9" i="6"/>
  <c r="AL14" i="6"/>
  <c r="AL19" i="6"/>
  <c r="AM6" i="6"/>
  <c r="AM55" i="12" l="1"/>
  <c r="AL54" i="12"/>
  <c r="AK11" i="11"/>
  <c r="AL5" i="10"/>
  <c r="AM6" i="10"/>
  <c r="AL27" i="10"/>
  <c r="AL33" i="10"/>
  <c r="AM28" i="7"/>
  <c r="AL31" i="7"/>
  <c r="AM28" i="12"/>
  <c r="AL27" i="12"/>
  <c r="AL108" i="11"/>
  <c r="AL90" i="11"/>
  <c r="AL54" i="11"/>
  <c r="AL71" i="11"/>
  <c r="AL72" i="11"/>
  <c r="AL89" i="11"/>
  <c r="AM44" i="11"/>
  <c r="AL53" i="11"/>
  <c r="AL43" i="11"/>
  <c r="AL55" i="11" s="1"/>
  <c r="AL73" i="11"/>
  <c r="AL109" i="11"/>
  <c r="AL91" i="11"/>
  <c r="AL7" i="11"/>
  <c r="AM8" i="11"/>
  <c r="AJ61" i="13"/>
  <c r="AJ95" i="7"/>
  <c r="AJ68" i="12"/>
  <c r="B40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J63" i="13"/>
  <c r="AJ97" i="7"/>
  <c r="AJ50" i="10"/>
  <c r="AJ96" i="7"/>
  <c r="AJ62" i="13"/>
  <c r="AL15" i="9"/>
  <c r="AL17" i="9"/>
  <c r="AL12" i="9"/>
  <c r="AL16" i="9"/>
  <c r="AL11" i="9"/>
  <c r="AL13" i="9"/>
  <c r="AL18" i="9"/>
  <c r="AL10" i="9"/>
  <c r="AL40" i="9"/>
  <c r="AM6" i="9"/>
  <c r="AM108" i="7"/>
  <c r="AL107" i="7"/>
  <c r="AK10" i="11"/>
  <c r="AL57" i="7"/>
  <c r="AM58" i="7"/>
  <c r="AL92" i="7"/>
  <c r="AM93" i="7"/>
  <c r="AM59" i="13"/>
  <c r="AL58" i="13"/>
  <c r="AL5" i="9"/>
  <c r="AM5" i="9" s="1"/>
  <c r="AL77" i="7"/>
  <c r="AL74" i="7"/>
  <c r="AL71" i="7"/>
  <c r="AM72" i="7"/>
  <c r="AL76" i="7"/>
  <c r="AL73" i="7"/>
  <c r="AL26" i="10" s="1"/>
  <c r="AK91" i="11"/>
  <c r="AL34" i="13"/>
  <c r="AM35" i="13"/>
  <c r="AK55" i="11"/>
  <c r="AK34" i="10"/>
  <c r="AK37" i="10" s="1"/>
  <c r="AK47" i="13" s="1"/>
  <c r="AK46" i="13"/>
  <c r="AN6" i="12"/>
  <c r="AM5" i="12"/>
  <c r="AG114" i="7"/>
  <c r="AG116" i="7" s="1"/>
  <c r="AF48" i="12"/>
  <c r="AF72" i="12" s="1"/>
  <c r="AE47" i="12"/>
  <c r="AE71" i="12" s="1"/>
  <c r="AF109" i="7"/>
  <c r="AF111" i="7" s="1"/>
  <c r="AJ11" i="10"/>
  <c r="AJ8" i="12"/>
  <c r="AJ40" i="7"/>
  <c r="AL47" i="7"/>
  <c r="AL14" i="10" s="1"/>
  <c r="AM45" i="7"/>
  <c r="AM11" i="12" s="1"/>
  <c r="AM46" i="7"/>
  <c r="AM12" i="12" s="1"/>
  <c r="AL11" i="7"/>
  <c r="AL7" i="7"/>
  <c r="AL21" i="7"/>
  <c r="AM8" i="7"/>
  <c r="AL16" i="7"/>
  <c r="AN44" i="7"/>
  <c r="AN43" i="7" s="1"/>
  <c r="AL30" i="7"/>
  <c r="AL34" i="7"/>
  <c r="AL33" i="7" s="1"/>
  <c r="AL37" i="7"/>
  <c r="AL36" i="7" s="1"/>
  <c r="AK39" i="7"/>
  <c r="AM19" i="6"/>
  <c r="AM14" i="6"/>
  <c r="AM9" i="6"/>
  <c r="AN6" i="6"/>
  <c r="AN5" i="6" s="1"/>
  <c r="AM90" i="11" l="1"/>
  <c r="AM53" i="11"/>
  <c r="AM72" i="11"/>
  <c r="AM71" i="11"/>
  <c r="AM108" i="11"/>
  <c r="AM89" i="11"/>
  <c r="AM54" i="11"/>
  <c r="AM11" i="11" s="1"/>
  <c r="AN44" i="11"/>
  <c r="AM43" i="11"/>
  <c r="AM55" i="11" s="1"/>
  <c r="AM73" i="11"/>
  <c r="AM109" i="11"/>
  <c r="AM91" i="11"/>
  <c r="AK12" i="11"/>
  <c r="B41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N8" i="11"/>
  <c r="AM7" i="11"/>
  <c r="AN28" i="12"/>
  <c r="AM27" i="12"/>
  <c r="AK62" i="13"/>
  <c r="AK96" i="7"/>
  <c r="AM92" i="7"/>
  <c r="AN93" i="7"/>
  <c r="AN28" i="7"/>
  <c r="AM31" i="7"/>
  <c r="AL11" i="11"/>
  <c r="AM54" i="12"/>
  <c r="AN55" i="12"/>
  <c r="AN35" i="13"/>
  <c r="AM34" i="13"/>
  <c r="AM57" i="7"/>
  <c r="AN58" i="7"/>
  <c r="AL37" i="10"/>
  <c r="AL47" i="13" s="1"/>
  <c r="AO6" i="12"/>
  <c r="AN5" i="12"/>
  <c r="AM73" i="7"/>
  <c r="AM26" i="10" s="1"/>
  <c r="AM77" i="7"/>
  <c r="AM76" i="7"/>
  <c r="AM71" i="7"/>
  <c r="AM74" i="7"/>
  <c r="AN72" i="7"/>
  <c r="AN108" i="7"/>
  <c r="AM107" i="7"/>
  <c r="AL12" i="11"/>
  <c r="AL46" i="13"/>
  <c r="AL34" i="10"/>
  <c r="AN59" i="13"/>
  <c r="AM58" i="13"/>
  <c r="AK61" i="13"/>
  <c r="AK95" i="7"/>
  <c r="AK68" i="12"/>
  <c r="AM11" i="9"/>
  <c r="AM13" i="9"/>
  <c r="AM18" i="9"/>
  <c r="AM17" i="9"/>
  <c r="AM12" i="9"/>
  <c r="AM14" i="9"/>
  <c r="AM19" i="9"/>
  <c r="AM16" i="9"/>
  <c r="AN6" i="9"/>
  <c r="AL10" i="11"/>
  <c r="AN6" i="10"/>
  <c r="AM27" i="10"/>
  <c r="AM33" i="10"/>
  <c r="AM5" i="10"/>
  <c r="AF47" i="12"/>
  <c r="AF71" i="12" s="1"/>
  <c r="AG109" i="7"/>
  <c r="AG111" i="7" s="1"/>
  <c r="AH114" i="7"/>
  <c r="AH116" i="7" s="1"/>
  <c r="AG48" i="12"/>
  <c r="AG72" i="12" s="1"/>
  <c r="AK11" i="10"/>
  <c r="AK8" i="12"/>
  <c r="AK40" i="7"/>
  <c r="AM47" i="7"/>
  <c r="AM14" i="10" s="1"/>
  <c r="AN46" i="7"/>
  <c r="AN12" i="12" s="1"/>
  <c r="AN45" i="7"/>
  <c r="AN11" i="12" s="1"/>
  <c r="AM11" i="7"/>
  <c r="AM7" i="7"/>
  <c r="AM21" i="7"/>
  <c r="AN8" i="7"/>
  <c r="AM16" i="7"/>
  <c r="AO44" i="7"/>
  <c r="AO43" i="7" s="1"/>
  <c r="AL39" i="7"/>
  <c r="AM37" i="7"/>
  <c r="AM36" i="7" s="1"/>
  <c r="AM34" i="7"/>
  <c r="AM33" i="7" s="1"/>
  <c r="AM30" i="7"/>
  <c r="AN9" i="6"/>
  <c r="AN14" i="6"/>
  <c r="AN19" i="6"/>
  <c r="AO6" i="6"/>
  <c r="AO5" i="6" s="1"/>
  <c r="AN77" i="7" l="1"/>
  <c r="AN74" i="7"/>
  <c r="AN71" i="7"/>
  <c r="AO72" i="7"/>
  <c r="AN76" i="7"/>
  <c r="AN73" i="7"/>
  <c r="AN26" i="10" s="1"/>
  <c r="AN92" i="7"/>
  <c r="AO93" i="7"/>
  <c r="AM62" i="13"/>
  <c r="AM96" i="7"/>
  <c r="AM34" i="10"/>
  <c r="AM37" i="10" s="1"/>
  <c r="AM47" i="13" s="1"/>
  <c r="AM46" i="13"/>
  <c r="AO28" i="12"/>
  <c r="AN27" i="12"/>
  <c r="B42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N5" i="10"/>
  <c r="AN33" i="10"/>
  <c r="AN27" i="10"/>
  <c r="AO6" i="10"/>
  <c r="AO35" i="13"/>
  <c r="AN34" i="13"/>
  <c r="AK63" i="13"/>
  <c r="AK97" i="7"/>
  <c r="AK50" i="10"/>
  <c r="AL61" i="13"/>
  <c r="AL95" i="7"/>
  <c r="AL68" i="12"/>
  <c r="AO55" i="12"/>
  <c r="AN54" i="12"/>
  <c r="AN7" i="11"/>
  <c r="AO8" i="11"/>
  <c r="AN13" i="9"/>
  <c r="AN15" i="9"/>
  <c r="AN18" i="9"/>
  <c r="AN20" i="9"/>
  <c r="AN17" i="9"/>
  <c r="AN12" i="9"/>
  <c r="AN14" i="9"/>
  <c r="AN19" i="9"/>
  <c r="AN10" i="9"/>
  <c r="AN42" i="9"/>
  <c r="AO6" i="9"/>
  <c r="AO59" i="13"/>
  <c r="AN58" i="13"/>
  <c r="AL63" i="13"/>
  <c r="AL97" i="7"/>
  <c r="AL50" i="10"/>
  <c r="AL62" i="13"/>
  <c r="AL96" i="7"/>
  <c r="AN5" i="9"/>
  <c r="AO5" i="9" s="1"/>
  <c r="AM10" i="11"/>
  <c r="AM12" i="11"/>
  <c r="AM41" i="9"/>
  <c r="AN107" i="7"/>
  <c r="AO108" i="7"/>
  <c r="AP6" i="12"/>
  <c r="AO5" i="12"/>
  <c r="AN57" i="7"/>
  <c r="AO58" i="7"/>
  <c r="AO28" i="7"/>
  <c r="AN31" i="7"/>
  <c r="AN43" i="11"/>
  <c r="AN55" i="11" s="1"/>
  <c r="AO44" i="11"/>
  <c r="AN72" i="11"/>
  <c r="AN90" i="11"/>
  <c r="AN53" i="11"/>
  <c r="AN108" i="11"/>
  <c r="AN71" i="11"/>
  <c r="AN54" i="11"/>
  <c r="AN89" i="11"/>
  <c r="AN109" i="11"/>
  <c r="AN91" i="11"/>
  <c r="AN73" i="11"/>
  <c r="AI114" i="7"/>
  <c r="AI116" i="7" s="1"/>
  <c r="AH48" i="12"/>
  <c r="AH72" i="12" s="1"/>
  <c r="AG47" i="12"/>
  <c r="AG71" i="12" s="1"/>
  <c r="AH109" i="7"/>
  <c r="AH111" i="7" s="1"/>
  <c r="AL11" i="10"/>
  <c r="AL8" i="12"/>
  <c r="AL40" i="7"/>
  <c r="AN47" i="7"/>
  <c r="AN14" i="10" s="1"/>
  <c r="AO45" i="7"/>
  <c r="AO11" i="12" s="1"/>
  <c r="AO46" i="7"/>
  <c r="AO12" i="12" s="1"/>
  <c r="AN21" i="7"/>
  <c r="AN11" i="7"/>
  <c r="AN7" i="7"/>
  <c r="AN16" i="7"/>
  <c r="AO8" i="7"/>
  <c r="AP44" i="7"/>
  <c r="AP43" i="7" s="1"/>
  <c r="AM39" i="7"/>
  <c r="AN34" i="7"/>
  <c r="AN33" i="7" s="1"/>
  <c r="AN37" i="7"/>
  <c r="AN36" i="7" s="1"/>
  <c r="AN30" i="7"/>
  <c r="AO19" i="6"/>
  <c r="AO9" i="6"/>
  <c r="AO14" i="6"/>
  <c r="AP6" i="6"/>
  <c r="AP5" i="6" s="1"/>
  <c r="AM63" i="13" l="1"/>
  <c r="AM97" i="7"/>
  <c r="AM50" i="10"/>
  <c r="AP8" i="11"/>
  <c r="AO7" i="11"/>
  <c r="AQ6" i="12"/>
  <c r="AP5" i="12"/>
  <c r="AM61" i="13"/>
  <c r="AM95" i="7"/>
  <c r="AM68" i="12"/>
  <c r="AO58" i="13"/>
  <c r="AP59" i="13"/>
  <c r="AP28" i="12"/>
  <c r="AO27" i="12"/>
  <c r="AO90" i="11"/>
  <c r="AO71" i="11"/>
  <c r="AO43" i="11"/>
  <c r="AO55" i="11" s="1"/>
  <c r="AO54" i="11"/>
  <c r="AO108" i="11"/>
  <c r="AO89" i="11"/>
  <c r="AO72" i="11"/>
  <c r="AO53" i="11"/>
  <c r="AP44" i="11"/>
  <c r="AO109" i="11"/>
  <c r="AO73" i="11"/>
  <c r="AO91" i="11"/>
  <c r="AP108" i="7"/>
  <c r="AO107" i="7"/>
  <c r="AP5" i="9"/>
  <c r="AO77" i="7"/>
  <c r="AO74" i="7"/>
  <c r="AP72" i="7"/>
  <c r="AO71" i="7"/>
  <c r="AO76" i="7"/>
  <c r="AO73" i="7"/>
  <c r="AO26" i="10" s="1"/>
  <c r="AN12" i="11"/>
  <c r="AO11" i="9"/>
  <c r="AO13" i="9"/>
  <c r="AO15" i="9"/>
  <c r="AO18" i="9"/>
  <c r="AO21" i="9"/>
  <c r="AO20" i="9"/>
  <c r="AO14" i="9"/>
  <c r="AO16" i="9"/>
  <c r="AO19" i="9"/>
  <c r="AO10" i="9"/>
  <c r="AP6" i="9"/>
  <c r="AP55" i="12"/>
  <c r="AO54" i="12"/>
  <c r="AO34" i="13"/>
  <c r="AP35" i="13"/>
  <c r="AP28" i="7"/>
  <c r="AO31" i="7"/>
  <c r="AO27" i="10"/>
  <c r="AO33" i="10"/>
  <c r="AP6" i="10"/>
  <c r="AO5" i="10"/>
  <c r="AO57" i="7"/>
  <c r="AP58" i="7"/>
  <c r="AN46" i="13"/>
  <c r="AN34" i="10"/>
  <c r="AN37" i="10" s="1"/>
  <c r="AN47" i="13" s="1"/>
  <c r="AO92" i="7"/>
  <c r="AP93" i="7"/>
  <c r="AN11" i="11"/>
  <c r="AN10" i="11"/>
  <c r="B43" i="9"/>
  <c r="AO43" i="9" s="1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H47" i="12"/>
  <c r="AH71" i="12" s="1"/>
  <c r="AI109" i="7"/>
  <c r="AI111" i="7" s="1"/>
  <c r="AJ114" i="7"/>
  <c r="AJ116" i="7" s="1"/>
  <c r="AI48" i="12"/>
  <c r="AI72" i="12" s="1"/>
  <c r="AM11" i="10"/>
  <c r="AM8" i="12"/>
  <c r="AM40" i="7"/>
  <c r="AO47" i="7"/>
  <c r="AO14" i="10" s="1"/>
  <c r="AP46" i="7"/>
  <c r="AP12" i="12" s="1"/>
  <c r="AP45" i="7"/>
  <c r="AP11" i="12" s="1"/>
  <c r="AN39" i="7"/>
  <c r="AO16" i="7"/>
  <c r="AO7" i="7"/>
  <c r="AO21" i="7"/>
  <c r="AO11" i="7"/>
  <c r="AP8" i="7"/>
  <c r="AQ44" i="7"/>
  <c r="AQ43" i="7" s="1"/>
  <c r="AO34" i="7"/>
  <c r="AO33" i="7" s="1"/>
  <c r="AO37" i="7"/>
  <c r="AO36" i="7" s="1"/>
  <c r="AO30" i="7"/>
  <c r="AP9" i="6"/>
  <c r="AP14" i="6"/>
  <c r="AP19" i="6"/>
  <c r="AQ6" i="6"/>
  <c r="AQ5" i="6" s="1"/>
  <c r="AO34" i="10" l="1"/>
  <c r="AO46" i="13"/>
  <c r="AP73" i="7"/>
  <c r="AP26" i="10" s="1"/>
  <c r="AP77" i="7"/>
  <c r="AP74" i="7"/>
  <c r="AP71" i="7"/>
  <c r="AP76" i="7"/>
  <c r="AQ72" i="7"/>
  <c r="AP108" i="11"/>
  <c r="AP54" i="11"/>
  <c r="AP90" i="11"/>
  <c r="AP71" i="11"/>
  <c r="AP72" i="11"/>
  <c r="AP89" i="11"/>
  <c r="AQ44" i="11"/>
  <c r="AP53" i="11"/>
  <c r="AP43" i="11"/>
  <c r="AP73" i="11" s="1"/>
  <c r="AP109" i="11"/>
  <c r="AP55" i="11"/>
  <c r="AP91" i="11"/>
  <c r="B44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P57" i="7"/>
  <c r="AQ58" i="7"/>
  <c r="AQ57" i="7" s="1"/>
  <c r="AQ28" i="7"/>
  <c r="AQ31" i="7" s="1"/>
  <c r="AP31" i="7"/>
  <c r="AO10" i="11"/>
  <c r="AP34" i="13"/>
  <c r="AQ35" i="13"/>
  <c r="AQ34" i="13" s="1"/>
  <c r="AP27" i="12"/>
  <c r="AQ28" i="12"/>
  <c r="AQ27" i="12" s="1"/>
  <c r="AQ5" i="12"/>
  <c r="AN63" i="13"/>
  <c r="AN97" i="7"/>
  <c r="AN50" i="10"/>
  <c r="AP58" i="13"/>
  <c r="AQ59" i="13"/>
  <c r="AN96" i="7"/>
  <c r="AN62" i="13"/>
  <c r="AP107" i="7"/>
  <c r="AQ108" i="7"/>
  <c r="AQ8" i="11"/>
  <c r="AP7" i="11"/>
  <c r="AN61" i="13"/>
  <c r="AN95" i="7"/>
  <c r="AN68" i="12"/>
  <c r="AP92" i="7"/>
  <c r="AQ93" i="7"/>
  <c r="AP33" i="10"/>
  <c r="AQ6" i="10"/>
  <c r="AP5" i="10"/>
  <c r="AP27" i="10"/>
  <c r="AQ55" i="12"/>
  <c r="AP54" i="12"/>
  <c r="AO11" i="11"/>
  <c r="AO37" i="10"/>
  <c r="AO47" i="13" s="1"/>
  <c r="AP16" i="9"/>
  <c r="AP19" i="9"/>
  <c r="AP22" i="9"/>
  <c r="AP11" i="9"/>
  <c r="AP15" i="9"/>
  <c r="AP21" i="9"/>
  <c r="AP17" i="9"/>
  <c r="AP20" i="9"/>
  <c r="AP12" i="9"/>
  <c r="AP14" i="9"/>
  <c r="AP44" i="9"/>
  <c r="AP10" i="9"/>
  <c r="AQ6" i="9"/>
  <c r="AQ5" i="9" s="1"/>
  <c r="AO12" i="11"/>
  <c r="AK114" i="7"/>
  <c r="AK116" i="7" s="1"/>
  <c r="AJ48" i="12"/>
  <c r="AJ72" i="12" s="1"/>
  <c r="AI47" i="12"/>
  <c r="AI71" i="12" s="1"/>
  <c r="AJ109" i="7"/>
  <c r="AJ111" i="7" s="1"/>
  <c r="AN11" i="10"/>
  <c r="AN8" i="12"/>
  <c r="AN40" i="7"/>
  <c r="AP47" i="7"/>
  <c r="AP14" i="10" s="1"/>
  <c r="AQ45" i="7"/>
  <c r="AQ11" i="12" s="1"/>
  <c r="AQ46" i="7"/>
  <c r="AQ12" i="12" s="1"/>
  <c r="AQ8" i="7"/>
  <c r="AP16" i="7"/>
  <c r="AP7" i="7"/>
  <c r="AP21" i="7"/>
  <c r="AP11" i="7"/>
  <c r="AO39" i="7"/>
  <c r="AP30" i="7"/>
  <c r="AP37" i="7"/>
  <c r="AP36" i="7" s="1"/>
  <c r="AP34" i="7"/>
  <c r="AP33" i="7" s="1"/>
  <c r="AR6" i="6"/>
  <c r="AQ19" i="6"/>
  <c r="AQ14" i="6"/>
  <c r="AQ9" i="6"/>
  <c r="AP10" i="11" l="1"/>
  <c r="AQ76" i="7"/>
  <c r="AQ77" i="7"/>
  <c r="AQ73" i="7"/>
  <c r="AQ26" i="10" s="1"/>
  <c r="AQ74" i="7"/>
  <c r="AQ71" i="7"/>
  <c r="AQ54" i="12"/>
  <c r="AQ90" i="11"/>
  <c r="AQ108" i="11"/>
  <c r="AQ53" i="11"/>
  <c r="AQ54" i="11"/>
  <c r="AQ71" i="11"/>
  <c r="AQ72" i="11"/>
  <c r="AQ89" i="11"/>
  <c r="AQ43" i="11"/>
  <c r="AQ55" i="11" s="1"/>
  <c r="AQ73" i="11"/>
  <c r="AQ58" i="13"/>
  <c r="AP34" i="10"/>
  <c r="AP46" i="13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O63" i="13"/>
  <c r="AO97" i="7"/>
  <c r="AO50" i="10"/>
  <c r="AQ23" i="9"/>
  <c r="AQ16" i="9"/>
  <c r="AQ22" i="9"/>
  <c r="AQ11" i="9"/>
  <c r="AQ13" i="9"/>
  <c r="AQ18" i="9"/>
  <c r="AQ15" i="9"/>
  <c r="AQ21" i="9"/>
  <c r="AQ17" i="9"/>
  <c r="AQ20" i="9"/>
  <c r="AQ12" i="9"/>
  <c r="AQ10" i="9"/>
  <c r="AQ5" i="10"/>
  <c r="AQ33" i="10"/>
  <c r="AQ27" i="10"/>
  <c r="AQ7" i="11"/>
  <c r="AP12" i="11"/>
  <c r="AP37" i="10"/>
  <c r="AP47" i="13" s="1"/>
  <c r="AQ107" i="7"/>
  <c r="AO61" i="13"/>
  <c r="AO95" i="7"/>
  <c r="AO68" i="12"/>
  <c r="AP11" i="11"/>
  <c r="AO62" i="13"/>
  <c r="AO96" i="7"/>
  <c r="AQ92" i="7"/>
  <c r="AJ47" i="12"/>
  <c r="AJ71" i="12" s="1"/>
  <c r="AK109" i="7"/>
  <c r="AK111" i="7" s="1"/>
  <c r="AL114" i="7"/>
  <c r="AL116" i="7" s="1"/>
  <c r="AK48" i="12"/>
  <c r="AK72" i="12" s="1"/>
  <c r="AO11" i="10"/>
  <c r="AO8" i="12"/>
  <c r="AO40" i="7"/>
  <c r="AQ47" i="7"/>
  <c r="AQ14" i="10" s="1"/>
  <c r="AQ7" i="7"/>
  <c r="AQ16" i="7"/>
  <c r="AQ21" i="7"/>
  <c r="AQ11" i="7"/>
  <c r="AQ34" i="7"/>
  <c r="AQ37" i="7"/>
  <c r="AP39" i="7"/>
  <c r="AS6" i="6"/>
  <c r="AR9" i="6"/>
  <c r="AR19" i="6"/>
  <c r="AR14" i="6"/>
  <c r="AR5" i="6"/>
  <c r="R91" i="11" l="1"/>
  <c r="AB91" i="11"/>
  <c r="AD91" i="11"/>
  <c r="W91" i="11"/>
  <c r="N91" i="11"/>
  <c r="T91" i="11"/>
  <c r="P91" i="11"/>
  <c r="Y91" i="11"/>
  <c r="M91" i="11"/>
  <c r="Z91" i="11"/>
  <c r="AA91" i="11"/>
  <c r="S91" i="11"/>
  <c r="X91" i="11"/>
  <c r="AC91" i="11"/>
  <c r="Q91" i="11"/>
  <c r="V91" i="11"/>
  <c r="U91" i="11"/>
  <c r="O91" i="11"/>
  <c r="Z73" i="11"/>
  <c r="Q73" i="11"/>
  <c r="T73" i="11"/>
  <c r="AB73" i="11"/>
  <c r="U73" i="11"/>
  <c r="AC73" i="11"/>
  <c r="W73" i="11"/>
  <c r="R73" i="11"/>
  <c r="V73" i="11"/>
  <c r="AA73" i="11"/>
  <c r="O73" i="11"/>
  <c r="S73" i="11"/>
  <c r="Y73" i="11"/>
  <c r="P73" i="11"/>
  <c r="M73" i="11"/>
  <c r="X73" i="11"/>
  <c r="N73" i="11"/>
  <c r="AP63" i="13"/>
  <c r="AP97" i="7"/>
  <c r="AP50" i="10"/>
  <c r="AQ11" i="11"/>
  <c r="AP62" i="13"/>
  <c r="AP96" i="7"/>
  <c r="AQ109" i="11"/>
  <c r="AQ10" i="11"/>
  <c r="AQ46" i="13"/>
  <c r="AQ34" i="10"/>
  <c r="AQ37" i="10" s="1"/>
  <c r="AQ47" i="13" s="1"/>
  <c r="AQ91" i="11"/>
  <c r="AQ12" i="11" s="1"/>
  <c r="AE109" i="11"/>
  <c r="AE12" i="11" s="1"/>
  <c r="Y109" i="11"/>
  <c r="V109" i="11"/>
  <c r="AA109" i="11"/>
  <c r="M109" i="11"/>
  <c r="X109" i="11"/>
  <c r="S109" i="11"/>
  <c r="Q109" i="11"/>
  <c r="Z109" i="11"/>
  <c r="T109" i="11"/>
  <c r="P109" i="11"/>
  <c r="W109" i="11"/>
  <c r="AC109" i="11"/>
  <c r="N109" i="11"/>
  <c r="AB109" i="11"/>
  <c r="O109" i="11"/>
  <c r="AD109" i="11"/>
  <c r="U109" i="11"/>
  <c r="R109" i="11"/>
  <c r="AP61" i="13"/>
  <c r="AP95" i="7"/>
  <c r="AP68" i="12"/>
  <c r="AM114" i="7"/>
  <c r="AM116" i="7" s="1"/>
  <c r="AL48" i="12"/>
  <c r="AL72" i="12" s="1"/>
  <c r="AK47" i="12"/>
  <c r="AK71" i="12" s="1"/>
  <c r="AL109" i="7"/>
  <c r="AL111" i="7" s="1"/>
  <c r="AP11" i="10"/>
  <c r="AP8" i="12"/>
  <c r="AP40" i="7"/>
  <c r="AT6" i="6"/>
  <c r="AS14" i="6"/>
  <c r="AS9" i="6"/>
  <c r="AS19" i="6"/>
  <c r="AS5" i="6"/>
  <c r="AQ68" i="12" l="1"/>
  <c r="AQ97" i="7"/>
  <c r="AQ63" i="13"/>
  <c r="AQ50" i="10"/>
  <c r="M111" i="11"/>
  <c r="N106" i="11" s="1"/>
  <c r="M114" i="11"/>
  <c r="AQ61" i="13"/>
  <c r="AQ95" i="7"/>
  <c r="AD12" i="11"/>
  <c r="M78" i="11"/>
  <c r="M75" i="11"/>
  <c r="N70" i="11" s="1"/>
  <c r="AC12" i="11"/>
  <c r="M93" i="11"/>
  <c r="N88" i="11" s="1"/>
  <c r="M96" i="11"/>
  <c r="AE97" i="7"/>
  <c r="AE63" i="13"/>
  <c r="AE50" i="10"/>
  <c r="AE68" i="12"/>
  <c r="AQ62" i="13"/>
  <c r="AQ96" i="7"/>
  <c r="AL47" i="12"/>
  <c r="AL71" i="12" s="1"/>
  <c r="AM109" i="7"/>
  <c r="AM111" i="7" s="1"/>
  <c r="AN114" i="7"/>
  <c r="AN116" i="7" s="1"/>
  <c r="AM48" i="12"/>
  <c r="AM72" i="12" s="1"/>
  <c r="AU6" i="6"/>
  <c r="AT19" i="6"/>
  <c r="AT9" i="6"/>
  <c r="AT14" i="6"/>
  <c r="AT5" i="6"/>
  <c r="N96" i="11" l="1"/>
  <c r="N93" i="11"/>
  <c r="O88" i="11" s="1"/>
  <c r="AC68" i="12"/>
  <c r="AC97" i="7"/>
  <c r="AC50" i="10"/>
  <c r="AC63" i="13"/>
  <c r="N78" i="11"/>
  <c r="N75" i="11"/>
  <c r="O70" i="11" s="1"/>
  <c r="N114" i="11"/>
  <c r="N111" i="11"/>
  <c r="O106" i="11" s="1"/>
  <c r="AD63" i="13"/>
  <c r="AD68" i="12"/>
  <c r="AD50" i="10"/>
  <c r="AD97" i="7"/>
  <c r="AO114" i="7"/>
  <c r="AO116" i="7" s="1"/>
  <c r="AN48" i="12"/>
  <c r="AN72" i="12" s="1"/>
  <c r="AM47" i="12"/>
  <c r="AM71" i="12" s="1"/>
  <c r="AN109" i="7"/>
  <c r="AN111" i="7" s="1"/>
  <c r="AU14" i="6"/>
  <c r="AU9" i="6"/>
  <c r="AU19" i="6"/>
  <c r="AU5" i="6"/>
  <c r="AV6" i="6"/>
  <c r="O78" i="11" l="1"/>
  <c r="O75" i="11"/>
  <c r="P70" i="11" s="1"/>
  <c r="O114" i="11"/>
  <c r="O111" i="11"/>
  <c r="P106" i="11" s="1"/>
  <c r="O96" i="11"/>
  <c r="O93" i="11"/>
  <c r="P88" i="11" s="1"/>
  <c r="AN47" i="12"/>
  <c r="AN71" i="12" s="1"/>
  <c r="AO109" i="7"/>
  <c r="AO111" i="7" s="1"/>
  <c r="AP114" i="7"/>
  <c r="AP116" i="7" s="1"/>
  <c r="AO48" i="12"/>
  <c r="AO72" i="12" s="1"/>
  <c r="AV9" i="6"/>
  <c r="AW6" i="6"/>
  <c r="P96" i="11" l="1"/>
  <c r="P93" i="11"/>
  <c r="Q88" i="11" s="1"/>
  <c r="P114" i="11"/>
  <c r="P111" i="11"/>
  <c r="Q106" i="11" s="1"/>
  <c r="P78" i="11"/>
  <c r="P75" i="11"/>
  <c r="Q70" i="11" s="1"/>
  <c r="AQ114" i="7"/>
  <c r="AQ116" i="7" s="1"/>
  <c r="AQ48" i="12" s="1"/>
  <c r="AP48" i="12"/>
  <c r="AP72" i="12" s="1"/>
  <c r="AO47" i="12"/>
  <c r="AO71" i="12" s="1"/>
  <c r="AP109" i="7"/>
  <c r="AP111" i="7" s="1"/>
  <c r="AW9" i="6"/>
  <c r="AX6" i="6"/>
  <c r="Q78" i="11" l="1"/>
  <c r="Q75" i="11"/>
  <c r="R70" i="11" s="1"/>
  <c r="Q96" i="11"/>
  <c r="Q93" i="11"/>
  <c r="R88" i="11" s="1"/>
  <c r="Q114" i="11"/>
  <c r="Q111" i="11"/>
  <c r="R106" i="11" s="1"/>
  <c r="AQ72" i="12"/>
  <c r="AP47" i="12"/>
  <c r="AP71" i="12" s="1"/>
  <c r="AQ109" i="7"/>
  <c r="AQ111" i="7" s="1"/>
  <c r="AQ47" i="12" s="1"/>
  <c r="AX9" i="6"/>
  <c r="AY6" i="6"/>
  <c r="R114" i="11" l="1"/>
  <c r="R111" i="11"/>
  <c r="S106" i="11" s="1"/>
  <c r="R96" i="11"/>
  <c r="R93" i="11"/>
  <c r="S88" i="11" s="1"/>
  <c r="R78" i="11"/>
  <c r="R75" i="11"/>
  <c r="S70" i="11" s="1"/>
  <c r="AQ71" i="12"/>
  <c r="AY9" i="6"/>
  <c r="AZ6" i="6"/>
  <c r="S96" i="11" l="1"/>
  <c r="S93" i="11"/>
  <c r="T88" i="11" s="1"/>
  <c r="S114" i="11"/>
  <c r="S111" i="11"/>
  <c r="T106" i="11" s="1"/>
  <c r="S78" i="11"/>
  <c r="S75" i="11"/>
  <c r="T70" i="11" s="1"/>
  <c r="AZ9" i="6"/>
  <c r="BA6" i="6"/>
  <c r="M51" i="2"/>
  <c r="AG8" i="6"/>
  <c r="L51" i="2"/>
  <c r="T114" i="11" l="1"/>
  <c r="T111" i="11"/>
  <c r="U106" i="11" s="1"/>
  <c r="T96" i="11"/>
  <c r="T93" i="11"/>
  <c r="U88" i="11" s="1"/>
  <c r="T78" i="11"/>
  <c r="T75" i="11"/>
  <c r="U70" i="11" s="1"/>
  <c r="BA9" i="6"/>
  <c r="BB6" i="6"/>
  <c r="AG18" i="6"/>
  <c r="AG20" i="7" s="1"/>
  <c r="AG22" i="7" s="1"/>
  <c r="AG10" i="7"/>
  <c r="AG13" i="6"/>
  <c r="AH8" i="6"/>
  <c r="AQ36" i="7"/>
  <c r="AQ30" i="7"/>
  <c r="AQ33" i="7"/>
  <c r="U96" i="11" l="1"/>
  <c r="U93" i="11"/>
  <c r="V88" i="11" s="1"/>
  <c r="U114" i="11"/>
  <c r="U111" i="11"/>
  <c r="V106" i="11" s="1"/>
  <c r="U78" i="11"/>
  <c r="U75" i="11"/>
  <c r="V70" i="11" s="1"/>
  <c r="AG12" i="7"/>
  <c r="AQ39" i="7"/>
  <c r="BB9" i="6"/>
  <c r="BC6" i="6"/>
  <c r="BC9" i="6" s="1"/>
  <c r="AH18" i="6"/>
  <c r="AH20" i="7" s="1"/>
  <c r="AH22" i="7" s="1"/>
  <c r="AH10" i="7"/>
  <c r="AI8" i="6"/>
  <c r="AG15" i="7"/>
  <c r="AG17" i="7" s="1"/>
  <c r="AH13" i="6"/>
  <c r="AG21" i="6"/>
  <c r="AG22" i="6" s="1"/>
  <c r="AG50" i="7" s="1"/>
  <c r="V114" i="11" l="1"/>
  <c r="V111" i="11"/>
  <c r="W106" i="11" s="1"/>
  <c r="V96" i="11"/>
  <c r="V93" i="11"/>
  <c r="W88" i="11" s="1"/>
  <c r="V78" i="11"/>
  <c r="V75" i="11"/>
  <c r="W70" i="11" s="1"/>
  <c r="AQ11" i="10"/>
  <c r="AQ8" i="12"/>
  <c r="AG24" i="7"/>
  <c r="AG7" i="12" s="1"/>
  <c r="AG9" i="12" s="1"/>
  <c r="AQ40" i="7"/>
  <c r="AG26" i="7"/>
  <c r="AG51" i="7" s="1"/>
  <c r="AG52" i="7" s="1"/>
  <c r="AG13" i="12" s="1"/>
  <c r="AH12" i="7"/>
  <c r="AI18" i="6"/>
  <c r="AI20" i="7" s="1"/>
  <c r="AI22" i="7" s="1"/>
  <c r="AH15" i="7"/>
  <c r="AH17" i="7" s="1"/>
  <c r="AI13" i="6"/>
  <c r="AI10" i="7"/>
  <c r="AJ8" i="6"/>
  <c r="AH21" i="6"/>
  <c r="AH22" i="6" s="1"/>
  <c r="AH50" i="7" s="1"/>
  <c r="W114" i="11" l="1"/>
  <c r="W111" i="11"/>
  <c r="X106" i="11" s="1"/>
  <c r="W78" i="11"/>
  <c r="W75" i="11"/>
  <c r="X70" i="11" s="1"/>
  <c r="W96" i="11"/>
  <c r="W93" i="11"/>
  <c r="X88" i="11" s="1"/>
  <c r="AG14" i="12"/>
  <c r="AG68" i="7"/>
  <c r="AG25" i="7"/>
  <c r="AG62" i="7"/>
  <c r="AG10" i="10"/>
  <c r="AG12" i="10" s="1"/>
  <c r="AG36" i="13" s="1"/>
  <c r="AG37" i="13" s="1"/>
  <c r="AG15" i="10"/>
  <c r="AG16" i="10" s="1"/>
  <c r="AH24" i="7"/>
  <c r="AH7" i="12" s="1"/>
  <c r="AH9" i="12" s="1"/>
  <c r="AI12" i="7"/>
  <c r="AH26" i="7"/>
  <c r="AH51" i="7" s="1"/>
  <c r="AH52" i="7" s="1"/>
  <c r="AH13" i="12" s="1"/>
  <c r="AJ18" i="6"/>
  <c r="AJ20" i="7" s="1"/>
  <c r="AJ22" i="7" s="1"/>
  <c r="AI21" i="6"/>
  <c r="AI22" i="6" s="1"/>
  <c r="AI50" i="7" s="1"/>
  <c r="AJ10" i="7"/>
  <c r="AK8" i="6"/>
  <c r="AI15" i="7"/>
  <c r="AI17" i="7" s="1"/>
  <c r="AJ13" i="6"/>
  <c r="X96" i="11" l="1"/>
  <c r="X93" i="11"/>
  <c r="Y88" i="11" s="1"/>
  <c r="X78" i="11"/>
  <c r="X75" i="11"/>
  <c r="Y70" i="11" s="1"/>
  <c r="X114" i="11"/>
  <c r="X111" i="11"/>
  <c r="Y106" i="11" s="1"/>
  <c r="AH66" i="7"/>
  <c r="AG41" i="12"/>
  <c r="AH14" i="12"/>
  <c r="AG61" i="7"/>
  <c r="AG32" i="12"/>
  <c r="AG59" i="12" s="1"/>
  <c r="AG67" i="7"/>
  <c r="AH60" i="7"/>
  <c r="AH68" i="7"/>
  <c r="AG18" i="10"/>
  <c r="AG39" i="13" s="1"/>
  <c r="AH10" i="10"/>
  <c r="AH12" i="10" s="1"/>
  <c r="AH36" i="13" s="1"/>
  <c r="AH37" i="13" s="1"/>
  <c r="AH62" i="7"/>
  <c r="AH15" i="10"/>
  <c r="AH16" i="10" s="1"/>
  <c r="AI24" i="7"/>
  <c r="AH25" i="7"/>
  <c r="AJ12" i="7"/>
  <c r="AI26" i="7"/>
  <c r="AI51" i="7" s="1"/>
  <c r="AI52" i="7" s="1"/>
  <c r="AI13" i="12" s="1"/>
  <c r="AK18" i="6"/>
  <c r="AL18" i="6" s="1"/>
  <c r="AJ15" i="7"/>
  <c r="AJ17" i="7" s="1"/>
  <c r="AK13" i="6"/>
  <c r="AK10" i="7"/>
  <c r="AL8" i="6"/>
  <c r="AJ21" i="6"/>
  <c r="AJ22" i="6" s="1"/>
  <c r="AJ50" i="7" s="1"/>
  <c r="Y114" i="11" l="1"/>
  <c r="Y111" i="11"/>
  <c r="Z106" i="11" s="1"/>
  <c r="Y78" i="11"/>
  <c r="Y75" i="11"/>
  <c r="Z70" i="11" s="1"/>
  <c r="Y96" i="11"/>
  <c r="Y93" i="11"/>
  <c r="Z88" i="11" s="1"/>
  <c r="AG40" i="13"/>
  <c r="AG42" i="12"/>
  <c r="AG60" i="12"/>
  <c r="AG19" i="10"/>
  <c r="AI66" i="7"/>
  <c r="AH41" i="12"/>
  <c r="AG21" i="10"/>
  <c r="AI60" i="7"/>
  <c r="AH32" i="12"/>
  <c r="AH59" i="12" s="1"/>
  <c r="AH67" i="7"/>
  <c r="AI68" i="7"/>
  <c r="AI62" i="7"/>
  <c r="AI7" i="12"/>
  <c r="AI9" i="12" s="1"/>
  <c r="AI14" i="12" s="1"/>
  <c r="AH18" i="10"/>
  <c r="AH39" i="13" s="1"/>
  <c r="AH40" i="13" s="1"/>
  <c r="AH61" i="7"/>
  <c r="AI15" i="10"/>
  <c r="AI16" i="10" s="1"/>
  <c r="AI25" i="7"/>
  <c r="AI10" i="10"/>
  <c r="AI12" i="10" s="1"/>
  <c r="AI36" i="13" s="1"/>
  <c r="AI37" i="13" s="1"/>
  <c r="AJ24" i="7"/>
  <c r="AJ7" i="12" s="1"/>
  <c r="AJ9" i="12" s="1"/>
  <c r="AK12" i="7"/>
  <c r="AJ26" i="7"/>
  <c r="AJ51" i="7" s="1"/>
  <c r="AJ52" i="7" s="1"/>
  <c r="AJ13" i="12" s="1"/>
  <c r="AK20" i="7"/>
  <c r="AK22" i="7" s="1"/>
  <c r="AK21" i="6"/>
  <c r="AK22" i="6" s="1"/>
  <c r="AK50" i="7" s="1"/>
  <c r="AL20" i="7"/>
  <c r="AL22" i="7" s="1"/>
  <c r="AM18" i="6"/>
  <c r="AK15" i="7"/>
  <c r="AK17" i="7" s="1"/>
  <c r="AL13" i="6"/>
  <c r="AL21" i="6" s="1"/>
  <c r="AL22" i="6" s="1"/>
  <c r="AL50" i="7" s="1"/>
  <c r="AL10" i="7"/>
  <c r="AM8" i="6"/>
  <c r="Z96" i="11" l="1"/>
  <c r="Z93" i="11"/>
  <c r="AA88" i="11" s="1"/>
  <c r="Z78" i="11"/>
  <c r="Z75" i="11"/>
  <c r="AA70" i="11" s="1"/>
  <c r="Z114" i="11"/>
  <c r="Z111" i="11"/>
  <c r="AA106" i="11" s="1"/>
  <c r="AG22" i="10"/>
  <c r="AG29" i="10" s="1"/>
  <c r="AG40" i="10" s="1"/>
  <c r="AG42" i="13"/>
  <c r="AH42" i="12"/>
  <c r="AH60" i="12"/>
  <c r="AH19" i="10"/>
  <c r="AJ66" i="7"/>
  <c r="AI41" i="12"/>
  <c r="AJ60" i="7"/>
  <c r="AI32" i="12"/>
  <c r="AI59" i="12" s="1"/>
  <c r="AJ14" i="12"/>
  <c r="AH21" i="10"/>
  <c r="AJ68" i="7"/>
  <c r="AI67" i="7"/>
  <c r="AI61" i="7"/>
  <c r="AJ10" i="10"/>
  <c r="AJ12" i="10" s="1"/>
  <c r="AJ36" i="13" s="1"/>
  <c r="AJ37" i="13" s="1"/>
  <c r="AJ62" i="7"/>
  <c r="AJ32" i="12" s="1"/>
  <c r="AJ15" i="10"/>
  <c r="AJ16" i="10" s="1"/>
  <c r="AI18" i="10"/>
  <c r="AI39" i="13" s="1"/>
  <c r="AJ25" i="7"/>
  <c r="AK24" i="7"/>
  <c r="AK7" i="12" s="1"/>
  <c r="AK9" i="12" s="1"/>
  <c r="AK26" i="7"/>
  <c r="AK51" i="7" s="1"/>
  <c r="AK52" i="7" s="1"/>
  <c r="AK13" i="12" s="1"/>
  <c r="AL12" i="7"/>
  <c r="AM10" i="7"/>
  <c r="AN8" i="6"/>
  <c r="AL15" i="7"/>
  <c r="AL17" i="7" s="1"/>
  <c r="AM13" i="6"/>
  <c r="AM20" i="7"/>
  <c r="AM22" i="7" s="1"/>
  <c r="AN18" i="6"/>
  <c r="AA114" i="11" l="1"/>
  <c r="AA111" i="11"/>
  <c r="AB106" i="11" s="1"/>
  <c r="AA78" i="11"/>
  <c r="AA75" i="11"/>
  <c r="AB70" i="11" s="1"/>
  <c r="AA96" i="11"/>
  <c r="AA93" i="11"/>
  <c r="AB88" i="11" s="1"/>
  <c r="AI40" i="13"/>
  <c r="AH22" i="10"/>
  <c r="AH29" i="10" s="1"/>
  <c r="AH40" i="10" s="1"/>
  <c r="AH42" i="13"/>
  <c r="AI42" i="12"/>
  <c r="AI60" i="12"/>
  <c r="AJ59" i="12"/>
  <c r="AK66" i="7"/>
  <c r="AJ41" i="12"/>
  <c r="AI21" i="10"/>
  <c r="AK14" i="12"/>
  <c r="AJ67" i="7"/>
  <c r="AK68" i="7"/>
  <c r="AJ18" i="10"/>
  <c r="AJ39" i="13" s="1"/>
  <c r="AI19" i="10"/>
  <c r="AK10" i="10"/>
  <c r="AK12" i="10" s="1"/>
  <c r="AK36" i="13" s="1"/>
  <c r="AK37" i="13" s="1"/>
  <c r="AK62" i="7"/>
  <c r="AJ61" i="7"/>
  <c r="AK60" i="7"/>
  <c r="AK15" i="10"/>
  <c r="AK16" i="10" s="1"/>
  <c r="AK25" i="7"/>
  <c r="AL24" i="7"/>
  <c r="AL7" i="12" s="1"/>
  <c r="AL9" i="12" s="1"/>
  <c r="AL26" i="7"/>
  <c r="AL51" i="7" s="1"/>
  <c r="AL52" i="7" s="1"/>
  <c r="AL13" i="12" s="1"/>
  <c r="AM12" i="7"/>
  <c r="AO18" i="6"/>
  <c r="AN20" i="7"/>
  <c r="AN22" i="7" s="1"/>
  <c r="AM15" i="7"/>
  <c r="AM17" i="7" s="1"/>
  <c r="AN13" i="6"/>
  <c r="AN21" i="6" s="1"/>
  <c r="AN22" i="6" s="1"/>
  <c r="AN50" i="7" s="1"/>
  <c r="AN10" i="7"/>
  <c r="AO8" i="6"/>
  <c r="AM21" i="6"/>
  <c r="AM22" i="6" s="1"/>
  <c r="AM50" i="7" s="1"/>
  <c r="AB96" i="11" l="1"/>
  <c r="AB93" i="11"/>
  <c r="AC88" i="11" s="1"/>
  <c r="AB78" i="11"/>
  <c r="AB75" i="11"/>
  <c r="AC70" i="11" s="1"/>
  <c r="AB114" i="11"/>
  <c r="AB111" i="11"/>
  <c r="AC106" i="11" s="1"/>
  <c r="AI22" i="10"/>
  <c r="AI29" i="10" s="1"/>
  <c r="AI40" i="10" s="1"/>
  <c r="AI42" i="13"/>
  <c r="AJ40" i="13"/>
  <c r="AJ42" i="12"/>
  <c r="AJ60" i="12"/>
  <c r="AJ19" i="10"/>
  <c r="AL66" i="7"/>
  <c r="AK41" i="12"/>
  <c r="AL60" i="7"/>
  <c r="AK32" i="12"/>
  <c r="AK59" i="12" s="1"/>
  <c r="AL14" i="12"/>
  <c r="AJ21" i="10"/>
  <c r="AK67" i="7"/>
  <c r="AL68" i="7"/>
  <c r="AK61" i="7"/>
  <c r="AK18" i="10"/>
  <c r="AK39" i="13" s="1"/>
  <c r="AL10" i="10"/>
  <c r="AL12" i="10" s="1"/>
  <c r="AL36" i="13" s="1"/>
  <c r="AL37" i="13" s="1"/>
  <c r="AL62" i="7"/>
  <c r="AL32" i="12" s="1"/>
  <c r="AL15" i="10"/>
  <c r="AL16" i="10" s="1"/>
  <c r="AM24" i="7"/>
  <c r="AL25" i="7"/>
  <c r="AN12" i="7"/>
  <c r="AM26" i="7"/>
  <c r="AM51" i="7" s="1"/>
  <c r="AM52" i="7" s="1"/>
  <c r="AM13" i="12" s="1"/>
  <c r="AO10" i="7"/>
  <c r="AP8" i="6"/>
  <c r="AN15" i="7"/>
  <c r="AN17" i="7" s="1"/>
  <c r="AO13" i="6"/>
  <c r="AO20" i="7"/>
  <c r="AO22" i="7" s="1"/>
  <c r="AP18" i="6"/>
  <c r="AC114" i="11" l="1"/>
  <c r="AC111" i="11"/>
  <c r="AD106" i="11" s="1"/>
  <c r="AC78" i="11"/>
  <c r="AC75" i="11"/>
  <c r="AD70" i="11" s="1"/>
  <c r="AC96" i="11"/>
  <c r="AC93" i="11"/>
  <c r="AD88" i="11" s="1"/>
  <c r="AJ22" i="10"/>
  <c r="AJ29" i="10" s="1"/>
  <c r="AJ40" i="10" s="1"/>
  <c r="AJ42" i="13"/>
  <c r="AK40" i="13"/>
  <c r="AK42" i="12"/>
  <c r="AK60" i="12"/>
  <c r="AL59" i="12"/>
  <c r="AM66" i="7"/>
  <c r="AL41" i="12"/>
  <c r="AL67" i="7"/>
  <c r="AK21" i="10"/>
  <c r="AM68" i="7"/>
  <c r="AM62" i="7"/>
  <c r="AM7" i="12"/>
  <c r="AM9" i="12" s="1"/>
  <c r="AM14" i="12" s="1"/>
  <c r="AL18" i="10"/>
  <c r="AL39" i="13" s="1"/>
  <c r="AK19" i="10"/>
  <c r="AL61" i="7"/>
  <c r="AM60" i="7"/>
  <c r="AN24" i="7"/>
  <c r="AM15" i="10"/>
  <c r="AM16" i="10" s="1"/>
  <c r="AM25" i="7"/>
  <c r="AM10" i="10"/>
  <c r="AM12" i="10" s="1"/>
  <c r="AM36" i="13" s="1"/>
  <c r="AM37" i="13" s="1"/>
  <c r="AO12" i="7"/>
  <c r="AN26" i="7"/>
  <c r="AN51" i="7" s="1"/>
  <c r="AN52" i="7" s="1"/>
  <c r="AN13" i="12" s="1"/>
  <c r="AQ18" i="6"/>
  <c r="AP20" i="7"/>
  <c r="AP22" i="7" s="1"/>
  <c r="AP10" i="7"/>
  <c r="AQ8" i="6"/>
  <c r="AO15" i="7"/>
  <c r="AO17" i="7" s="1"/>
  <c r="AP13" i="6"/>
  <c r="AO21" i="6"/>
  <c r="AO22" i="6" s="1"/>
  <c r="AO50" i="7" s="1"/>
  <c r="AD96" i="11" l="1"/>
  <c r="AD93" i="11"/>
  <c r="AE88" i="11" s="1"/>
  <c r="AD78" i="11"/>
  <c r="AD75" i="11"/>
  <c r="AE70" i="11" s="1"/>
  <c r="AD114" i="11"/>
  <c r="AD111" i="11"/>
  <c r="AE106" i="11" s="1"/>
  <c r="AL21" i="10"/>
  <c r="AL42" i="13" s="1"/>
  <c r="AK22" i="10"/>
  <c r="AK29" i="10" s="1"/>
  <c r="AK40" i="10" s="1"/>
  <c r="AK42" i="13"/>
  <c r="AL40" i="13"/>
  <c r="AL42" i="12"/>
  <c r="AL60" i="12"/>
  <c r="AL19" i="10"/>
  <c r="AN66" i="7"/>
  <c r="AM41" i="12"/>
  <c r="AN60" i="7"/>
  <c r="AM32" i="12"/>
  <c r="AM59" i="12" s="1"/>
  <c r="AM61" i="7"/>
  <c r="AM67" i="7"/>
  <c r="AN68" i="7"/>
  <c r="AN41" i="12" s="1"/>
  <c r="AN25" i="7"/>
  <c r="AN7" i="12"/>
  <c r="AN9" i="12" s="1"/>
  <c r="AN14" i="12" s="1"/>
  <c r="AN10" i="10"/>
  <c r="AN12" i="10" s="1"/>
  <c r="AN36" i="13" s="1"/>
  <c r="AN37" i="13" s="1"/>
  <c r="AN62" i="7"/>
  <c r="AN32" i="12" s="1"/>
  <c r="AN15" i="10"/>
  <c r="AN16" i="10" s="1"/>
  <c r="AM18" i="10"/>
  <c r="AM39" i="13" s="1"/>
  <c r="AO24" i="7"/>
  <c r="AO7" i="12" s="1"/>
  <c r="AO9" i="12" s="1"/>
  <c r="AP12" i="7"/>
  <c r="AO26" i="7"/>
  <c r="AO51" i="7" s="1"/>
  <c r="AO52" i="7" s="1"/>
  <c r="AO13" i="12" s="1"/>
  <c r="AQ13" i="6"/>
  <c r="AQ21" i="6" s="1"/>
  <c r="AQ22" i="6" s="1"/>
  <c r="AQ50" i="7" s="1"/>
  <c r="AP15" i="7"/>
  <c r="AP17" i="7" s="1"/>
  <c r="AR8" i="6"/>
  <c r="AQ10" i="7"/>
  <c r="AP21" i="6"/>
  <c r="AP22" i="6" s="1"/>
  <c r="AP50" i="7" s="1"/>
  <c r="AQ20" i="7"/>
  <c r="AQ22" i="7" s="1"/>
  <c r="AR18" i="6"/>
  <c r="AS18" i="6" s="1"/>
  <c r="AT18" i="6" s="1"/>
  <c r="AU18" i="6" s="1"/>
  <c r="AL22" i="10" l="1"/>
  <c r="AL29" i="10" s="1"/>
  <c r="AL40" i="10" s="1"/>
  <c r="AE114" i="11"/>
  <c r="AE111" i="11"/>
  <c r="AF106" i="11" s="1"/>
  <c r="AE78" i="11"/>
  <c r="AE75" i="11"/>
  <c r="AF70" i="11" s="1"/>
  <c r="AE96" i="11"/>
  <c r="AE93" i="11"/>
  <c r="AF88" i="11" s="1"/>
  <c r="AM40" i="13"/>
  <c r="AN59" i="12"/>
  <c r="AN42" i="12"/>
  <c r="AN60" i="12"/>
  <c r="AM42" i="12"/>
  <c r="AM60" i="12"/>
  <c r="AO66" i="7"/>
  <c r="AN67" i="7"/>
  <c r="AM21" i="10"/>
  <c r="AO14" i="12"/>
  <c r="AO68" i="7"/>
  <c r="AN18" i="10"/>
  <c r="AN39" i="13" s="1"/>
  <c r="AN40" i="13" s="1"/>
  <c r="AM19" i="10"/>
  <c r="AO10" i="10"/>
  <c r="AO12" i="10" s="1"/>
  <c r="AO36" i="13" s="1"/>
  <c r="AO37" i="13" s="1"/>
  <c r="AO62" i="7"/>
  <c r="AO32" i="12" s="1"/>
  <c r="AO59" i="12" s="1"/>
  <c r="AN61" i="7"/>
  <c r="AO60" i="7"/>
  <c r="AO15" i="10"/>
  <c r="AO16" i="10" s="1"/>
  <c r="AO25" i="7"/>
  <c r="AP24" i="7"/>
  <c r="AP7" i="12" s="1"/>
  <c r="AP9" i="12" s="1"/>
  <c r="AQ12" i="7"/>
  <c r="AP26" i="7"/>
  <c r="AP51" i="7" s="1"/>
  <c r="AP52" i="7" s="1"/>
  <c r="AP13" i="12" s="1"/>
  <c r="AS8" i="6"/>
  <c r="AR13" i="6"/>
  <c r="AS13" i="6" s="1"/>
  <c r="AT13" i="6" s="1"/>
  <c r="AU13" i="6" s="1"/>
  <c r="AQ15" i="7"/>
  <c r="AQ17" i="7" s="1"/>
  <c r="AF78" i="11" l="1"/>
  <c r="AF75" i="11"/>
  <c r="AG70" i="11" s="1"/>
  <c r="AN21" i="10"/>
  <c r="AN42" i="13" s="1"/>
  <c r="AF114" i="11"/>
  <c r="AF111" i="11"/>
  <c r="AG106" i="11" s="1"/>
  <c r="AF96" i="11"/>
  <c r="AF93" i="11"/>
  <c r="AG88" i="11" s="1"/>
  <c r="AM22" i="10"/>
  <c r="AM29" i="10" s="1"/>
  <c r="AM40" i="10" s="1"/>
  <c r="AM42" i="13"/>
  <c r="AN19" i="10"/>
  <c r="AN22" i="10"/>
  <c r="AN29" i="10" s="1"/>
  <c r="AN40" i="10" s="1"/>
  <c r="AP66" i="7"/>
  <c r="AO41" i="12"/>
  <c r="AP14" i="12"/>
  <c r="AP68" i="7"/>
  <c r="AO67" i="7"/>
  <c r="AO18" i="10"/>
  <c r="AO39" i="13" s="1"/>
  <c r="AO61" i="7"/>
  <c r="AP60" i="7"/>
  <c r="AP10" i="10"/>
  <c r="AP12" i="10" s="1"/>
  <c r="AP36" i="13" s="1"/>
  <c r="AP37" i="13" s="1"/>
  <c r="AP62" i="7"/>
  <c r="AP15" i="10"/>
  <c r="AP16" i="10" s="1"/>
  <c r="AP25" i="7"/>
  <c r="AQ24" i="7"/>
  <c r="AQ7" i="12" s="1"/>
  <c r="AQ9" i="12" s="1"/>
  <c r="AQ26" i="7"/>
  <c r="AQ51" i="7" s="1"/>
  <c r="AQ52" i="7" s="1"/>
  <c r="AQ13" i="12" s="1"/>
  <c r="AT8" i="6"/>
  <c r="AS21" i="6"/>
  <c r="AR21" i="6"/>
  <c r="AG96" i="11" l="1"/>
  <c r="AG93" i="11"/>
  <c r="AH88" i="11" s="1"/>
  <c r="AG114" i="11"/>
  <c r="AG111" i="11"/>
  <c r="AH106" i="11" s="1"/>
  <c r="AO21" i="10"/>
  <c r="AO42" i="13" s="1"/>
  <c r="AG78" i="11"/>
  <c r="AG75" i="11"/>
  <c r="AH70" i="11" s="1"/>
  <c r="AO40" i="13"/>
  <c r="AO42" i="12"/>
  <c r="AO60" i="12"/>
  <c r="AO19" i="10"/>
  <c r="AQ66" i="7"/>
  <c r="AP41" i="12"/>
  <c r="AQ14" i="12"/>
  <c r="AQ60" i="7"/>
  <c r="AP32" i="12"/>
  <c r="AP59" i="12" s="1"/>
  <c r="AP67" i="7"/>
  <c r="AQ68" i="7"/>
  <c r="AP18" i="10"/>
  <c r="AP39" i="13" s="1"/>
  <c r="AP40" i="13" s="1"/>
  <c r="AP61" i="7"/>
  <c r="AQ10" i="10"/>
  <c r="AQ12" i="10" s="1"/>
  <c r="AQ36" i="13" s="1"/>
  <c r="AQ37" i="13" s="1"/>
  <c r="AQ62" i="7"/>
  <c r="AQ15" i="10"/>
  <c r="AQ16" i="10" s="1"/>
  <c r="AQ25" i="7"/>
  <c r="AT21" i="6"/>
  <c r="AU8" i="6"/>
  <c r="AH78" i="11" l="1"/>
  <c r="AH75" i="11"/>
  <c r="AI70" i="11" s="1"/>
  <c r="AO22" i="10"/>
  <c r="AO29" i="10" s="1"/>
  <c r="AO40" i="10" s="1"/>
  <c r="AH114" i="11"/>
  <c r="AH111" i="11"/>
  <c r="AI106" i="11" s="1"/>
  <c r="AH96" i="11"/>
  <c r="AH93" i="11"/>
  <c r="AI88" i="11" s="1"/>
  <c r="AP42" i="12"/>
  <c r="AP60" i="12"/>
  <c r="AP19" i="10"/>
  <c r="AQ67" i="7"/>
  <c r="AQ41" i="12"/>
  <c r="AP21" i="10"/>
  <c r="AQ61" i="7"/>
  <c r="AQ21" i="10" s="1"/>
  <c r="AQ42" i="13" s="1"/>
  <c r="AQ32" i="12"/>
  <c r="AQ59" i="12" s="1"/>
  <c r="AQ18" i="10"/>
  <c r="AQ39" i="13" s="1"/>
  <c r="AU21" i="6"/>
  <c r="AV8" i="6"/>
  <c r="AI96" i="11" l="1"/>
  <c r="AI93" i="11"/>
  <c r="AJ88" i="11" s="1"/>
  <c r="AI114" i="11"/>
  <c r="AI111" i="11"/>
  <c r="AJ106" i="11" s="1"/>
  <c r="AI78" i="11"/>
  <c r="AI75" i="11"/>
  <c r="AJ70" i="11" s="1"/>
  <c r="AQ40" i="13"/>
  <c r="AP22" i="10"/>
  <c r="AP29" i="10" s="1"/>
  <c r="AP40" i="10" s="1"/>
  <c r="AP42" i="13"/>
  <c r="AQ42" i="12"/>
  <c r="AQ60" i="12"/>
  <c r="AQ19" i="10"/>
  <c r="AQ22" i="10"/>
  <c r="AQ29" i="10" s="1"/>
  <c r="AQ40" i="10" s="1"/>
  <c r="AV21" i="6"/>
  <c r="AW8" i="6"/>
  <c r="AJ78" i="11" l="1"/>
  <c r="AJ75" i="11"/>
  <c r="AK70" i="11" s="1"/>
  <c r="AJ96" i="11"/>
  <c r="AJ93" i="11"/>
  <c r="AK88" i="11" s="1"/>
  <c r="AJ114" i="11"/>
  <c r="AJ111" i="11"/>
  <c r="AK106" i="11" s="1"/>
  <c r="AX8" i="6"/>
  <c r="AW21" i="6"/>
  <c r="AK114" i="11" l="1"/>
  <c r="AK111" i="11"/>
  <c r="AL106" i="11" s="1"/>
  <c r="AK96" i="11"/>
  <c r="AK93" i="11"/>
  <c r="AL88" i="11" s="1"/>
  <c r="AK78" i="11"/>
  <c r="AK75" i="11"/>
  <c r="AL70" i="11" s="1"/>
  <c r="AY8" i="6"/>
  <c r="AX21" i="6"/>
  <c r="AL96" i="11" l="1"/>
  <c r="AL93" i="11"/>
  <c r="AM88" i="11" s="1"/>
  <c r="AL78" i="11"/>
  <c r="AL75" i="11"/>
  <c r="AM70" i="11" s="1"/>
  <c r="AL114" i="11"/>
  <c r="AL111" i="11"/>
  <c r="AM106" i="11" s="1"/>
  <c r="AZ8" i="6"/>
  <c r="AY21" i="6"/>
  <c r="AM78" i="11" l="1"/>
  <c r="AM75" i="11"/>
  <c r="AN70" i="11" s="1"/>
  <c r="AM114" i="11"/>
  <c r="AM111" i="11"/>
  <c r="AN106" i="11" s="1"/>
  <c r="AM96" i="11"/>
  <c r="AM93" i="11"/>
  <c r="AN88" i="11" s="1"/>
  <c r="BA8" i="6"/>
  <c r="AZ21" i="6"/>
  <c r="AN96" i="11" l="1"/>
  <c r="AN93" i="11"/>
  <c r="AO88" i="11" s="1"/>
  <c r="AN114" i="11"/>
  <c r="AN111" i="11"/>
  <c r="AO106" i="11" s="1"/>
  <c r="AN78" i="11"/>
  <c r="AN75" i="11"/>
  <c r="AO70" i="11" s="1"/>
  <c r="BA21" i="6"/>
  <c r="BB8" i="6"/>
  <c r="AO114" i="11" l="1"/>
  <c r="AO111" i="11"/>
  <c r="AP106" i="11" s="1"/>
  <c r="AO96" i="11"/>
  <c r="AO93" i="11"/>
  <c r="AP88" i="11" s="1"/>
  <c r="AO78" i="11"/>
  <c r="AO75" i="11"/>
  <c r="AP70" i="11" s="1"/>
  <c r="BB21" i="6"/>
  <c r="BC8" i="6"/>
  <c r="BC21" i="6" s="1"/>
  <c r="AP96" i="11" l="1"/>
  <c r="AP93" i="11"/>
  <c r="AQ88" i="11" s="1"/>
  <c r="AP114" i="11"/>
  <c r="AP111" i="11"/>
  <c r="AQ106" i="11" s="1"/>
  <c r="AP78" i="11"/>
  <c r="AP75" i="11"/>
  <c r="AQ70" i="11" s="1"/>
  <c r="J75" i="7"/>
  <c r="J78" i="7" s="1"/>
  <c r="I75" i="7"/>
  <c r="AQ114" i="11" l="1"/>
  <c r="AQ111" i="11"/>
  <c r="AQ93" i="11"/>
  <c r="AQ96" i="11"/>
  <c r="AQ78" i="11"/>
  <c r="AQ75" i="11"/>
  <c r="I44" i="10"/>
  <c r="I44" i="13" s="1"/>
  <c r="I78" i="7"/>
  <c r="C10" i="9" s="1"/>
  <c r="J87" i="7"/>
  <c r="J64" i="12" s="1"/>
  <c r="J65" i="12" s="1"/>
  <c r="J44" i="10"/>
  <c r="J44" i="13" s="1"/>
  <c r="K75" i="7"/>
  <c r="K78" i="7" s="1"/>
  <c r="C11" i="9"/>
  <c r="AB11" i="9" l="1"/>
  <c r="AC11" i="9"/>
  <c r="W11" i="9"/>
  <c r="X11" i="9"/>
  <c r="Y11" i="9"/>
  <c r="Z11" i="9"/>
  <c r="AA11" i="9"/>
  <c r="V11" i="9"/>
  <c r="S10" i="9"/>
  <c r="V10" i="9"/>
  <c r="W10" i="9"/>
  <c r="X10" i="9"/>
  <c r="Y10" i="9"/>
  <c r="Z10" i="9"/>
  <c r="AA10" i="9"/>
  <c r="AB10" i="9"/>
  <c r="U10" i="9"/>
  <c r="J10" i="9"/>
  <c r="I87" i="7"/>
  <c r="I64" i="12" s="1"/>
  <c r="I65" i="12" s="1"/>
  <c r="R10" i="9"/>
  <c r="K10" i="9"/>
  <c r="L10" i="9"/>
  <c r="O10" i="9"/>
  <c r="Q10" i="9"/>
  <c r="P10" i="9"/>
  <c r="I10" i="9"/>
  <c r="N10" i="9"/>
  <c r="M10" i="9"/>
  <c r="K87" i="7"/>
  <c r="K64" i="12" s="1"/>
  <c r="K65" i="12" s="1"/>
  <c r="K44" i="10"/>
  <c r="K44" i="13" s="1"/>
  <c r="T11" i="9"/>
  <c r="M11" i="9"/>
  <c r="J11" i="9"/>
  <c r="R11" i="9"/>
  <c r="S11" i="9"/>
  <c r="N11" i="9"/>
  <c r="K11" i="9"/>
  <c r="Q11" i="9"/>
  <c r="O11" i="9"/>
  <c r="P11" i="9"/>
  <c r="L11" i="9"/>
  <c r="L75" i="7"/>
  <c r="L78" i="7" s="1"/>
  <c r="J45" i="9" l="1"/>
  <c r="J81" i="7" s="1"/>
  <c r="J83" i="7" s="1"/>
  <c r="I45" i="9"/>
  <c r="I81" i="7" s="1"/>
  <c r="I83" i="7" s="1"/>
  <c r="T10" i="9"/>
  <c r="AC10" i="9" s="1"/>
  <c r="C12" i="9"/>
  <c r="L87" i="7"/>
  <c r="L64" i="12" s="1"/>
  <c r="L65" i="12" s="1"/>
  <c r="L44" i="10"/>
  <c r="L44" i="13" s="1"/>
  <c r="U11" i="9"/>
  <c r="AD11" i="9" s="1"/>
  <c r="M75" i="7"/>
  <c r="M78" i="7" s="1"/>
  <c r="O75" i="7"/>
  <c r="O78" i="7" s="1"/>
  <c r="P12" i="9" l="1"/>
  <c r="Y12" i="9"/>
  <c r="Z12" i="9"/>
  <c r="AA12" i="9"/>
  <c r="AB12" i="9"/>
  <c r="AC12" i="9"/>
  <c r="AD12" i="9"/>
  <c r="X12" i="9"/>
  <c r="W12" i="9"/>
  <c r="AH10" i="9"/>
  <c r="AI11" i="9"/>
  <c r="AM10" i="9"/>
  <c r="AN11" i="9"/>
  <c r="J88" i="7"/>
  <c r="J16" i="12"/>
  <c r="I82" i="7"/>
  <c r="J82" i="7"/>
  <c r="I88" i="7"/>
  <c r="I89" i="7" s="1"/>
  <c r="I16" i="12"/>
  <c r="C13" i="9"/>
  <c r="L12" i="9"/>
  <c r="R12" i="9"/>
  <c r="S12" i="9"/>
  <c r="Q12" i="9"/>
  <c r="M12" i="9"/>
  <c r="U12" i="9"/>
  <c r="T12" i="9"/>
  <c r="N12" i="9"/>
  <c r="K12" i="9"/>
  <c r="O12" i="9"/>
  <c r="M87" i="7"/>
  <c r="M64" i="12" s="1"/>
  <c r="M65" i="12" s="1"/>
  <c r="M44" i="10"/>
  <c r="M44" i="13" s="1"/>
  <c r="O87" i="7"/>
  <c r="O64" i="12" s="1"/>
  <c r="O65" i="12" s="1"/>
  <c r="O44" i="10"/>
  <c r="O44" i="13" s="1"/>
  <c r="N75" i="7"/>
  <c r="N78" i="7" s="1"/>
  <c r="J17" i="12" l="1"/>
  <c r="J58" i="12"/>
  <c r="I17" i="12"/>
  <c r="I58" i="12"/>
  <c r="R13" i="9"/>
  <c r="AD13" i="9"/>
  <c r="AE13" i="9"/>
  <c r="Y13" i="9"/>
  <c r="Z13" i="9"/>
  <c r="AA13" i="9"/>
  <c r="AB13" i="9"/>
  <c r="AC13" i="9"/>
  <c r="X13" i="9"/>
  <c r="J86" i="7"/>
  <c r="J89" i="7" s="1"/>
  <c r="I36" i="12"/>
  <c r="K45" i="9"/>
  <c r="K81" i="7" s="1"/>
  <c r="K82" i="7" s="1"/>
  <c r="T13" i="9"/>
  <c r="P13" i="9"/>
  <c r="Q13" i="9"/>
  <c r="L13" i="9"/>
  <c r="U13" i="9"/>
  <c r="N13" i="9"/>
  <c r="M13" i="9"/>
  <c r="S13" i="9"/>
  <c r="O13" i="9"/>
  <c r="V13" i="9"/>
  <c r="C14" i="9"/>
  <c r="R14" i="9" s="1"/>
  <c r="C16" i="9"/>
  <c r="V12" i="9"/>
  <c r="AE12" i="9" s="1"/>
  <c r="N87" i="7"/>
  <c r="N64" i="12" s="1"/>
  <c r="N65" i="12" s="1"/>
  <c r="N44" i="10"/>
  <c r="N44" i="13" s="1"/>
  <c r="P75" i="7"/>
  <c r="P78" i="7" s="1"/>
  <c r="C15" i="9"/>
  <c r="I21" i="12" l="1"/>
  <c r="I23" i="12" s="1"/>
  <c r="P16" i="9"/>
  <c r="AB16" i="9"/>
  <c r="AC16" i="9"/>
  <c r="AD16" i="9"/>
  <c r="AE16" i="9"/>
  <c r="AF16" i="9"/>
  <c r="AG16" i="9"/>
  <c r="AH16" i="9"/>
  <c r="AA16" i="9"/>
  <c r="K86" i="7"/>
  <c r="J36" i="12"/>
  <c r="T14" i="9"/>
  <c r="AA14" i="9"/>
  <c r="AB14" i="9"/>
  <c r="AC14" i="9"/>
  <c r="AD14" i="9"/>
  <c r="AE14" i="9"/>
  <c r="AF14" i="9"/>
  <c r="Z14" i="9"/>
  <c r="Y14" i="9"/>
  <c r="AF15" i="9"/>
  <c r="AG15" i="9"/>
  <c r="AA15" i="9"/>
  <c r="AB15" i="9"/>
  <c r="AC15" i="9"/>
  <c r="AD15" i="9"/>
  <c r="AE15" i="9"/>
  <c r="Z15" i="9"/>
  <c r="AJ12" i="9"/>
  <c r="AO12" i="9"/>
  <c r="K83" i="7"/>
  <c r="L45" i="9"/>
  <c r="L81" i="7" s="1"/>
  <c r="L83" i="7" s="1"/>
  <c r="W14" i="9"/>
  <c r="M14" i="9"/>
  <c r="Q14" i="9"/>
  <c r="O14" i="9"/>
  <c r="P14" i="9"/>
  <c r="T16" i="9"/>
  <c r="W13" i="9"/>
  <c r="AF13" i="9" s="1"/>
  <c r="R16" i="9"/>
  <c r="N14" i="9"/>
  <c r="U14" i="9"/>
  <c r="V14" i="9"/>
  <c r="W16" i="9"/>
  <c r="S14" i="9"/>
  <c r="Q16" i="9"/>
  <c r="V16" i="9"/>
  <c r="S16" i="9"/>
  <c r="O16" i="9"/>
  <c r="U16" i="9"/>
  <c r="Y16" i="9"/>
  <c r="X16" i="9"/>
  <c r="P87" i="7"/>
  <c r="P64" i="12" s="1"/>
  <c r="P65" i="12" s="1"/>
  <c r="P44" i="10"/>
  <c r="P44" i="13" s="1"/>
  <c r="Q75" i="7"/>
  <c r="Q78" i="7" s="1"/>
  <c r="T15" i="9"/>
  <c r="V15" i="9"/>
  <c r="S15" i="9"/>
  <c r="W15" i="9"/>
  <c r="U15" i="9"/>
  <c r="X15" i="9"/>
  <c r="Q15" i="9"/>
  <c r="R15" i="9"/>
  <c r="N15" i="9"/>
  <c r="P15" i="9"/>
  <c r="O15" i="9"/>
  <c r="S75" i="7"/>
  <c r="S78" i="7" s="1"/>
  <c r="I43" i="10" l="1"/>
  <c r="I43" i="13" s="1"/>
  <c r="I48" i="13" s="1"/>
  <c r="I24" i="12"/>
  <c r="I120" i="7" s="1"/>
  <c r="AK13" i="9"/>
  <c r="L82" i="7"/>
  <c r="AP13" i="9"/>
  <c r="M45" i="9"/>
  <c r="M81" i="7" s="1"/>
  <c r="L88" i="7"/>
  <c r="L16" i="12"/>
  <c r="N45" i="9"/>
  <c r="N81" i="7" s="1"/>
  <c r="N82" i="7" s="1"/>
  <c r="K88" i="7"/>
  <c r="K89" i="7" s="1"/>
  <c r="K16" i="12"/>
  <c r="X14" i="9"/>
  <c r="AG14" i="9" s="1"/>
  <c r="O45" i="9"/>
  <c r="O81" i="7" s="1"/>
  <c r="O83" i="7" s="1"/>
  <c r="Z16" i="9"/>
  <c r="AI16" i="9" s="1"/>
  <c r="C17" i="9"/>
  <c r="Q87" i="7"/>
  <c r="Q64" i="12" s="1"/>
  <c r="Q65" i="12" s="1"/>
  <c r="Q44" i="10"/>
  <c r="Q44" i="13" s="1"/>
  <c r="S87" i="7"/>
  <c r="S64" i="12" s="1"/>
  <c r="S65" i="12" s="1"/>
  <c r="S44" i="10"/>
  <c r="S44" i="13" s="1"/>
  <c r="Y15" i="9"/>
  <c r="AM15" i="9" s="1"/>
  <c r="R75" i="7"/>
  <c r="R78" i="7" s="1"/>
  <c r="T75" i="7"/>
  <c r="T78" i="7" s="1"/>
  <c r="I57" i="12" l="1"/>
  <c r="I61" i="12" s="1"/>
  <c r="K17" i="12"/>
  <c r="K58" i="12"/>
  <c r="L17" i="12"/>
  <c r="L58" i="12"/>
  <c r="I45" i="10"/>
  <c r="I51" i="10" s="1"/>
  <c r="I57" i="10" s="1"/>
  <c r="AH15" i="9"/>
  <c r="S17" i="9"/>
  <c r="AF17" i="9"/>
  <c r="AG17" i="9"/>
  <c r="AH17" i="9"/>
  <c r="AI17" i="9"/>
  <c r="AC17" i="9"/>
  <c r="AD17" i="9"/>
  <c r="AE17" i="9"/>
  <c r="AB17" i="9"/>
  <c r="L86" i="7"/>
  <c r="L89" i="7" s="1"/>
  <c r="K36" i="12"/>
  <c r="AN16" i="9"/>
  <c r="O82" i="7"/>
  <c r="AL14" i="9"/>
  <c r="N83" i="7"/>
  <c r="N88" i="7" s="1"/>
  <c r="AQ14" i="9"/>
  <c r="O88" i="7"/>
  <c r="O16" i="12"/>
  <c r="M82" i="7"/>
  <c r="M83" i="7"/>
  <c r="C18" i="9"/>
  <c r="Q18" i="9" s="1"/>
  <c r="C20" i="9"/>
  <c r="S20" i="9" s="1"/>
  <c r="W17" i="9"/>
  <c r="Y17" i="9"/>
  <c r="T17" i="9"/>
  <c r="V17" i="9"/>
  <c r="P17" i="9"/>
  <c r="Q17" i="9"/>
  <c r="R17" i="9"/>
  <c r="U17" i="9"/>
  <c r="X17" i="9"/>
  <c r="Z17" i="9"/>
  <c r="T87" i="7"/>
  <c r="T64" i="12" s="1"/>
  <c r="T65" i="12" s="1"/>
  <c r="T44" i="10"/>
  <c r="T44" i="13" s="1"/>
  <c r="R87" i="7"/>
  <c r="R64" i="12" s="1"/>
  <c r="R65" i="12" s="1"/>
  <c r="R44" i="10"/>
  <c r="R44" i="13" s="1"/>
  <c r="C21" i="9"/>
  <c r="O17" i="12" l="1"/>
  <c r="O58" i="12"/>
  <c r="X20" i="9"/>
  <c r="AA20" i="9"/>
  <c r="Y20" i="9"/>
  <c r="V20" i="9"/>
  <c r="U20" i="9"/>
  <c r="Z20" i="9"/>
  <c r="R18" i="9"/>
  <c r="X18" i="9"/>
  <c r="V18" i="9"/>
  <c r="AA18" i="9"/>
  <c r="W18" i="9"/>
  <c r="U18" i="9"/>
  <c r="Y18" i="9"/>
  <c r="Z18" i="9"/>
  <c r="S18" i="9"/>
  <c r="N16" i="12"/>
  <c r="T18" i="9"/>
  <c r="AC20" i="9"/>
  <c r="AJ20" i="9"/>
  <c r="AK20" i="9"/>
  <c r="AL20" i="9"/>
  <c r="AF20" i="9"/>
  <c r="AG20" i="9"/>
  <c r="AH20" i="9"/>
  <c r="AI20" i="9"/>
  <c r="AE20" i="9"/>
  <c r="M86" i="7"/>
  <c r="L36" i="12"/>
  <c r="AM21" i="9"/>
  <c r="AG21" i="9"/>
  <c r="AH21" i="9"/>
  <c r="AI21" i="9"/>
  <c r="AJ21" i="9"/>
  <c r="AK21" i="9"/>
  <c r="AL21" i="9"/>
  <c r="AF21" i="9"/>
  <c r="AJ18" i="9"/>
  <c r="AD18" i="9"/>
  <c r="AE18" i="9"/>
  <c r="AF18" i="9"/>
  <c r="AG18" i="9"/>
  <c r="AH18" i="9"/>
  <c r="AI18" i="9"/>
  <c r="AC18" i="9"/>
  <c r="W20" i="9"/>
  <c r="AO17" i="9"/>
  <c r="M88" i="7"/>
  <c r="M16" i="12"/>
  <c r="P45" i="9"/>
  <c r="P81" i="7" s="1"/>
  <c r="P82" i="7" s="1"/>
  <c r="AB20" i="9"/>
  <c r="T20" i="9"/>
  <c r="AA17" i="9"/>
  <c r="AJ17" i="9" s="1"/>
  <c r="C19" i="9"/>
  <c r="AA19" i="9" s="1"/>
  <c r="Q45" i="9"/>
  <c r="Q81" i="7" s="1"/>
  <c r="Q83" i="7" s="1"/>
  <c r="AD20" i="9"/>
  <c r="AB18" i="9"/>
  <c r="AD21" i="9"/>
  <c r="AC21" i="9"/>
  <c r="W21" i="9"/>
  <c r="U21" i="9"/>
  <c r="V21" i="9"/>
  <c r="X21" i="9"/>
  <c r="Y21" i="9"/>
  <c r="T21" i="9"/>
  <c r="Z21" i="9"/>
  <c r="AA21" i="9"/>
  <c r="AB21" i="9"/>
  <c r="U75" i="7"/>
  <c r="U78" i="7" s="1"/>
  <c r="M17" i="12" l="1"/>
  <c r="M58" i="12"/>
  <c r="N17" i="12"/>
  <c r="N58" i="12"/>
  <c r="M89" i="7"/>
  <c r="M36" i="12" s="1"/>
  <c r="V19" i="9"/>
  <c r="AM20" i="9"/>
  <c r="AK18" i="9"/>
  <c r="S19" i="9"/>
  <c r="S45" i="9" s="1"/>
  <c r="S81" i="7" s="1"/>
  <c r="AF19" i="9"/>
  <c r="AG19" i="9"/>
  <c r="AH19" i="9"/>
  <c r="AI19" i="9"/>
  <c r="AJ19" i="9"/>
  <c r="AK19" i="9"/>
  <c r="AE19" i="9"/>
  <c r="AD19" i="9"/>
  <c r="P83" i="7"/>
  <c r="P88" i="7" s="1"/>
  <c r="AP18" i="9"/>
  <c r="Q88" i="7"/>
  <c r="Q16" i="12"/>
  <c r="Z19" i="9"/>
  <c r="W19" i="9"/>
  <c r="Q82" i="7"/>
  <c r="R19" i="9"/>
  <c r="Y19" i="9"/>
  <c r="T19" i="9"/>
  <c r="T45" i="9" s="1"/>
  <c r="T81" i="7" s="1"/>
  <c r="U19" i="9"/>
  <c r="AB19" i="9"/>
  <c r="X19" i="9"/>
  <c r="U87" i="7"/>
  <c r="U64" i="12" s="1"/>
  <c r="U65" i="12" s="1"/>
  <c r="U44" i="10"/>
  <c r="U44" i="13" s="1"/>
  <c r="AE21" i="9"/>
  <c r="AN21" i="9" s="1"/>
  <c r="S82" i="7"/>
  <c r="S83" i="7"/>
  <c r="V75" i="7"/>
  <c r="V78" i="7" s="1"/>
  <c r="N86" i="7" l="1"/>
  <c r="N89" i="7" s="1"/>
  <c r="O86" i="7" s="1"/>
  <c r="O89" i="7" s="1"/>
  <c r="Q17" i="12"/>
  <c r="Q58" i="12"/>
  <c r="P16" i="12"/>
  <c r="S88" i="7"/>
  <c r="S16" i="12"/>
  <c r="R45" i="9"/>
  <c r="R81" i="7" s="1"/>
  <c r="R83" i="7" s="1"/>
  <c r="C22" i="9"/>
  <c r="X22" i="9" s="1"/>
  <c r="AC19" i="9"/>
  <c r="AL19" i="9" s="1"/>
  <c r="V87" i="7"/>
  <c r="V64" i="12" s="1"/>
  <c r="V65" i="12" s="1"/>
  <c r="V44" i="10"/>
  <c r="V44" i="13" s="1"/>
  <c r="W75" i="7"/>
  <c r="W78" i="7" s="1"/>
  <c r="T82" i="7"/>
  <c r="T83" i="7"/>
  <c r="N36" i="12" l="1"/>
  <c r="S17" i="12"/>
  <c r="S58" i="12"/>
  <c r="P17" i="12"/>
  <c r="P58" i="12"/>
  <c r="W22" i="9"/>
  <c r="AH22" i="9"/>
  <c r="AI22" i="9"/>
  <c r="AJ22" i="9"/>
  <c r="AK22" i="9"/>
  <c r="AL22" i="9"/>
  <c r="AM22" i="9"/>
  <c r="AN22" i="9"/>
  <c r="AG22" i="9"/>
  <c r="P86" i="7"/>
  <c r="P89" i="7" s="1"/>
  <c r="O36" i="12"/>
  <c r="AQ19" i="9"/>
  <c r="R82" i="7"/>
  <c r="T88" i="7"/>
  <c r="T16" i="12"/>
  <c r="R88" i="7"/>
  <c r="R16" i="12"/>
  <c r="AA22" i="9"/>
  <c r="AD22" i="9"/>
  <c r="Z22" i="9"/>
  <c r="AB22" i="9"/>
  <c r="AE22" i="9"/>
  <c r="U22" i="9"/>
  <c r="Y22" i="9"/>
  <c r="C23" i="9"/>
  <c r="V22" i="9"/>
  <c r="AC22" i="9"/>
  <c r="W87" i="7"/>
  <c r="W64" i="12" s="1"/>
  <c r="W65" i="12" s="1"/>
  <c r="W44" i="10"/>
  <c r="W44" i="13" s="1"/>
  <c r="X75" i="7"/>
  <c r="X78" i="7" s="1"/>
  <c r="T17" i="12" l="1"/>
  <c r="T58" i="12"/>
  <c r="R17" i="12"/>
  <c r="R58" i="12"/>
  <c r="AE23" i="9"/>
  <c r="AK23" i="9"/>
  <c r="AL23" i="9"/>
  <c r="AM23" i="9"/>
  <c r="AN23" i="9"/>
  <c r="AO23" i="9"/>
  <c r="AI23" i="9"/>
  <c r="AJ23" i="9"/>
  <c r="AH23" i="9"/>
  <c r="Q86" i="7"/>
  <c r="Q89" i="7" s="1"/>
  <c r="P36" i="12"/>
  <c r="AB23" i="9"/>
  <c r="U45" i="9"/>
  <c r="U81" i="7" s="1"/>
  <c r="Y23" i="9"/>
  <c r="AA23" i="9"/>
  <c r="AD23" i="9"/>
  <c r="AF23" i="9"/>
  <c r="Z23" i="9"/>
  <c r="V23" i="9"/>
  <c r="X23" i="9"/>
  <c r="AF22" i="9"/>
  <c r="AO22" i="9" s="1"/>
  <c r="AC23" i="9"/>
  <c r="W23" i="9"/>
  <c r="C24" i="9"/>
  <c r="X87" i="7"/>
  <c r="X64" i="12" s="1"/>
  <c r="X65" i="12" s="1"/>
  <c r="X44" i="10"/>
  <c r="X44" i="13" s="1"/>
  <c r="Y75" i="7"/>
  <c r="Y78" i="7" s="1"/>
  <c r="R86" i="7" l="1"/>
  <c r="R89" i="7" s="1"/>
  <c r="Q36" i="12"/>
  <c r="AD24" i="9"/>
  <c r="AN24" i="9"/>
  <c r="AO24" i="9"/>
  <c r="AP24" i="9"/>
  <c r="AJ24" i="9"/>
  <c r="AK24" i="9"/>
  <c r="AL24" i="9"/>
  <c r="AM24" i="9"/>
  <c r="AI24" i="9"/>
  <c r="V45" i="9"/>
  <c r="V81" i="7" s="1"/>
  <c r="V82" i="7" s="1"/>
  <c r="U82" i="7"/>
  <c r="U83" i="7"/>
  <c r="AG23" i="9"/>
  <c r="AP23" i="9" s="1"/>
  <c r="W24" i="9"/>
  <c r="Y24" i="9"/>
  <c r="AG24" i="9"/>
  <c r="Z24" i="9"/>
  <c r="AE24" i="9"/>
  <c r="AC24" i="9"/>
  <c r="AF24" i="9"/>
  <c r="X24" i="9"/>
  <c r="AB24" i="9"/>
  <c r="AA24" i="9"/>
  <c r="C25" i="9"/>
  <c r="Y87" i="7"/>
  <c r="Y64" i="12" s="1"/>
  <c r="Y65" i="12" s="1"/>
  <c r="Y44" i="10"/>
  <c r="Y44" i="13" s="1"/>
  <c r="Z75" i="7"/>
  <c r="Z78" i="7" s="1"/>
  <c r="X25" i="9" l="1"/>
  <c r="X45" i="9" s="1"/>
  <c r="X81" i="7" s="1"/>
  <c r="X83" i="7" s="1"/>
  <c r="AQ25" i="9"/>
  <c r="AK25" i="9"/>
  <c r="AL25" i="9"/>
  <c r="AM25" i="9"/>
  <c r="AN25" i="9"/>
  <c r="AO25" i="9"/>
  <c r="AP25" i="9"/>
  <c r="AJ25" i="9"/>
  <c r="S86" i="7"/>
  <c r="S89" i="7" s="1"/>
  <c r="R36" i="12"/>
  <c r="V83" i="7"/>
  <c r="V88" i="7" s="1"/>
  <c r="W45" i="9"/>
  <c r="W81" i="7" s="1"/>
  <c r="W82" i="7" s="1"/>
  <c r="U88" i="7"/>
  <c r="U16" i="12"/>
  <c r="AH24" i="9"/>
  <c r="AQ24" i="9" s="1"/>
  <c r="Z25" i="9"/>
  <c r="Y25" i="9"/>
  <c r="AD25" i="9"/>
  <c r="AC25" i="9"/>
  <c r="AE25" i="9"/>
  <c r="AA25" i="9"/>
  <c r="AH25" i="9"/>
  <c r="AF25" i="9"/>
  <c r="AB25" i="9"/>
  <c r="AG25" i="9"/>
  <c r="C26" i="9"/>
  <c r="Z87" i="7"/>
  <c r="Z64" i="12" s="1"/>
  <c r="Z65" i="12" s="1"/>
  <c r="Z44" i="10"/>
  <c r="Z44" i="13" s="1"/>
  <c r="X82" i="7"/>
  <c r="AA75" i="7"/>
  <c r="AA78" i="7" s="1"/>
  <c r="U17" i="12" l="1"/>
  <c r="U58" i="12"/>
  <c r="V16" i="12"/>
  <c r="AD26" i="9"/>
  <c r="AL26" i="9"/>
  <c r="AM26" i="9"/>
  <c r="AN26" i="9"/>
  <c r="AO26" i="9"/>
  <c r="AP26" i="9"/>
  <c r="AQ26" i="9"/>
  <c r="AK26" i="9"/>
  <c r="W83" i="7"/>
  <c r="W88" i="7" s="1"/>
  <c r="T86" i="7"/>
  <c r="T89" i="7" s="1"/>
  <c r="S36" i="12"/>
  <c r="X88" i="7"/>
  <c r="X16" i="12"/>
  <c r="C27" i="9"/>
  <c r="AD27" i="9" s="1"/>
  <c r="AI26" i="9"/>
  <c r="AA26" i="9"/>
  <c r="Z26" i="9"/>
  <c r="AG26" i="9"/>
  <c r="AH26" i="9"/>
  <c r="Y26" i="9"/>
  <c r="Y45" i="9" s="1"/>
  <c r="Y81" i="7" s="1"/>
  <c r="Y82" i="7" s="1"/>
  <c r="AE26" i="9"/>
  <c r="AF26" i="9"/>
  <c r="AC26" i="9"/>
  <c r="AI25" i="9"/>
  <c r="AB26" i="9"/>
  <c r="AA87" i="7"/>
  <c r="AA64" i="12" s="1"/>
  <c r="AA65" i="12" s="1"/>
  <c r="AA44" i="10"/>
  <c r="AA44" i="13" s="1"/>
  <c r="AB75" i="7"/>
  <c r="AB78" i="7" s="1"/>
  <c r="X17" i="12" l="1"/>
  <c r="X58" i="12"/>
  <c r="V17" i="12"/>
  <c r="V58" i="12"/>
  <c r="W16" i="12"/>
  <c r="AF27" i="9"/>
  <c r="Z27" i="9"/>
  <c r="Z45" i="9" s="1"/>
  <c r="Z81" i="7" s="1"/>
  <c r="Z83" i="7" s="1"/>
  <c r="AC27" i="9"/>
  <c r="AH27" i="9"/>
  <c r="AG27" i="9"/>
  <c r="AI27" i="9"/>
  <c r="AE27" i="9"/>
  <c r="AJ27" i="9"/>
  <c r="AB27" i="9"/>
  <c r="AM27" i="9"/>
  <c r="AN27" i="9"/>
  <c r="AO27" i="9"/>
  <c r="AP27" i="9"/>
  <c r="AQ27" i="9"/>
  <c r="AL27" i="9"/>
  <c r="U86" i="7"/>
  <c r="U89" i="7" s="1"/>
  <c r="T36" i="12"/>
  <c r="AA27" i="9"/>
  <c r="AJ26" i="9"/>
  <c r="Y83" i="7"/>
  <c r="C28" i="9"/>
  <c r="AB87" i="7"/>
  <c r="AB64" i="12" s="1"/>
  <c r="AB65" i="12" s="1"/>
  <c r="AB44" i="10"/>
  <c r="AB44" i="13" s="1"/>
  <c r="AK27" i="9"/>
  <c r="AC75" i="7"/>
  <c r="AC78" i="7" s="1"/>
  <c r="W17" i="12" l="1"/>
  <c r="W58" i="12"/>
  <c r="V86" i="7"/>
  <c r="V89" i="7" s="1"/>
  <c r="U36" i="12"/>
  <c r="AH28" i="9"/>
  <c r="AO28" i="9"/>
  <c r="AP28" i="9"/>
  <c r="AQ28" i="9"/>
  <c r="AN28" i="9"/>
  <c r="AM28" i="9"/>
  <c r="Z88" i="7"/>
  <c r="Z16" i="12"/>
  <c r="Z82" i="7"/>
  <c r="Y88" i="7"/>
  <c r="Y16" i="12"/>
  <c r="AF28" i="9"/>
  <c r="AB28" i="9"/>
  <c r="AJ28" i="9"/>
  <c r="AI28" i="9"/>
  <c r="AE28" i="9"/>
  <c r="AA28" i="9"/>
  <c r="AA45" i="9" s="1"/>
  <c r="AA81" i="7" s="1"/>
  <c r="AA82" i="7" s="1"/>
  <c r="AD28" i="9"/>
  <c r="AK28" i="9"/>
  <c r="AC28" i="9"/>
  <c r="C29" i="9"/>
  <c r="AG28" i="9"/>
  <c r="AC87" i="7"/>
  <c r="AC64" i="12" s="1"/>
  <c r="AC65" i="12" s="1"/>
  <c r="AC44" i="10"/>
  <c r="AC44" i="13" s="1"/>
  <c r="AD75" i="7"/>
  <c r="AD78" i="7" s="1"/>
  <c r="Y17" i="12" l="1"/>
  <c r="Y58" i="12"/>
  <c r="Z17" i="12"/>
  <c r="Z58" i="12"/>
  <c r="AD29" i="9"/>
  <c r="AQ29" i="9"/>
  <c r="AO29" i="9"/>
  <c r="AP29" i="9"/>
  <c r="AN29" i="9"/>
  <c r="W86" i="7"/>
  <c r="W89" i="7" s="1"/>
  <c r="V36" i="12"/>
  <c r="AL28" i="9"/>
  <c r="AC29" i="9"/>
  <c r="AG29" i="9"/>
  <c r="C30" i="9"/>
  <c r="AJ29" i="9"/>
  <c r="AB29" i="9"/>
  <c r="AB45" i="9" s="1"/>
  <c r="AB81" i="7" s="1"/>
  <c r="AB82" i="7" s="1"/>
  <c r="AI29" i="9"/>
  <c r="AK29" i="9"/>
  <c r="AH29" i="9"/>
  <c r="AA83" i="7"/>
  <c r="AL29" i="9"/>
  <c r="AF29" i="9"/>
  <c r="AE29" i="9"/>
  <c r="C31" i="9"/>
  <c r="AD44" i="10"/>
  <c r="AD44" i="13" s="1"/>
  <c r="AE75" i="7"/>
  <c r="AE78" i="7" s="1"/>
  <c r="AK30" i="9" l="1"/>
  <c r="AP30" i="9"/>
  <c r="AQ30" i="9"/>
  <c r="AO30" i="9"/>
  <c r="AQ31" i="9"/>
  <c r="AP31" i="9"/>
  <c r="X86" i="7"/>
  <c r="X89" i="7" s="1"/>
  <c r="W36" i="12"/>
  <c r="AA88" i="7"/>
  <c r="AA16" i="12"/>
  <c r="AC30" i="9"/>
  <c r="AC45" i="9" s="1"/>
  <c r="AC81" i="7" s="1"/>
  <c r="AC82" i="7" s="1"/>
  <c r="AI30" i="9"/>
  <c r="AL30" i="9"/>
  <c r="AF30" i="9"/>
  <c r="AJ30" i="9"/>
  <c r="AM30" i="9"/>
  <c r="AH30" i="9"/>
  <c r="AD30" i="9"/>
  <c r="AG30" i="9"/>
  <c r="AE30" i="9"/>
  <c r="AD87" i="7"/>
  <c r="AD64" i="12" s="1"/>
  <c r="AD65" i="12" s="1"/>
  <c r="AB83" i="7"/>
  <c r="AM29" i="9"/>
  <c r="C32" i="9"/>
  <c r="AQ32" i="9" s="1"/>
  <c r="AE44" i="10"/>
  <c r="AE44" i="13" s="1"/>
  <c r="AF75" i="7"/>
  <c r="AF78" i="7" s="1"/>
  <c r="AG31" i="9"/>
  <c r="AN31" i="9"/>
  <c r="AJ31" i="9"/>
  <c r="AD31" i="9"/>
  <c r="AK31" i="9"/>
  <c r="AI31" i="9"/>
  <c r="AH31" i="9"/>
  <c r="AF31" i="9"/>
  <c r="AE31" i="9"/>
  <c r="AL31" i="9"/>
  <c r="AM31" i="9"/>
  <c r="AA17" i="12" l="1"/>
  <c r="AA58" i="12"/>
  <c r="Y86" i="7"/>
  <c r="Y89" i="7" s="1"/>
  <c r="X36" i="12"/>
  <c r="AC83" i="7"/>
  <c r="AC88" i="7" s="1"/>
  <c r="AB88" i="7"/>
  <c r="AB16" i="12"/>
  <c r="AN30" i="9"/>
  <c r="AD45" i="9"/>
  <c r="AD81" i="7" s="1"/>
  <c r="AD82" i="7" s="1"/>
  <c r="AE87" i="7"/>
  <c r="AE64" i="12" s="1"/>
  <c r="AE65" i="12" s="1"/>
  <c r="AO31" i="9"/>
  <c r="AF87" i="7"/>
  <c r="AF64" i="12" s="1"/>
  <c r="AF65" i="12" s="1"/>
  <c r="AF44" i="10"/>
  <c r="AF44" i="13" s="1"/>
  <c r="AG75" i="7"/>
  <c r="AG78" i="7" s="1"/>
  <c r="AE32" i="9"/>
  <c r="AE45" i="9" s="1"/>
  <c r="AE81" i="7" s="1"/>
  <c r="AI32" i="9"/>
  <c r="AN32" i="9"/>
  <c r="AL32" i="9"/>
  <c r="AJ32" i="9"/>
  <c r="AM32" i="9"/>
  <c r="AF32" i="9"/>
  <c r="AO32" i="9"/>
  <c r="AG32" i="9"/>
  <c r="AH32" i="9"/>
  <c r="AK32" i="9"/>
  <c r="AB17" i="12" l="1"/>
  <c r="AB58" i="12"/>
  <c r="AC16" i="12"/>
  <c r="Z86" i="7"/>
  <c r="Z89" i="7" s="1"/>
  <c r="Y36" i="12"/>
  <c r="AD83" i="7"/>
  <c r="AD88" i="7" s="1"/>
  <c r="C33" i="9"/>
  <c r="AJ33" i="9" s="1"/>
  <c r="AP32" i="9"/>
  <c r="C34" i="9"/>
  <c r="AG44" i="10"/>
  <c r="AG44" i="13" s="1"/>
  <c r="AE82" i="7"/>
  <c r="AE83" i="7"/>
  <c r="AH75" i="7"/>
  <c r="AH78" i="7" s="1"/>
  <c r="AC17" i="12" l="1"/>
  <c r="AC58" i="12"/>
  <c r="AP33" i="9"/>
  <c r="AK33" i="9"/>
  <c r="AA86" i="7"/>
  <c r="AA89" i="7" s="1"/>
  <c r="Z36" i="12"/>
  <c r="AN33" i="9"/>
  <c r="AD16" i="12"/>
  <c r="AF33" i="9"/>
  <c r="AF45" i="9" s="1"/>
  <c r="AF81" i="7" s="1"/>
  <c r="AF83" i="7" s="1"/>
  <c r="AE88" i="7"/>
  <c r="AE16" i="12"/>
  <c r="AH33" i="9"/>
  <c r="AL33" i="9"/>
  <c r="AG33" i="9"/>
  <c r="AO33" i="9"/>
  <c r="AI33" i="9"/>
  <c r="AG87" i="7"/>
  <c r="AG64" i="12" s="1"/>
  <c r="AG65" i="12" s="1"/>
  <c r="AM33" i="9"/>
  <c r="C35" i="9"/>
  <c r="AH44" i="10"/>
  <c r="AH44" i="13" s="1"/>
  <c r="AK34" i="9"/>
  <c r="AI34" i="9"/>
  <c r="AG34" i="9"/>
  <c r="AO34" i="9"/>
  <c r="AP34" i="9"/>
  <c r="AL34" i="9"/>
  <c r="AH34" i="9"/>
  <c r="AM34" i="9"/>
  <c r="AN34" i="9"/>
  <c r="AQ34" i="9"/>
  <c r="AJ34" i="9"/>
  <c r="AI75" i="7"/>
  <c r="AI78" i="7" s="1"/>
  <c r="AD17" i="12" l="1"/>
  <c r="AD58" i="12"/>
  <c r="AE17" i="12"/>
  <c r="AE58" i="12"/>
  <c r="AF82" i="7"/>
  <c r="AB86" i="7"/>
  <c r="AB89" i="7" s="1"/>
  <c r="AA36" i="12"/>
  <c r="AF88" i="7"/>
  <c r="AF16" i="12"/>
  <c r="AG45" i="9"/>
  <c r="AG81" i="7" s="1"/>
  <c r="AG82" i="7" s="1"/>
  <c r="AQ33" i="9"/>
  <c r="AH87" i="7"/>
  <c r="AH64" i="12" s="1"/>
  <c r="AH65" i="12" s="1"/>
  <c r="AI87" i="7"/>
  <c r="AI64" i="12" s="1"/>
  <c r="AI65" i="12" s="1"/>
  <c r="AI44" i="10"/>
  <c r="AI44" i="13" s="1"/>
  <c r="AJ75" i="7"/>
  <c r="AJ78" i="7" s="1"/>
  <c r="AJ35" i="9"/>
  <c r="AN35" i="9"/>
  <c r="AI35" i="9"/>
  <c r="AO35" i="9"/>
  <c r="AL35" i="9"/>
  <c r="AK35" i="9"/>
  <c r="AH35" i="9"/>
  <c r="AH45" i="9" s="1"/>
  <c r="AH81" i="7" s="1"/>
  <c r="AP35" i="9"/>
  <c r="AM35" i="9"/>
  <c r="AQ35" i="9"/>
  <c r="AF17" i="12" l="1"/>
  <c r="AF58" i="12"/>
  <c r="AC86" i="7"/>
  <c r="AC89" i="7" s="1"/>
  <c r="AB36" i="12"/>
  <c r="AG83" i="7"/>
  <c r="C36" i="9"/>
  <c r="AK36" i="9" s="1"/>
  <c r="C37" i="9"/>
  <c r="AJ44" i="10"/>
  <c r="AJ44" i="13" s="1"/>
  <c r="AH83" i="7"/>
  <c r="AH82" i="7"/>
  <c r="AK75" i="7"/>
  <c r="AK78" i="7" s="1"/>
  <c r="AN36" i="9" l="1"/>
  <c r="AQ36" i="9"/>
  <c r="AL36" i="9"/>
  <c r="AI36" i="9"/>
  <c r="AI45" i="9" s="1"/>
  <c r="AI81" i="7" s="1"/>
  <c r="AI82" i="7" s="1"/>
  <c r="AO36" i="9"/>
  <c r="AM36" i="9"/>
  <c r="AJ36" i="9"/>
  <c r="AP36" i="9"/>
  <c r="AD86" i="7"/>
  <c r="AD89" i="7" s="1"/>
  <c r="AC36" i="12"/>
  <c r="AH88" i="7"/>
  <c r="AH16" i="12"/>
  <c r="AG88" i="7"/>
  <c r="AG16" i="12"/>
  <c r="AJ87" i="7"/>
  <c r="AJ64" i="12" s="1"/>
  <c r="AJ65" i="12" s="1"/>
  <c r="AK87" i="7"/>
  <c r="AK64" i="12" s="1"/>
  <c r="AK65" i="12" s="1"/>
  <c r="AK44" i="10"/>
  <c r="AK44" i="13" s="1"/>
  <c r="AL75" i="7"/>
  <c r="AL78" i="7" s="1"/>
  <c r="AM37" i="9"/>
  <c r="AP37" i="9"/>
  <c r="AN37" i="9"/>
  <c r="AQ37" i="9"/>
  <c r="AL37" i="9"/>
  <c r="AO37" i="9"/>
  <c r="AK37" i="9"/>
  <c r="AJ37" i="9"/>
  <c r="AG17" i="12" l="1"/>
  <c r="AG58" i="12"/>
  <c r="AH17" i="12"/>
  <c r="AH58" i="12"/>
  <c r="AJ45" i="9"/>
  <c r="AJ81" i="7" s="1"/>
  <c r="AJ83" i="7" s="1"/>
  <c r="C38" i="9"/>
  <c r="AQ38" i="9" s="1"/>
  <c r="AI83" i="7"/>
  <c r="AI88" i="7" s="1"/>
  <c r="AE86" i="7"/>
  <c r="AE89" i="7" s="1"/>
  <c r="AD36" i="12"/>
  <c r="AL87" i="7"/>
  <c r="AL64" i="12" s="1"/>
  <c r="AL65" i="12" s="1"/>
  <c r="AL44" i="10"/>
  <c r="AL44" i="13" s="1"/>
  <c r="AM75" i="7"/>
  <c r="AM78" i="7" s="1"/>
  <c r="AL38" i="9" l="1"/>
  <c r="AJ82" i="7"/>
  <c r="AN38" i="9"/>
  <c r="AI16" i="12"/>
  <c r="AM38" i="9"/>
  <c r="AO38" i="9"/>
  <c r="AP38" i="9"/>
  <c r="AK38" i="9"/>
  <c r="AK45" i="9" s="1"/>
  <c r="AK81" i="7" s="1"/>
  <c r="AK82" i="7" s="1"/>
  <c r="C39" i="9"/>
  <c r="AM39" i="9" s="1"/>
  <c r="AF86" i="7"/>
  <c r="AF89" i="7" s="1"/>
  <c r="AE36" i="12"/>
  <c r="AJ88" i="7"/>
  <c r="AJ16" i="12"/>
  <c r="C40" i="9"/>
  <c r="AM44" i="10"/>
  <c r="AM44" i="13" s="1"/>
  <c r="AN75" i="7"/>
  <c r="AN78" i="7" s="1"/>
  <c r="AN39" i="9" l="1"/>
  <c r="AJ17" i="12"/>
  <c r="AJ58" i="12"/>
  <c r="AI17" i="12"/>
  <c r="AI58" i="12"/>
  <c r="AL39" i="9"/>
  <c r="AL45" i="9" s="1"/>
  <c r="AL81" i="7" s="1"/>
  <c r="AL82" i="7" s="1"/>
  <c r="AK83" i="7"/>
  <c r="AK88" i="7" s="1"/>
  <c r="AQ39" i="9"/>
  <c r="AP39" i="9"/>
  <c r="AO39" i="9"/>
  <c r="AG86" i="7"/>
  <c r="AG89" i="7" s="1"/>
  <c r="AF36" i="12"/>
  <c r="AM87" i="7"/>
  <c r="AM64" i="12" s="1"/>
  <c r="AM65" i="12" s="1"/>
  <c r="AN87" i="7"/>
  <c r="AN64" i="12" s="1"/>
  <c r="AN65" i="12" s="1"/>
  <c r="AN44" i="10"/>
  <c r="AN44" i="13" s="1"/>
  <c r="AP40" i="9"/>
  <c r="AQ40" i="9"/>
  <c r="AN40" i="9"/>
  <c r="AM40" i="9"/>
  <c r="AM45" i="9" s="1"/>
  <c r="AM81" i="7" s="1"/>
  <c r="AO40" i="9"/>
  <c r="AO75" i="7"/>
  <c r="AO78" i="7" s="1"/>
  <c r="C41" i="9"/>
  <c r="AK16" i="12" l="1"/>
  <c r="AK17" i="12"/>
  <c r="AK58" i="12"/>
  <c r="AL83" i="7"/>
  <c r="AL88" i="7" s="1"/>
  <c r="AH86" i="7"/>
  <c r="AH89" i="7" s="1"/>
  <c r="AG36" i="12"/>
  <c r="AO87" i="7"/>
  <c r="AO64" i="12" s="1"/>
  <c r="AO65" i="12" s="1"/>
  <c r="AO44" i="10"/>
  <c r="AO44" i="13" s="1"/>
  <c r="AP75" i="7"/>
  <c r="AP78" i="7" s="1"/>
  <c r="AQ75" i="7"/>
  <c r="AQ78" i="7" s="1"/>
  <c r="AP41" i="9"/>
  <c r="AO41" i="9"/>
  <c r="AQ41" i="9"/>
  <c r="AN41" i="9"/>
  <c r="AN45" i="9" s="1"/>
  <c r="AN81" i="7" s="1"/>
  <c r="AM82" i="7"/>
  <c r="AM83" i="7"/>
  <c r="AL16" i="12" l="1"/>
  <c r="AL17" i="12"/>
  <c r="AL58" i="12"/>
  <c r="AI86" i="7"/>
  <c r="AI89" i="7" s="1"/>
  <c r="AH36" i="12"/>
  <c r="AM88" i="7"/>
  <c r="AM16" i="12"/>
  <c r="C42" i="9"/>
  <c r="AQ42" i="9" s="1"/>
  <c r="AQ87" i="7"/>
  <c r="AQ64" i="12" s="1"/>
  <c r="AQ65" i="12" s="1"/>
  <c r="AQ44" i="10"/>
  <c r="AQ44" i="13" s="1"/>
  <c r="AP87" i="7"/>
  <c r="AP64" i="12" s="1"/>
  <c r="AP65" i="12" s="1"/>
  <c r="AP44" i="10"/>
  <c r="AP44" i="13" s="1"/>
  <c r="AN82" i="7"/>
  <c r="AN83" i="7"/>
  <c r="AM17" i="12" l="1"/>
  <c r="AM58" i="12"/>
  <c r="C44" i="9"/>
  <c r="AQ44" i="9" s="1"/>
  <c r="AJ86" i="7"/>
  <c r="AJ89" i="7" s="1"/>
  <c r="AI36" i="12"/>
  <c r="AN88" i="7"/>
  <c r="AN16" i="12"/>
  <c r="C43" i="9"/>
  <c r="AQ43" i="9" s="1"/>
  <c r="AQ45" i="9" s="1"/>
  <c r="AQ81" i="7" s="1"/>
  <c r="AP42" i="9"/>
  <c r="AO42" i="9"/>
  <c r="AO45" i="9" s="1"/>
  <c r="AO81" i="7" s="1"/>
  <c r="AO82" i="7" s="1"/>
  <c r="AN17" i="12" l="1"/>
  <c r="AN58" i="12"/>
  <c r="AK86" i="7"/>
  <c r="AK89" i="7" s="1"/>
  <c r="AJ36" i="12"/>
  <c r="AP43" i="9"/>
  <c r="AP45" i="9" s="1"/>
  <c r="AP81" i="7" s="1"/>
  <c r="AP82" i="7" s="1"/>
  <c r="AO83" i="7"/>
  <c r="AQ82" i="7"/>
  <c r="AQ83" i="7"/>
  <c r="AL86" i="7" l="1"/>
  <c r="AL89" i="7" s="1"/>
  <c r="AK36" i="12"/>
  <c r="AQ88" i="7"/>
  <c r="AQ16" i="12"/>
  <c r="AO88" i="7"/>
  <c r="AO16" i="12"/>
  <c r="AP83" i="7"/>
  <c r="I57" i="11"/>
  <c r="I14" i="11" s="1"/>
  <c r="AO17" i="12" l="1"/>
  <c r="AO58" i="12"/>
  <c r="AQ17" i="12"/>
  <c r="AQ58" i="12"/>
  <c r="I21" i="11"/>
  <c r="I69" i="10"/>
  <c r="AM86" i="7"/>
  <c r="AM89" i="7" s="1"/>
  <c r="AL36" i="12"/>
  <c r="AP88" i="7"/>
  <c r="AP16" i="12"/>
  <c r="J52" i="11"/>
  <c r="J9" i="11" s="1"/>
  <c r="I99" i="7"/>
  <c r="J94" i="7" l="1"/>
  <c r="J60" i="13"/>
  <c r="AP17" i="12"/>
  <c r="AP58" i="12"/>
  <c r="J60" i="11"/>
  <c r="J17" i="11" s="1"/>
  <c r="I68" i="10"/>
  <c r="I52" i="13" s="1"/>
  <c r="I54" i="13" s="1"/>
  <c r="AN86" i="7"/>
  <c r="AN89" i="7" s="1"/>
  <c r="AM36" i="12"/>
  <c r="I15" i="11"/>
  <c r="I25" i="11" s="1"/>
  <c r="I43" i="12"/>
  <c r="I104" i="7"/>
  <c r="I18" i="11"/>
  <c r="J54" i="11" l="1"/>
  <c r="J19" i="11"/>
  <c r="J68" i="13"/>
  <c r="J70" i="13" s="1"/>
  <c r="I103" i="7"/>
  <c r="I69" i="13"/>
  <c r="I79" i="13"/>
  <c r="J11" i="11"/>
  <c r="J62" i="13" s="1"/>
  <c r="I24" i="11"/>
  <c r="I77" i="13" s="1"/>
  <c r="I44" i="12"/>
  <c r="I70" i="10"/>
  <c r="J67" i="10" s="1"/>
  <c r="I121" i="7"/>
  <c r="I26" i="11"/>
  <c r="I78" i="13" s="1"/>
  <c r="I100" i="7"/>
  <c r="J20" i="12"/>
  <c r="J102" i="7"/>
  <c r="AO86" i="7"/>
  <c r="AO89" i="7" s="1"/>
  <c r="AN36" i="12"/>
  <c r="J57" i="11"/>
  <c r="K52" i="11" l="1"/>
  <c r="J14" i="11"/>
  <c r="J27" i="10"/>
  <c r="J46" i="13" s="1"/>
  <c r="J68" i="12"/>
  <c r="J96" i="7"/>
  <c r="J21" i="12"/>
  <c r="J23" i="12" s="1"/>
  <c r="I122" i="7"/>
  <c r="I49" i="12" s="1"/>
  <c r="I50" i="12" s="1"/>
  <c r="I69" i="12"/>
  <c r="I73" i="12" s="1"/>
  <c r="AP86" i="7"/>
  <c r="AP89" i="7" s="1"/>
  <c r="AO36" i="12"/>
  <c r="K9" i="11"/>
  <c r="K60" i="11"/>
  <c r="K17" i="11" s="1"/>
  <c r="J43" i="12"/>
  <c r="J44" i="12" l="1"/>
  <c r="J79" i="13"/>
  <c r="K94" i="7"/>
  <c r="K60" i="13"/>
  <c r="K19" i="11"/>
  <c r="K68" i="13"/>
  <c r="K70" i="13" s="1"/>
  <c r="J29" i="10"/>
  <c r="J34" i="10"/>
  <c r="J37" i="10" s="1"/>
  <c r="I76" i="12"/>
  <c r="I77" i="12" s="1"/>
  <c r="J75" i="12" s="1"/>
  <c r="J119" i="7"/>
  <c r="J24" i="12"/>
  <c r="J43" i="10"/>
  <c r="J43" i="13" s="1"/>
  <c r="J15" i="11"/>
  <c r="J100" i="7" s="1"/>
  <c r="J99" i="7"/>
  <c r="AQ86" i="7"/>
  <c r="AQ89" i="7" s="1"/>
  <c r="AQ36" i="12" s="1"/>
  <c r="AP36" i="12"/>
  <c r="J104" i="7"/>
  <c r="J18" i="11"/>
  <c r="K54" i="11"/>
  <c r="K11" i="11" s="1"/>
  <c r="K62" i="13" s="1"/>
  <c r="J103" i="7" l="1"/>
  <c r="J69" i="13"/>
  <c r="J40" i="10"/>
  <c r="J45" i="10" s="1"/>
  <c r="J51" i="10" s="1"/>
  <c r="J57" i="10" s="1"/>
  <c r="J69" i="10" s="1"/>
  <c r="J47" i="13"/>
  <c r="J48" i="13" s="1"/>
  <c r="J24" i="11"/>
  <c r="J77" i="13" s="1"/>
  <c r="K27" i="10"/>
  <c r="K68" i="12"/>
  <c r="I31" i="12"/>
  <c r="I35" i="12" s="1"/>
  <c r="I37" i="12" s="1"/>
  <c r="I51" i="12" s="1"/>
  <c r="J120" i="7"/>
  <c r="J57" i="12"/>
  <c r="J61" i="12" s="1"/>
  <c r="J26" i="11"/>
  <c r="J78" i="13" s="1"/>
  <c r="K20" i="12"/>
  <c r="K102" i="7"/>
  <c r="K96" i="7"/>
  <c r="K57" i="11"/>
  <c r="K14" i="11" s="1"/>
  <c r="K29" i="10" l="1"/>
  <c r="K46" i="13"/>
  <c r="J21" i="11"/>
  <c r="J25" i="11" s="1"/>
  <c r="J68" i="10"/>
  <c r="K21" i="12"/>
  <c r="K23" i="12" s="1"/>
  <c r="K43" i="10" s="1"/>
  <c r="K43" i="13" s="1"/>
  <c r="K34" i="10"/>
  <c r="K37" i="10" s="1"/>
  <c r="K43" i="12"/>
  <c r="L52" i="11"/>
  <c r="K40" i="10" l="1"/>
  <c r="K45" i="10" s="1"/>
  <c r="K47" i="13"/>
  <c r="K48" i="13"/>
  <c r="K44" i="12"/>
  <c r="K79" i="13"/>
  <c r="J70" i="10"/>
  <c r="K67" i="10" s="1"/>
  <c r="J52" i="13"/>
  <c r="J54" i="13" s="1"/>
  <c r="J121" i="7"/>
  <c r="J122" i="7" s="1"/>
  <c r="K119" i="7" s="1"/>
  <c r="K24" i="12"/>
  <c r="K15" i="11"/>
  <c r="K100" i="7" s="1"/>
  <c r="K99" i="7"/>
  <c r="K104" i="7"/>
  <c r="K18" i="11"/>
  <c r="L9" i="11"/>
  <c r="L60" i="11"/>
  <c r="L17" i="11" s="1"/>
  <c r="K51" i="10" l="1"/>
  <c r="K57" i="10" s="1"/>
  <c r="K69" i="10" s="1"/>
  <c r="K21" i="11"/>
  <c r="J69" i="12"/>
  <c r="J73" i="12" s="1"/>
  <c r="L94" i="7"/>
  <c r="L60" i="13"/>
  <c r="L19" i="11"/>
  <c r="L68" i="13"/>
  <c r="L70" i="13" s="1"/>
  <c r="K103" i="7"/>
  <c r="K69" i="13"/>
  <c r="K24" i="11"/>
  <c r="K77" i="13" s="1"/>
  <c r="K26" i="11"/>
  <c r="K78" i="13" s="1"/>
  <c r="J76" i="12"/>
  <c r="J77" i="12" s="1"/>
  <c r="K75" i="12" s="1"/>
  <c r="J49" i="12"/>
  <c r="J50" i="12" s="1"/>
  <c r="K120" i="7"/>
  <c r="K57" i="12"/>
  <c r="K61" i="12" s="1"/>
  <c r="K25" i="11"/>
  <c r="K68" i="10"/>
  <c r="K52" i="13" s="1"/>
  <c r="K54" i="13" s="1"/>
  <c r="L54" i="11"/>
  <c r="L11" i="11" s="1"/>
  <c r="L62" i="13" s="1"/>
  <c r="J31" i="12" l="1"/>
  <c r="J35" i="12" s="1"/>
  <c r="J37" i="12" s="1"/>
  <c r="J51" i="12" s="1"/>
  <c r="L27" i="10"/>
  <c r="L68" i="12"/>
  <c r="K70" i="10"/>
  <c r="L67" i="10" s="1"/>
  <c r="K121" i="7"/>
  <c r="L20" i="12"/>
  <c r="L102" i="7"/>
  <c r="L96" i="7"/>
  <c r="T55" i="11"/>
  <c r="S55" i="11"/>
  <c r="X55" i="11"/>
  <c r="O55" i="11"/>
  <c r="AB55" i="11"/>
  <c r="R55" i="11"/>
  <c r="N55" i="11"/>
  <c r="Y55" i="11"/>
  <c r="Q55" i="11"/>
  <c r="U55" i="11"/>
  <c r="W55" i="11"/>
  <c r="AA55" i="11"/>
  <c r="P55" i="11"/>
  <c r="V55" i="11"/>
  <c r="M55" i="11"/>
  <c r="Z55" i="11"/>
  <c r="L57" i="11"/>
  <c r="L14" i="11" s="1"/>
  <c r="L29" i="10" l="1"/>
  <c r="L46" i="13"/>
  <c r="Q12" i="11"/>
  <c r="Q63" i="13" s="1"/>
  <c r="T12" i="11"/>
  <c r="T63" i="13" s="1"/>
  <c r="Y12" i="11"/>
  <c r="Y63" i="13" s="1"/>
  <c r="M12" i="11"/>
  <c r="N12" i="11"/>
  <c r="N63" i="13" s="1"/>
  <c r="V12" i="11"/>
  <c r="V63" i="13" s="1"/>
  <c r="R12" i="11"/>
  <c r="R63" i="13" s="1"/>
  <c r="P12" i="11"/>
  <c r="P63" i="13" s="1"/>
  <c r="AB12" i="11"/>
  <c r="AB63" i="13" s="1"/>
  <c r="AA12" i="11"/>
  <c r="AA63" i="13" s="1"/>
  <c r="O12" i="11"/>
  <c r="Z12" i="11"/>
  <c r="W12" i="11"/>
  <c r="W63" i="13" s="1"/>
  <c r="X12" i="11"/>
  <c r="X63" i="13" s="1"/>
  <c r="U12" i="11"/>
  <c r="U63" i="13" s="1"/>
  <c r="S12" i="11"/>
  <c r="L21" i="12"/>
  <c r="L23" i="12" s="1"/>
  <c r="K122" i="7"/>
  <c r="L119" i="7" s="1"/>
  <c r="K69" i="12"/>
  <c r="K73" i="12" s="1"/>
  <c r="M52" i="11"/>
  <c r="M60" i="11" s="1"/>
  <c r="M17" i="11" s="1"/>
  <c r="L43" i="12"/>
  <c r="L34" i="10"/>
  <c r="L37" i="10" s="1"/>
  <c r="O97" i="7" l="1"/>
  <c r="O63" i="13"/>
  <c r="M97" i="7"/>
  <c r="M63" i="13"/>
  <c r="L44" i="12"/>
  <c r="L79" i="13"/>
  <c r="S97" i="7"/>
  <c r="S63" i="13"/>
  <c r="P97" i="7"/>
  <c r="M49" i="10"/>
  <c r="M68" i="13"/>
  <c r="Z97" i="7"/>
  <c r="Z63" i="13"/>
  <c r="L40" i="10"/>
  <c r="L47" i="13"/>
  <c r="S68" i="12"/>
  <c r="S50" i="10"/>
  <c r="Z50" i="10"/>
  <c r="Z68" i="12"/>
  <c r="P50" i="10"/>
  <c r="P68" i="12"/>
  <c r="M19" i="11"/>
  <c r="M50" i="10"/>
  <c r="M68" i="12"/>
  <c r="U50" i="10"/>
  <c r="U68" i="12"/>
  <c r="R50" i="10"/>
  <c r="R68" i="12"/>
  <c r="Y50" i="10"/>
  <c r="Y68" i="12"/>
  <c r="R97" i="7"/>
  <c r="Y97" i="7"/>
  <c r="X68" i="12"/>
  <c r="X50" i="10"/>
  <c r="AA50" i="10"/>
  <c r="AA68" i="12"/>
  <c r="V50" i="10"/>
  <c r="V68" i="12"/>
  <c r="T50" i="10"/>
  <c r="T68" i="12"/>
  <c r="X97" i="7"/>
  <c r="AA97" i="7"/>
  <c r="V97" i="7"/>
  <c r="T97" i="7"/>
  <c r="O50" i="10"/>
  <c r="O68" i="12"/>
  <c r="W50" i="10"/>
  <c r="W68" i="12"/>
  <c r="AB68" i="12"/>
  <c r="AB50" i="10"/>
  <c r="N50" i="10"/>
  <c r="N68" i="12"/>
  <c r="Q50" i="10"/>
  <c r="Q68" i="12"/>
  <c r="U97" i="7"/>
  <c r="W97" i="7"/>
  <c r="AB97" i="7"/>
  <c r="N97" i="7"/>
  <c r="Q97" i="7"/>
  <c r="K76" i="12"/>
  <c r="K77" i="12" s="1"/>
  <c r="K31" i="12" s="1"/>
  <c r="K35" i="12" s="1"/>
  <c r="K37" i="12" s="1"/>
  <c r="K49" i="12"/>
  <c r="K50" i="12" s="1"/>
  <c r="L43" i="10"/>
  <c r="L43" i="13" s="1"/>
  <c r="L48" i="13" s="1"/>
  <c r="L24" i="12"/>
  <c r="L15" i="11"/>
  <c r="L100" i="7" s="1"/>
  <c r="L99" i="7"/>
  <c r="L104" i="7"/>
  <c r="L18" i="11"/>
  <c r="M9" i="11"/>
  <c r="M57" i="11"/>
  <c r="M14" i="11" s="1"/>
  <c r="L26" i="11" l="1"/>
  <c r="L78" i="13" s="1"/>
  <c r="M70" i="13"/>
  <c r="K51" i="12"/>
  <c r="M94" i="7"/>
  <c r="M60" i="13"/>
  <c r="M49" i="13"/>
  <c r="L103" i="7"/>
  <c r="L69" i="13"/>
  <c r="L24" i="11"/>
  <c r="L77" i="13" s="1"/>
  <c r="L75" i="12"/>
  <c r="L45" i="10"/>
  <c r="L51" i="10" s="1"/>
  <c r="L57" i="10" s="1"/>
  <c r="L69" i="10" s="1"/>
  <c r="L120" i="7"/>
  <c r="L57" i="12"/>
  <c r="L61" i="12" s="1"/>
  <c r="M20" i="12"/>
  <c r="M102" i="7"/>
  <c r="M43" i="12"/>
  <c r="M80" i="13" s="1"/>
  <c r="N52" i="11"/>
  <c r="M44" i="12" l="1"/>
  <c r="M79" i="13"/>
  <c r="L21" i="11"/>
  <c r="L25" i="11" s="1"/>
  <c r="M21" i="12"/>
  <c r="M23" i="12" s="1"/>
  <c r="L68" i="10"/>
  <c r="M104" i="7"/>
  <c r="M99" i="7"/>
  <c r="M15" i="11"/>
  <c r="M100" i="7" s="1"/>
  <c r="M18" i="11"/>
  <c r="N9" i="11"/>
  <c r="N57" i="11"/>
  <c r="N14" i="11" s="1"/>
  <c r="N60" i="11"/>
  <c r="N17" i="11" s="1"/>
  <c r="N68" i="13" s="1"/>
  <c r="N70" i="13" s="1"/>
  <c r="N94" i="7" l="1"/>
  <c r="N60" i="13"/>
  <c r="M103" i="7"/>
  <c r="M69" i="13"/>
  <c r="L121" i="7"/>
  <c r="L122" i="7" s="1"/>
  <c r="M119" i="7" s="1"/>
  <c r="L52" i="13"/>
  <c r="L54" i="13" s="1"/>
  <c r="N49" i="10"/>
  <c r="N49" i="13" s="1"/>
  <c r="N19" i="11"/>
  <c r="M43" i="10"/>
  <c r="M43" i="13" s="1"/>
  <c r="M48" i="13" s="1"/>
  <c r="M24" i="12"/>
  <c r="L70" i="10"/>
  <c r="M67" i="10" s="1"/>
  <c r="N20" i="12"/>
  <c r="N102" i="7"/>
  <c r="O52" i="11"/>
  <c r="L69" i="12" l="1"/>
  <c r="L73" i="12" s="1"/>
  <c r="L76" i="12"/>
  <c r="L77" i="12" s="1"/>
  <c r="M75" i="12" s="1"/>
  <c r="M45" i="10"/>
  <c r="M51" i="10" s="1"/>
  <c r="L49" i="12"/>
  <c r="L50" i="12" s="1"/>
  <c r="N21" i="12"/>
  <c r="N23" i="12" s="1"/>
  <c r="M120" i="7"/>
  <c r="M57" i="12"/>
  <c r="M61" i="12" s="1"/>
  <c r="N99" i="7"/>
  <c r="N43" i="12"/>
  <c r="N80" i="13" s="1"/>
  <c r="N104" i="7"/>
  <c r="N15" i="11"/>
  <c r="N100" i="7" s="1"/>
  <c r="N18" i="11"/>
  <c r="O9" i="11"/>
  <c r="O57" i="11"/>
  <c r="O14" i="11" s="1"/>
  <c r="O60" i="11"/>
  <c r="O17" i="11" s="1"/>
  <c r="O68" i="13" s="1"/>
  <c r="O70" i="13" s="1"/>
  <c r="N103" i="7" l="1"/>
  <c r="N69" i="13"/>
  <c r="O94" i="7"/>
  <c r="O60" i="13"/>
  <c r="N44" i="12"/>
  <c r="N79" i="13"/>
  <c r="L31" i="12"/>
  <c r="L35" i="12" s="1"/>
  <c r="L37" i="12" s="1"/>
  <c r="L51" i="12" s="1"/>
  <c r="O49" i="10"/>
  <c r="O49" i="13" s="1"/>
  <c r="O19" i="11"/>
  <c r="M21" i="11"/>
  <c r="M25" i="11" s="1"/>
  <c r="M31" i="11"/>
  <c r="M24" i="11"/>
  <c r="M32" i="11"/>
  <c r="N43" i="10"/>
  <c r="N43" i="13" s="1"/>
  <c r="N48" i="13" s="1"/>
  <c r="N24" i="12"/>
  <c r="O20" i="12"/>
  <c r="O102" i="7"/>
  <c r="P52" i="11"/>
  <c r="M61" i="10" l="1"/>
  <c r="M77" i="13"/>
  <c r="N45" i="10"/>
  <c r="N51" i="10" s="1"/>
  <c r="M33" i="11"/>
  <c r="M38" i="11"/>
  <c r="M55" i="10"/>
  <c r="O21" i="12"/>
  <c r="O23" i="12" s="1"/>
  <c r="N120" i="7"/>
  <c r="N57" i="12"/>
  <c r="N61" i="12" s="1"/>
  <c r="O99" i="7"/>
  <c r="O43" i="12"/>
  <c r="O80" i="13" s="1"/>
  <c r="O104" i="7"/>
  <c r="O15" i="11"/>
  <c r="O100" i="7" s="1"/>
  <c r="O18" i="11"/>
  <c r="P9" i="11"/>
  <c r="P60" i="11"/>
  <c r="P17" i="11" s="1"/>
  <c r="P68" i="13" s="1"/>
  <c r="P70" i="13" s="1"/>
  <c r="P57" i="11"/>
  <c r="P14" i="11" s="1"/>
  <c r="P94" i="7" l="1"/>
  <c r="P60" i="13"/>
  <c r="O103" i="7"/>
  <c r="O69" i="13"/>
  <c r="O44" i="12"/>
  <c r="O79" i="13"/>
  <c r="P49" i="10"/>
  <c r="P49" i="13" s="1"/>
  <c r="P19" i="11"/>
  <c r="N21" i="11"/>
  <c r="M33" i="12"/>
  <c r="M73" i="13" s="1"/>
  <c r="M63" i="10"/>
  <c r="M39" i="11"/>
  <c r="M40" i="11" s="1"/>
  <c r="N30" i="11"/>
  <c r="N31" i="11" s="1"/>
  <c r="O24" i="12"/>
  <c r="O43" i="10"/>
  <c r="O43" i="13" s="1"/>
  <c r="O48" i="13" s="1"/>
  <c r="P20" i="12"/>
  <c r="P102" i="7"/>
  <c r="Q52" i="11"/>
  <c r="N25" i="11" l="1"/>
  <c r="N24" i="11"/>
  <c r="N32" i="11"/>
  <c r="N33" i="11" s="1"/>
  <c r="O45" i="10"/>
  <c r="O51" i="10" s="1"/>
  <c r="M34" i="12"/>
  <c r="N37" i="11"/>
  <c r="M64" i="10"/>
  <c r="M56" i="10"/>
  <c r="M50" i="13" s="1"/>
  <c r="P21" i="12"/>
  <c r="P23" i="12" s="1"/>
  <c r="O120" i="7"/>
  <c r="O57" i="12"/>
  <c r="O61" i="12" s="1"/>
  <c r="P99" i="7"/>
  <c r="P43" i="12"/>
  <c r="P80" i="13" s="1"/>
  <c r="P104" i="7"/>
  <c r="P15" i="11"/>
  <c r="P100" i="7" s="1"/>
  <c r="P18" i="11"/>
  <c r="Q9" i="11"/>
  <c r="Q60" i="11"/>
  <c r="Q17" i="11" s="1"/>
  <c r="Q68" i="13" s="1"/>
  <c r="Q70" i="13" s="1"/>
  <c r="Q57" i="11"/>
  <c r="Q14" i="11" s="1"/>
  <c r="P103" i="7" l="1"/>
  <c r="P69" i="13"/>
  <c r="P44" i="12"/>
  <c r="P79" i="13"/>
  <c r="Q94" i="7"/>
  <c r="Q60" i="13"/>
  <c r="M70" i="12"/>
  <c r="M74" i="13"/>
  <c r="N61" i="10"/>
  <c r="N77" i="13"/>
  <c r="N38" i="11"/>
  <c r="O21" i="11"/>
  <c r="O32" i="11" s="1"/>
  <c r="N55" i="10"/>
  <c r="Q49" i="10"/>
  <c r="Q49" i="13" s="1"/>
  <c r="Q19" i="11"/>
  <c r="N39" i="11"/>
  <c r="N63" i="10"/>
  <c r="N33" i="12"/>
  <c r="N73" i="13" s="1"/>
  <c r="O30" i="11"/>
  <c r="O24" i="11"/>
  <c r="O25" i="11"/>
  <c r="M57" i="10"/>
  <c r="M69" i="10" s="1"/>
  <c r="P24" i="12"/>
  <c r="P43" i="10"/>
  <c r="P43" i="13" s="1"/>
  <c r="P48" i="13" s="1"/>
  <c r="Q20" i="12"/>
  <c r="Q102" i="7"/>
  <c r="R52" i="11"/>
  <c r="O31" i="11" l="1"/>
  <c r="O61" i="10"/>
  <c r="O77" i="13"/>
  <c r="N56" i="10"/>
  <c r="N57" i="10" s="1"/>
  <c r="N69" i="10" s="1"/>
  <c r="N40" i="11"/>
  <c r="N34" i="12" s="1"/>
  <c r="O33" i="11"/>
  <c r="P30" i="11" s="1"/>
  <c r="O55" i="10"/>
  <c r="P45" i="10"/>
  <c r="P51" i="10" s="1"/>
  <c r="Q21" i="12"/>
  <c r="Q23" i="12" s="1"/>
  <c r="P120" i="7"/>
  <c r="P57" i="12"/>
  <c r="P61" i="12" s="1"/>
  <c r="Q99" i="7"/>
  <c r="Q43" i="12"/>
  <c r="Q80" i="13" s="1"/>
  <c r="Q104" i="7"/>
  <c r="Q15" i="11"/>
  <c r="Q100" i="7" s="1"/>
  <c r="Q18" i="11"/>
  <c r="R9" i="11"/>
  <c r="R60" i="11"/>
  <c r="R17" i="11" s="1"/>
  <c r="R68" i="13" s="1"/>
  <c r="R70" i="13" s="1"/>
  <c r="R57" i="11"/>
  <c r="R14" i="11" s="1"/>
  <c r="N64" i="10" l="1"/>
  <c r="Q44" i="12"/>
  <c r="Q79" i="13"/>
  <c r="Q103" i="7"/>
  <c r="Q69" i="13"/>
  <c r="R94" i="7"/>
  <c r="R60" i="13"/>
  <c r="N70" i="12"/>
  <c r="N74" i="13"/>
  <c r="O37" i="11"/>
  <c r="O38" i="11" s="1"/>
  <c r="N50" i="13"/>
  <c r="P21" i="11"/>
  <c r="P32" i="11" s="1"/>
  <c r="P24" i="11"/>
  <c r="O33" i="12"/>
  <c r="O73" i="13" s="1"/>
  <c r="O39" i="11"/>
  <c r="O63" i="10"/>
  <c r="R49" i="10"/>
  <c r="R49" i="13" s="1"/>
  <c r="R19" i="11"/>
  <c r="Q43" i="10"/>
  <c r="Q43" i="13" s="1"/>
  <c r="Q48" i="13" s="1"/>
  <c r="Q24" i="12"/>
  <c r="R20" i="12"/>
  <c r="R102" i="7"/>
  <c r="S52" i="11"/>
  <c r="P25" i="11" l="1"/>
  <c r="P61" i="10"/>
  <c r="P77" i="13"/>
  <c r="P31" i="11"/>
  <c r="P55" i="10" s="1"/>
  <c r="O56" i="10"/>
  <c r="O50" i="13" s="1"/>
  <c r="O40" i="11"/>
  <c r="O34" i="12" s="1"/>
  <c r="O64" i="10"/>
  <c r="Q45" i="10"/>
  <c r="Q51" i="10" s="1"/>
  <c r="R21" i="12"/>
  <c r="R23" i="12" s="1"/>
  <c r="Q120" i="7"/>
  <c r="Q57" i="12"/>
  <c r="Q61" i="12" s="1"/>
  <c r="R99" i="7"/>
  <c r="R43" i="12"/>
  <c r="R80" i="13" s="1"/>
  <c r="R104" i="7"/>
  <c r="R15" i="11"/>
  <c r="R100" i="7" s="1"/>
  <c r="R18" i="11"/>
  <c r="S9" i="11"/>
  <c r="S60" i="11"/>
  <c r="S17" i="11" s="1"/>
  <c r="S68" i="13" s="1"/>
  <c r="S70" i="13" s="1"/>
  <c r="S57" i="11"/>
  <c r="S14" i="11" s="1"/>
  <c r="P37" i="11" l="1"/>
  <c r="R44" i="12"/>
  <c r="R79" i="13"/>
  <c r="S94" i="7"/>
  <c r="S60" i="13"/>
  <c r="R103" i="7"/>
  <c r="R69" i="13"/>
  <c r="P38" i="11"/>
  <c r="O70" i="12"/>
  <c r="O74" i="13"/>
  <c r="P33" i="11"/>
  <c r="P39" i="11" s="1"/>
  <c r="O57" i="10"/>
  <c r="O69" i="10" s="1"/>
  <c r="Q21" i="11"/>
  <c r="Q24" i="11" s="1"/>
  <c r="P33" i="12"/>
  <c r="P73" i="13" s="1"/>
  <c r="Q30" i="11"/>
  <c r="P63" i="10"/>
  <c r="S49" i="10"/>
  <c r="S49" i="13" s="1"/>
  <c r="S19" i="11"/>
  <c r="R43" i="10"/>
  <c r="R43" i="13" s="1"/>
  <c r="R48" i="13" s="1"/>
  <c r="R24" i="12"/>
  <c r="S20" i="12"/>
  <c r="S102" i="7"/>
  <c r="T52" i="11"/>
  <c r="Q32" i="11" l="1"/>
  <c r="Q25" i="11"/>
  <c r="P56" i="10"/>
  <c r="P50" i="13" s="1"/>
  <c r="P40" i="11"/>
  <c r="P34" i="12" s="1"/>
  <c r="Q31" i="11"/>
  <c r="Q55" i="10" s="1"/>
  <c r="Q61" i="10"/>
  <c r="Q77" i="13"/>
  <c r="R45" i="10"/>
  <c r="S21" i="12"/>
  <c r="S23" i="12" s="1"/>
  <c r="R120" i="7"/>
  <c r="R57" i="12"/>
  <c r="R61" i="12" s="1"/>
  <c r="S99" i="7"/>
  <c r="S43" i="12"/>
  <c r="S80" i="13" s="1"/>
  <c r="S104" i="7"/>
  <c r="S15" i="11"/>
  <c r="S100" i="7" s="1"/>
  <c r="S18" i="11"/>
  <c r="T9" i="11"/>
  <c r="T60" i="11"/>
  <c r="T17" i="11" s="1"/>
  <c r="T68" i="13" s="1"/>
  <c r="T70" i="13" s="1"/>
  <c r="T57" i="11"/>
  <c r="T14" i="11" s="1"/>
  <c r="P64" i="10" l="1"/>
  <c r="P57" i="10"/>
  <c r="P69" i="10" s="1"/>
  <c r="Q37" i="11"/>
  <c r="Q38" i="11" s="1"/>
  <c r="T94" i="7"/>
  <c r="T60" i="13"/>
  <c r="S103" i="7"/>
  <c r="S69" i="13"/>
  <c r="S44" i="12"/>
  <c r="S79" i="13"/>
  <c r="Q33" i="11"/>
  <c r="P70" i="12"/>
  <c r="P74" i="13"/>
  <c r="T49" i="10"/>
  <c r="T49" i="13" s="1"/>
  <c r="T19" i="11"/>
  <c r="R51" i="10"/>
  <c r="R21" i="11"/>
  <c r="S24" i="12"/>
  <c r="S43" i="10"/>
  <c r="S43" i="13" s="1"/>
  <c r="S48" i="13" s="1"/>
  <c r="T20" i="12"/>
  <c r="T102" i="7"/>
  <c r="U52" i="11"/>
  <c r="Q33" i="12" l="1"/>
  <c r="Q73" i="13" s="1"/>
  <c r="Q63" i="10"/>
  <c r="Q39" i="11"/>
  <c r="Q40" i="11" s="1"/>
  <c r="Q34" i="12" s="1"/>
  <c r="Q70" i="12" s="1"/>
  <c r="R30" i="11"/>
  <c r="R31" i="11" s="1"/>
  <c r="R32" i="11"/>
  <c r="R25" i="11"/>
  <c r="R24" i="11"/>
  <c r="S45" i="10"/>
  <c r="T21" i="12"/>
  <c r="T23" i="12" s="1"/>
  <c r="S120" i="7"/>
  <c r="S57" i="12"/>
  <c r="S61" i="12" s="1"/>
  <c r="T99" i="7"/>
  <c r="T43" i="12"/>
  <c r="T80" i="13" s="1"/>
  <c r="T104" i="7"/>
  <c r="T15" i="11"/>
  <c r="T100" i="7" s="1"/>
  <c r="T18" i="11"/>
  <c r="U60" i="11"/>
  <c r="U17" i="11" s="1"/>
  <c r="U68" i="13" s="1"/>
  <c r="U70" i="13" s="1"/>
  <c r="U57" i="11"/>
  <c r="U14" i="11" s="1"/>
  <c r="U9" i="11"/>
  <c r="R37" i="11" l="1"/>
  <c r="Q64" i="10"/>
  <c r="Q74" i="13"/>
  <c r="T44" i="12"/>
  <c r="T79" i="13"/>
  <c r="T103" i="7"/>
  <c r="T69" i="13"/>
  <c r="U94" i="7"/>
  <c r="U60" i="13"/>
  <c r="Q56" i="10"/>
  <c r="Q50" i="13" s="1"/>
  <c r="R61" i="10"/>
  <c r="R77" i="13"/>
  <c r="U49" i="10"/>
  <c r="U49" i="13" s="1"/>
  <c r="U19" i="11"/>
  <c r="R33" i="11"/>
  <c r="R55" i="10"/>
  <c r="S51" i="10"/>
  <c r="S21" i="11"/>
  <c r="R38" i="11"/>
  <c r="T43" i="10"/>
  <c r="T43" i="13" s="1"/>
  <c r="T48" i="13" s="1"/>
  <c r="T24" i="12"/>
  <c r="U20" i="12"/>
  <c r="U102" i="7"/>
  <c r="V52" i="11"/>
  <c r="Q57" i="10" l="1"/>
  <c r="Q69" i="10" s="1"/>
  <c r="S25" i="11"/>
  <c r="S24" i="11"/>
  <c r="S32" i="11"/>
  <c r="T45" i="10"/>
  <c r="T51" i="10" s="1"/>
  <c r="R33" i="12"/>
  <c r="R73" i="13" s="1"/>
  <c r="R63" i="10"/>
  <c r="R39" i="11"/>
  <c r="R56" i="10" s="1"/>
  <c r="R57" i="10" s="1"/>
  <c r="R69" i="10" s="1"/>
  <c r="S30" i="11"/>
  <c r="U21" i="12"/>
  <c r="U23" i="12" s="1"/>
  <c r="T120" i="7"/>
  <c r="T57" i="12"/>
  <c r="T61" i="12" s="1"/>
  <c r="U99" i="7"/>
  <c r="U43" i="12"/>
  <c r="U80" i="13" s="1"/>
  <c r="U104" i="7"/>
  <c r="U15" i="11"/>
  <c r="U100" i="7" s="1"/>
  <c r="U18" i="11"/>
  <c r="V57" i="11"/>
  <c r="V14" i="11" s="1"/>
  <c r="V9" i="11"/>
  <c r="V60" i="11"/>
  <c r="V17" i="11" s="1"/>
  <c r="V68" i="13" s="1"/>
  <c r="V70" i="13" s="1"/>
  <c r="U103" i="7" l="1"/>
  <c r="U69" i="13"/>
  <c r="U44" i="12"/>
  <c r="U79" i="13"/>
  <c r="V94" i="7"/>
  <c r="V60" i="13"/>
  <c r="S61" i="10"/>
  <c r="S77" i="13"/>
  <c r="R50" i="13"/>
  <c r="V49" i="10"/>
  <c r="V49" i="13" s="1"/>
  <c r="V19" i="11"/>
  <c r="T21" i="11"/>
  <c r="T25" i="11" s="1"/>
  <c r="S31" i="11"/>
  <c r="S55" i="10" s="1"/>
  <c r="R40" i="11"/>
  <c r="U24" i="12"/>
  <c r="U43" i="10"/>
  <c r="V20" i="12"/>
  <c r="V102" i="7"/>
  <c r="W52" i="11"/>
  <c r="U45" i="10" l="1"/>
  <c r="U51" i="10" s="1"/>
  <c r="U43" i="13"/>
  <c r="U48" i="13" s="1"/>
  <c r="T32" i="11"/>
  <c r="T24" i="11"/>
  <c r="R34" i="12"/>
  <c r="S37" i="11"/>
  <c r="R64" i="10"/>
  <c r="S33" i="11"/>
  <c r="U21" i="11"/>
  <c r="U24" i="11" s="1"/>
  <c r="V21" i="12"/>
  <c r="V23" i="12" s="1"/>
  <c r="U120" i="7"/>
  <c r="U57" i="12"/>
  <c r="U61" i="12" s="1"/>
  <c r="V99" i="7"/>
  <c r="V43" i="12"/>
  <c r="V80" i="13" s="1"/>
  <c r="V104" i="7"/>
  <c r="V15" i="11"/>
  <c r="V100" i="7" s="1"/>
  <c r="V18" i="11"/>
  <c r="W57" i="11"/>
  <c r="W14" i="11" s="1"/>
  <c r="W60" i="11"/>
  <c r="W17" i="11" s="1"/>
  <c r="W68" i="13" s="1"/>
  <c r="W70" i="13" s="1"/>
  <c r="W9" i="11"/>
  <c r="W94" i="7" l="1"/>
  <c r="W60" i="13"/>
  <c r="V44" i="12"/>
  <c r="V79" i="13"/>
  <c r="V103" i="7"/>
  <c r="V69" i="13"/>
  <c r="R70" i="12"/>
  <c r="R74" i="13"/>
  <c r="T61" i="10"/>
  <c r="T77" i="13"/>
  <c r="U61" i="10"/>
  <c r="U77" i="13"/>
  <c r="W49" i="10"/>
  <c r="W49" i="13" s="1"/>
  <c r="W19" i="11"/>
  <c r="U32" i="11"/>
  <c r="S63" i="10"/>
  <c r="S33" i="12"/>
  <c r="S73" i="13" s="1"/>
  <c r="T30" i="11"/>
  <c r="S39" i="11"/>
  <c r="S38" i="11"/>
  <c r="S56" i="10" s="1"/>
  <c r="S50" i="13" s="1"/>
  <c r="U25" i="11"/>
  <c r="V24" i="12"/>
  <c r="V43" i="10"/>
  <c r="W20" i="12"/>
  <c r="W21" i="12" s="1"/>
  <c r="W102" i="7"/>
  <c r="X52" i="11"/>
  <c r="V45" i="10" l="1"/>
  <c r="V51" i="10" s="1"/>
  <c r="V43" i="13"/>
  <c r="V48" i="13" s="1"/>
  <c r="S57" i="10"/>
  <c r="S69" i="10" s="1"/>
  <c r="T31" i="11"/>
  <c r="T55" i="10" s="1"/>
  <c r="S40" i="11"/>
  <c r="V21" i="11"/>
  <c r="V24" i="11" s="1"/>
  <c r="V120" i="7"/>
  <c r="V57" i="12"/>
  <c r="V61" i="12" s="1"/>
  <c r="W99" i="7"/>
  <c r="W43" i="12"/>
  <c r="W80" i="13" s="1"/>
  <c r="W23" i="12"/>
  <c r="W104" i="7"/>
  <c r="W15" i="11"/>
  <c r="W100" i="7" s="1"/>
  <c r="W18" i="11"/>
  <c r="X9" i="11"/>
  <c r="X57" i="11"/>
  <c r="X14" i="11" s="1"/>
  <c r="X60" i="11"/>
  <c r="X17" i="11" s="1"/>
  <c r="X68" i="13" s="1"/>
  <c r="X70" i="13" s="1"/>
  <c r="X94" i="7" l="1"/>
  <c r="X60" i="13"/>
  <c r="W103" i="7"/>
  <c r="W69" i="13"/>
  <c r="W44" i="12"/>
  <c r="W79" i="13"/>
  <c r="V61" i="10"/>
  <c r="V77" i="13"/>
  <c r="V32" i="11"/>
  <c r="X49" i="10"/>
  <c r="X49" i="13" s="1"/>
  <c r="X19" i="11"/>
  <c r="S34" i="12"/>
  <c r="T37" i="11"/>
  <c r="S64" i="10"/>
  <c r="T33" i="11"/>
  <c r="V25" i="11"/>
  <c r="W24" i="12"/>
  <c r="W43" i="10"/>
  <c r="W43" i="13" s="1"/>
  <c r="W48" i="13" s="1"/>
  <c r="X20" i="12"/>
  <c r="X102" i="7"/>
  <c r="Y52" i="11"/>
  <c r="S70" i="12" l="1"/>
  <c r="S74" i="13"/>
  <c r="T33" i="12"/>
  <c r="T73" i="13" s="1"/>
  <c r="U30" i="11"/>
  <c r="T63" i="10"/>
  <c r="T39" i="11"/>
  <c r="T38" i="11"/>
  <c r="T56" i="10" s="1"/>
  <c r="T50" i="13" s="1"/>
  <c r="W120" i="7"/>
  <c r="W57" i="12"/>
  <c r="W61" i="12" s="1"/>
  <c r="X21" i="12"/>
  <c r="X23" i="12" s="1"/>
  <c r="X24" i="12" s="1"/>
  <c r="W45" i="10"/>
  <c r="W51" i="10" s="1"/>
  <c r="X99" i="7"/>
  <c r="X43" i="12"/>
  <c r="X80" i="13" s="1"/>
  <c r="X104" i="7"/>
  <c r="X15" i="11"/>
  <c r="X100" i="7" s="1"/>
  <c r="X18" i="11"/>
  <c r="Y9" i="11"/>
  <c r="Y60" i="11"/>
  <c r="Y17" i="11" s="1"/>
  <c r="Y68" i="13" s="1"/>
  <c r="Y70" i="13" s="1"/>
  <c r="Y57" i="11"/>
  <c r="Y14" i="11" s="1"/>
  <c r="X103" i="7" l="1"/>
  <c r="X69" i="13"/>
  <c r="X44" i="12"/>
  <c r="X79" i="13"/>
  <c r="Y94" i="7"/>
  <c r="Y60" i="13"/>
  <c r="Y49" i="10"/>
  <c r="Y49" i="13" s="1"/>
  <c r="Y19" i="11"/>
  <c r="T40" i="11"/>
  <c r="T57" i="10"/>
  <c r="T69" i="10" s="1"/>
  <c r="U31" i="11"/>
  <c r="U55" i="10" s="1"/>
  <c r="W21" i="11"/>
  <c r="W32" i="11" s="1"/>
  <c r="X120" i="7"/>
  <c r="X57" i="12"/>
  <c r="X61" i="12" s="1"/>
  <c r="X43" i="10"/>
  <c r="Y20" i="12"/>
  <c r="Y102" i="7"/>
  <c r="Z52" i="11"/>
  <c r="X45" i="10" l="1"/>
  <c r="X51" i="10" s="1"/>
  <c r="X43" i="13"/>
  <c r="X48" i="13" s="1"/>
  <c r="W24" i="11"/>
  <c r="W25" i="11"/>
  <c r="U33" i="11"/>
  <c r="T34" i="12"/>
  <c r="U37" i="11"/>
  <c r="T64" i="10"/>
  <c r="Y21" i="12"/>
  <c r="Y23" i="12" s="1"/>
  <c r="Y99" i="7"/>
  <c r="Y43" i="12"/>
  <c r="Y80" i="13" s="1"/>
  <c r="Y104" i="7"/>
  <c r="Y15" i="11"/>
  <c r="Y100" i="7" s="1"/>
  <c r="Y18" i="11"/>
  <c r="Z57" i="11"/>
  <c r="Z14" i="11" s="1"/>
  <c r="Z60" i="11"/>
  <c r="Z17" i="11" s="1"/>
  <c r="Z68" i="13" s="1"/>
  <c r="Z70" i="13" s="1"/>
  <c r="Z9" i="11"/>
  <c r="X21" i="11" l="1"/>
  <c r="X32" i="11" s="1"/>
  <c r="Y103" i="7"/>
  <c r="Y69" i="13"/>
  <c r="Y44" i="12"/>
  <c r="Y79" i="13"/>
  <c r="Z94" i="7"/>
  <c r="Z60" i="13"/>
  <c r="T70" i="12"/>
  <c r="T74" i="13"/>
  <c r="W61" i="10"/>
  <c r="W77" i="13"/>
  <c r="Z49" i="10"/>
  <c r="Z49" i="13" s="1"/>
  <c r="Z19" i="11"/>
  <c r="U38" i="11"/>
  <c r="U33" i="12"/>
  <c r="U73" i="13" s="1"/>
  <c r="U39" i="11"/>
  <c r="U63" i="10"/>
  <c r="V30" i="11"/>
  <c r="Y43" i="10"/>
  <c r="Y24" i="12"/>
  <c r="Z20" i="12"/>
  <c r="Z102" i="7"/>
  <c r="AA52" i="11"/>
  <c r="X25" i="11" l="1"/>
  <c r="X24" i="11"/>
  <c r="Y45" i="10"/>
  <c r="Y51" i="10" s="1"/>
  <c r="Y43" i="13"/>
  <c r="Y48" i="13" s="1"/>
  <c r="U40" i="11"/>
  <c r="U34" i="12" s="1"/>
  <c r="U64" i="10"/>
  <c r="V31" i="11"/>
  <c r="V55" i="10" s="1"/>
  <c r="U56" i="10"/>
  <c r="U50" i="13" s="1"/>
  <c r="Y120" i="7"/>
  <c r="Y57" i="12"/>
  <c r="Y61" i="12" s="1"/>
  <c r="Z21" i="12"/>
  <c r="Z23" i="12" s="1"/>
  <c r="Z99" i="7"/>
  <c r="Z43" i="12"/>
  <c r="Z80" i="13" s="1"/>
  <c r="Z104" i="7"/>
  <c r="Z15" i="11"/>
  <c r="Z100" i="7" s="1"/>
  <c r="Z18" i="11"/>
  <c r="AA60" i="11"/>
  <c r="AA17" i="11" s="1"/>
  <c r="AA68" i="13" s="1"/>
  <c r="AA70" i="13" s="1"/>
  <c r="AA9" i="11"/>
  <c r="AA57" i="11"/>
  <c r="AA14" i="11" s="1"/>
  <c r="Y21" i="11" l="1"/>
  <c r="Y32" i="11" s="1"/>
  <c r="X61" i="10"/>
  <c r="X77" i="13"/>
  <c r="Z103" i="7"/>
  <c r="Z69" i="13"/>
  <c r="Z44" i="12"/>
  <c r="Z79" i="13"/>
  <c r="AA94" i="7"/>
  <c r="AA60" i="13"/>
  <c r="Y24" i="11"/>
  <c r="Y77" i="13" s="1"/>
  <c r="U70" i="12"/>
  <c r="U74" i="13"/>
  <c r="AA49" i="10"/>
  <c r="AA49" i="13" s="1"/>
  <c r="AA19" i="11"/>
  <c r="V37" i="11"/>
  <c r="V38" i="11" s="1"/>
  <c r="Y25" i="11"/>
  <c r="U57" i="10"/>
  <c r="U69" i="10" s="1"/>
  <c r="V33" i="11"/>
  <c r="Z43" i="10"/>
  <c r="Z24" i="12"/>
  <c r="AA20" i="12"/>
  <c r="AA102" i="7"/>
  <c r="AB52" i="11"/>
  <c r="Y61" i="10" l="1"/>
  <c r="Z45" i="10"/>
  <c r="Z51" i="10" s="1"/>
  <c r="Z43" i="13"/>
  <c r="Z48" i="13" s="1"/>
  <c r="V39" i="11"/>
  <c r="V56" i="10" s="1"/>
  <c r="V50" i="13" s="1"/>
  <c r="W30" i="11"/>
  <c r="V63" i="10"/>
  <c r="V33" i="12"/>
  <c r="V73" i="13" s="1"/>
  <c r="Z21" i="11"/>
  <c r="Z25" i="11" s="1"/>
  <c r="AA21" i="12"/>
  <c r="AA23" i="12" s="1"/>
  <c r="Z120" i="7"/>
  <c r="Z57" i="12"/>
  <c r="Z61" i="12" s="1"/>
  <c r="AA99" i="7"/>
  <c r="AA43" i="12"/>
  <c r="AA80" i="13" s="1"/>
  <c r="AA104" i="7"/>
  <c r="AA15" i="11"/>
  <c r="AA100" i="7" s="1"/>
  <c r="AA18" i="11"/>
  <c r="AB60" i="11"/>
  <c r="AB17" i="11" s="1"/>
  <c r="AB68" i="13" s="1"/>
  <c r="AB70" i="13" s="1"/>
  <c r="AB9" i="11"/>
  <c r="AB57" i="11"/>
  <c r="AB14" i="11" s="1"/>
  <c r="AA103" i="7" l="1"/>
  <c r="AA69" i="13"/>
  <c r="AA44" i="12"/>
  <c r="AA79" i="13"/>
  <c r="AB94" i="7"/>
  <c r="AB60" i="13"/>
  <c r="AB49" i="10"/>
  <c r="AB49" i="13" s="1"/>
  <c r="AB19" i="11"/>
  <c r="Z24" i="11"/>
  <c r="V57" i="10"/>
  <c r="V69" i="10" s="1"/>
  <c r="W31" i="11"/>
  <c r="W55" i="10" s="1"/>
  <c r="V40" i="11"/>
  <c r="Z32" i="11"/>
  <c r="AA24" i="12"/>
  <c r="AA43" i="10"/>
  <c r="AB20" i="12"/>
  <c r="AB102" i="7"/>
  <c r="AC52" i="11"/>
  <c r="Z61" i="10" l="1"/>
  <c r="Z77" i="13"/>
  <c r="AA45" i="10"/>
  <c r="AA51" i="10" s="1"/>
  <c r="AA43" i="13"/>
  <c r="AA48" i="13" s="1"/>
  <c r="V34" i="12"/>
  <c r="V64" i="10"/>
  <c r="W37" i="11"/>
  <c r="W38" i="11" s="1"/>
  <c r="W33" i="11"/>
  <c r="AB21" i="12"/>
  <c r="AB23" i="12" s="1"/>
  <c r="AA120" i="7"/>
  <c r="AA57" i="12"/>
  <c r="AA61" i="12" s="1"/>
  <c r="AB99" i="7"/>
  <c r="AB43" i="12"/>
  <c r="AB80" i="13" s="1"/>
  <c r="AB104" i="7"/>
  <c r="AB15" i="11"/>
  <c r="AB100" i="7" s="1"/>
  <c r="AB18" i="11"/>
  <c r="AC60" i="11"/>
  <c r="AC17" i="11" s="1"/>
  <c r="AC68" i="13" s="1"/>
  <c r="AC70" i="13" s="1"/>
  <c r="AC9" i="11"/>
  <c r="AC57" i="11"/>
  <c r="AC14" i="11" s="1"/>
  <c r="AB44" i="12" l="1"/>
  <c r="AB79" i="13"/>
  <c r="AB103" i="7"/>
  <c r="AB69" i="13"/>
  <c r="AC94" i="7"/>
  <c r="AC60" i="13"/>
  <c r="V70" i="12"/>
  <c r="V74" i="13"/>
  <c r="AA21" i="11"/>
  <c r="AA32" i="11" s="1"/>
  <c r="AC49" i="10"/>
  <c r="AC49" i="13" s="1"/>
  <c r="AC19" i="11"/>
  <c r="AA24" i="11"/>
  <c r="AA25" i="11"/>
  <c r="W63" i="10"/>
  <c r="W39" i="11"/>
  <c r="W40" i="11" s="1"/>
  <c r="X30" i="11"/>
  <c r="W33" i="12"/>
  <c r="W73" i="13" s="1"/>
  <c r="AB24" i="12"/>
  <c r="AB43" i="10"/>
  <c r="AC20" i="12"/>
  <c r="AC102" i="7"/>
  <c r="AD52" i="11"/>
  <c r="AB45" i="10" l="1"/>
  <c r="AB51" i="10" s="1"/>
  <c r="AB43" i="13"/>
  <c r="AB48" i="13" s="1"/>
  <c r="AA61" i="10"/>
  <c r="AA77" i="13"/>
  <c r="W56" i="10"/>
  <c r="W50" i="13" s="1"/>
  <c r="X31" i="11"/>
  <c r="X55" i="10" s="1"/>
  <c r="W34" i="12"/>
  <c r="X37" i="11"/>
  <c r="W64" i="10"/>
  <c r="AC21" i="12"/>
  <c r="AC23" i="12" s="1"/>
  <c r="AB120" i="7"/>
  <c r="AB57" i="12"/>
  <c r="AB61" i="12" s="1"/>
  <c r="AC99" i="7"/>
  <c r="AC43" i="12"/>
  <c r="AC80" i="13" s="1"/>
  <c r="AC104" i="7"/>
  <c r="AC15" i="11"/>
  <c r="AC100" i="7" s="1"/>
  <c r="AC18" i="11"/>
  <c r="AD9" i="11"/>
  <c r="AD57" i="11"/>
  <c r="AD14" i="11" s="1"/>
  <c r="AD60" i="11"/>
  <c r="AD17" i="11" s="1"/>
  <c r="AD68" i="13" s="1"/>
  <c r="AD70" i="13" s="1"/>
  <c r="AB21" i="11" l="1"/>
  <c r="AC44" i="12"/>
  <c r="AC79" i="13"/>
  <c r="AD94" i="7"/>
  <c r="AD60" i="13"/>
  <c r="AC103" i="7"/>
  <c r="AC69" i="13"/>
  <c r="W70" i="12"/>
  <c r="W74" i="13"/>
  <c r="AD49" i="10"/>
  <c r="AD49" i="13" s="1"/>
  <c r="AD19" i="11"/>
  <c r="X38" i="11"/>
  <c r="X33" i="11"/>
  <c r="W57" i="10"/>
  <c r="W69" i="10" s="1"/>
  <c r="AB32" i="11"/>
  <c r="AC43" i="10"/>
  <c r="AC24" i="12"/>
  <c r="AD20" i="12"/>
  <c r="AD102" i="7"/>
  <c r="AE52" i="11"/>
  <c r="AB25" i="11" l="1"/>
  <c r="AB24" i="11"/>
  <c r="AC45" i="10"/>
  <c r="AC51" i="10" s="1"/>
  <c r="AC43" i="13"/>
  <c r="AC48" i="13" s="1"/>
  <c r="X63" i="10"/>
  <c r="X39" i="11"/>
  <c r="X56" i="10" s="1"/>
  <c r="X50" i="13" s="1"/>
  <c r="Y30" i="11"/>
  <c r="X33" i="12"/>
  <c r="X73" i="13" s="1"/>
  <c r="AC120" i="7"/>
  <c r="AC57" i="12"/>
  <c r="AC61" i="12" s="1"/>
  <c r="AD21" i="12"/>
  <c r="AD23" i="12" s="1"/>
  <c r="AD99" i="7"/>
  <c r="AD43" i="12"/>
  <c r="AD80" i="13" s="1"/>
  <c r="AD104" i="7"/>
  <c r="AD15" i="11"/>
  <c r="AD100" i="7" s="1"/>
  <c r="AD18" i="11"/>
  <c r="AE60" i="11"/>
  <c r="AE17" i="11" s="1"/>
  <c r="AE68" i="13" s="1"/>
  <c r="AE70" i="13" s="1"/>
  <c r="AE9" i="11"/>
  <c r="AE57" i="11"/>
  <c r="AE14" i="11" s="1"/>
  <c r="AC21" i="11" l="1"/>
  <c r="AB77" i="13"/>
  <c r="AB61" i="10"/>
  <c r="AD44" i="12"/>
  <c r="AD79" i="13"/>
  <c r="AE94" i="7"/>
  <c r="AE60" i="13"/>
  <c r="AD103" i="7"/>
  <c r="AD69" i="13"/>
  <c r="AE49" i="10"/>
  <c r="AE49" i="13" s="1"/>
  <c r="AE19" i="11"/>
  <c r="Y31" i="11"/>
  <c r="Y33" i="11" s="1"/>
  <c r="X57" i="10"/>
  <c r="X69" i="10" s="1"/>
  <c r="X40" i="11"/>
  <c r="AD43" i="10"/>
  <c r="AD24" i="12"/>
  <c r="AE20" i="12"/>
  <c r="AE102" i="7"/>
  <c r="AF52" i="11"/>
  <c r="AC24" i="11" l="1"/>
  <c r="AC25" i="11"/>
  <c r="AC32" i="11"/>
  <c r="AD45" i="10"/>
  <c r="AD51" i="10" s="1"/>
  <c r="AD43" i="13"/>
  <c r="AD48" i="13" s="1"/>
  <c r="Y63" i="10"/>
  <c r="Y39" i="11"/>
  <c r="Z30" i="11"/>
  <c r="Y33" i="12"/>
  <c r="Y73" i="13" s="1"/>
  <c r="X34" i="12"/>
  <c r="X64" i="10"/>
  <c r="Y37" i="11"/>
  <c r="Y55" i="10"/>
  <c r="AD21" i="11"/>
  <c r="AD25" i="11" s="1"/>
  <c r="AD120" i="7"/>
  <c r="AD57" i="12"/>
  <c r="AD61" i="12" s="1"/>
  <c r="AE21" i="12"/>
  <c r="AE23" i="12" s="1"/>
  <c r="AE99" i="7"/>
  <c r="AE43" i="12"/>
  <c r="AE80" i="13" s="1"/>
  <c r="AE104" i="7"/>
  <c r="AE15" i="11"/>
  <c r="AE100" i="7" s="1"/>
  <c r="AE18" i="11"/>
  <c r="AF57" i="11"/>
  <c r="AF14" i="11" s="1"/>
  <c r="AF9" i="11"/>
  <c r="AF60" i="11"/>
  <c r="AF17" i="11" s="1"/>
  <c r="AF68" i="13" s="1"/>
  <c r="AF70" i="13" s="1"/>
  <c r="AD24" i="11" l="1"/>
  <c r="AD77" i="13" s="1"/>
  <c r="AD32" i="11"/>
  <c r="AC61" i="10"/>
  <c r="AC77" i="13"/>
  <c r="AF94" i="7"/>
  <c r="AF60" i="13"/>
  <c r="AE103" i="7"/>
  <c r="AE69" i="13"/>
  <c r="AE44" i="12"/>
  <c r="AE79" i="13"/>
  <c r="X70" i="12"/>
  <c r="X74" i="13"/>
  <c r="AD61" i="10"/>
  <c r="AF49" i="10"/>
  <c r="AF49" i="13" s="1"/>
  <c r="AF19" i="11"/>
  <c r="Z31" i="11"/>
  <c r="Z33" i="11" s="1"/>
  <c r="Y38" i="11"/>
  <c r="Y56" i="10" s="1"/>
  <c r="Y50" i="13" s="1"/>
  <c r="AE43" i="10"/>
  <c r="AE24" i="12"/>
  <c r="AF20" i="12"/>
  <c r="AF102" i="7"/>
  <c r="AG52" i="11"/>
  <c r="AE45" i="10" l="1"/>
  <c r="AE51" i="10" s="1"/>
  <c r="AE43" i="13"/>
  <c r="AE48" i="13" s="1"/>
  <c r="Z39" i="11"/>
  <c r="AA30" i="11"/>
  <c r="Z33" i="12"/>
  <c r="Z73" i="13" s="1"/>
  <c r="Z63" i="10"/>
  <c r="Z55" i="10"/>
  <c r="Y57" i="10"/>
  <c r="Y69" i="10" s="1"/>
  <c r="Y40" i="11"/>
  <c r="AF21" i="12"/>
  <c r="AF23" i="12" s="1"/>
  <c r="AE120" i="7"/>
  <c r="AE57" i="12"/>
  <c r="AE61" i="12" s="1"/>
  <c r="AF99" i="7"/>
  <c r="AF43" i="12"/>
  <c r="AF80" i="13" s="1"/>
  <c r="AF104" i="7"/>
  <c r="AF15" i="11"/>
  <c r="AF100" i="7" s="1"/>
  <c r="AF18" i="11"/>
  <c r="AG57" i="11"/>
  <c r="AG14" i="11" s="1"/>
  <c r="AG9" i="11"/>
  <c r="AG60" i="11"/>
  <c r="AG17" i="11" s="1"/>
  <c r="AG68" i="13" s="1"/>
  <c r="AG70" i="13" s="1"/>
  <c r="AE21" i="11" l="1"/>
  <c r="AE25" i="11" s="1"/>
  <c r="AF44" i="12"/>
  <c r="AF79" i="13"/>
  <c r="AG94" i="7"/>
  <c r="AG60" i="13"/>
  <c r="AF103" i="7"/>
  <c r="AF69" i="13"/>
  <c r="AE32" i="11"/>
  <c r="AE24" i="11"/>
  <c r="AG49" i="10"/>
  <c r="AG49" i="13" s="1"/>
  <c r="AG19" i="11"/>
  <c r="Y34" i="12"/>
  <c r="Y64" i="10"/>
  <c r="Z37" i="11"/>
  <c r="AA31" i="11"/>
  <c r="AF24" i="12"/>
  <c r="AF43" i="10"/>
  <c r="AG20" i="12"/>
  <c r="AG102" i="7"/>
  <c r="AH52" i="11"/>
  <c r="Y70" i="12" l="1"/>
  <c r="Y74" i="13"/>
  <c r="AF45" i="10"/>
  <c r="AF51" i="10" s="1"/>
  <c r="AF43" i="13"/>
  <c r="AF48" i="13" s="1"/>
  <c r="AE61" i="10"/>
  <c r="AE77" i="13"/>
  <c r="AA55" i="10"/>
  <c r="AA33" i="11"/>
  <c r="Z38" i="11"/>
  <c r="Z56" i="10" s="1"/>
  <c r="Z50" i="13" s="1"/>
  <c r="AG21" i="12"/>
  <c r="AG23" i="12" s="1"/>
  <c r="AF120" i="7"/>
  <c r="AF57" i="12"/>
  <c r="AF61" i="12" s="1"/>
  <c r="AG99" i="7"/>
  <c r="AG43" i="12"/>
  <c r="AG80" i="13" s="1"/>
  <c r="AG104" i="7"/>
  <c r="AG15" i="11"/>
  <c r="AG100" i="7" s="1"/>
  <c r="AG18" i="11"/>
  <c r="AH57" i="11"/>
  <c r="AH14" i="11" s="1"/>
  <c r="AH9" i="11"/>
  <c r="AH60" i="11"/>
  <c r="AH17" i="11" s="1"/>
  <c r="AH68" i="13" s="1"/>
  <c r="AH70" i="13" s="1"/>
  <c r="AG103" i="7" l="1"/>
  <c r="AG69" i="13"/>
  <c r="AH94" i="7"/>
  <c r="AH60" i="13"/>
  <c r="AG44" i="12"/>
  <c r="AG79" i="13"/>
  <c r="AF21" i="11"/>
  <c r="AF32" i="11" s="1"/>
  <c r="AF24" i="11"/>
  <c r="AH49" i="10"/>
  <c r="AH49" i="13" s="1"/>
  <c r="AH19" i="11"/>
  <c r="Z57" i="10"/>
  <c r="Z69" i="10" s="1"/>
  <c r="Z40" i="11"/>
  <c r="AA63" i="10"/>
  <c r="AA33" i="12"/>
  <c r="AA73" i="13" s="1"/>
  <c r="AA39" i="11"/>
  <c r="AB30" i="11"/>
  <c r="AG24" i="12"/>
  <c r="AG43" i="10"/>
  <c r="AH20" i="12"/>
  <c r="AH102" i="7"/>
  <c r="AI52" i="11"/>
  <c r="AF25" i="11" l="1"/>
  <c r="AG45" i="10"/>
  <c r="AG51" i="10" s="1"/>
  <c r="AG43" i="13"/>
  <c r="AG48" i="13" s="1"/>
  <c r="AF61" i="10"/>
  <c r="AF77" i="13"/>
  <c r="AB31" i="11"/>
  <c r="AB33" i="11" s="1"/>
  <c r="Z34" i="12"/>
  <c r="Z64" i="10"/>
  <c r="AA37" i="11"/>
  <c r="AH21" i="12"/>
  <c r="AH23" i="12" s="1"/>
  <c r="AG120" i="7"/>
  <c r="AG57" i="12"/>
  <c r="AG61" i="12" s="1"/>
  <c r="AH99" i="7"/>
  <c r="AH43" i="12"/>
  <c r="AH80" i="13" s="1"/>
  <c r="AH104" i="7"/>
  <c r="AH15" i="11"/>
  <c r="AH100" i="7" s="1"/>
  <c r="AH18" i="11"/>
  <c r="AI57" i="11"/>
  <c r="AI14" i="11" s="1"/>
  <c r="AI9" i="11"/>
  <c r="AI60" i="11"/>
  <c r="AI17" i="11" s="1"/>
  <c r="AI68" i="13" s="1"/>
  <c r="AI70" i="13" s="1"/>
  <c r="AG21" i="11" l="1"/>
  <c r="AH44" i="12"/>
  <c r="AH79" i="13"/>
  <c r="AI94" i="7"/>
  <c r="AI60" i="13"/>
  <c r="AH103" i="7"/>
  <c r="AH69" i="13"/>
  <c r="Z70" i="12"/>
  <c r="Z74" i="13"/>
  <c r="AG25" i="11"/>
  <c r="AG24" i="11"/>
  <c r="AI49" i="10"/>
  <c r="AI49" i="13" s="1"/>
  <c r="AI19" i="11"/>
  <c r="AG32" i="11"/>
  <c r="AB63" i="10"/>
  <c r="AB39" i="11"/>
  <c r="AB33" i="12"/>
  <c r="AB73" i="13" s="1"/>
  <c r="AC30" i="11"/>
  <c r="AA38" i="11"/>
  <c r="AA56" i="10" s="1"/>
  <c r="AA50" i="13" s="1"/>
  <c r="AB55" i="10"/>
  <c r="AH24" i="12"/>
  <c r="AH43" i="10"/>
  <c r="AI20" i="12"/>
  <c r="AI102" i="7"/>
  <c r="AJ52" i="11"/>
  <c r="AH45" i="10" l="1"/>
  <c r="AH51" i="10" s="1"/>
  <c r="AH43" i="13"/>
  <c r="AH48" i="13" s="1"/>
  <c r="AG61" i="10"/>
  <c r="AG77" i="13"/>
  <c r="AA57" i="10"/>
  <c r="AA69" i="10" s="1"/>
  <c r="AA40" i="11"/>
  <c r="AC31" i="11"/>
  <c r="AH21" i="11"/>
  <c r="AI21" i="12"/>
  <c r="AI23" i="12" s="1"/>
  <c r="AH120" i="7"/>
  <c r="AH57" i="12"/>
  <c r="AH61" i="12" s="1"/>
  <c r="AI99" i="7"/>
  <c r="AI43" i="12"/>
  <c r="AI80" i="13" s="1"/>
  <c r="AI104" i="7"/>
  <c r="AI15" i="11"/>
  <c r="AI100" i="7" s="1"/>
  <c r="AI18" i="11"/>
  <c r="AJ57" i="11"/>
  <c r="AJ14" i="11" s="1"/>
  <c r="AJ9" i="11"/>
  <c r="AJ60" i="11"/>
  <c r="AJ17" i="11" s="1"/>
  <c r="AJ68" i="13" s="1"/>
  <c r="AJ70" i="13" s="1"/>
  <c r="AI103" i="7" l="1"/>
  <c r="AI69" i="13"/>
  <c r="AI44" i="12"/>
  <c r="AI79" i="13"/>
  <c r="AJ94" i="7"/>
  <c r="AJ60" i="13"/>
  <c r="AH32" i="11"/>
  <c r="AH24" i="11"/>
  <c r="AJ49" i="10"/>
  <c r="AJ49" i="13" s="1"/>
  <c r="AJ19" i="11"/>
  <c r="AH25" i="11"/>
  <c r="AC55" i="10"/>
  <c r="AA34" i="12"/>
  <c r="AB37" i="11"/>
  <c r="AA64" i="10"/>
  <c r="AC33" i="11"/>
  <c r="AI43" i="10"/>
  <c r="AI24" i="12"/>
  <c r="AJ20" i="12"/>
  <c r="AJ102" i="7"/>
  <c r="AK52" i="11"/>
  <c r="AA70" i="12" l="1"/>
  <c r="AA74" i="13"/>
  <c r="AI45" i="10"/>
  <c r="AI51" i="10" s="1"/>
  <c r="AI43" i="13"/>
  <c r="AI48" i="13" s="1"/>
  <c r="AH61" i="10"/>
  <c r="AH77" i="13"/>
  <c r="AC63" i="10"/>
  <c r="AD30" i="11"/>
  <c r="AC33" i="12"/>
  <c r="AC73" i="13" s="1"/>
  <c r="AC39" i="11"/>
  <c r="AB38" i="11"/>
  <c r="AB56" i="10" s="1"/>
  <c r="AB50" i="13" s="1"/>
  <c r="AI21" i="11"/>
  <c r="AJ21" i="12"/>
  <c r="AJ23" i="12" s="1"/>
  <c r="AI120" i="7"/>
  <c r="AI57" i="12"/>
  <c r="AI61" i="12" s="1"/>
  <c r="AJ99" i="7"/>
  <c r="AJ43" i="12"/>
  <c r="AJ80" i="13" s="1"/>
  <c r="AJ104" i="7"/>
  <c r="AJ15" i="11"/>
  <c r="AJ100" i="7" s="1"/>
  <c r="AJ18" i="11"/>
  <c r="AK57" i="11"/>
  <c r="AK14" i="11" s="1"/>
  <c r="AK9" i="11"/>
  <c r="AK60" i="11"/>
  <c r="AK17" i="11" s="1"/>
  <c r="AK68" i="13" s="1"/>
  <c r="AK70" i="13" s="1"/>
  <c r="AK94" i="7" l="1"/>
  <c r="AK60" i="13"/>
  <c r="AJ103" i="7"/>
  <c r="AJ69" i="13"/>
  <c r="AJ44" i="12"/>
  <c r="AJ79" i="13"/>
  <c r="AI25" i="11"/>
  <c r="AI24" i="11"/>
  <c r="AK49" i="10"/>
  <c r="AK49" i="13" s="1"/>
  <c r="AK19" i="11"/>
  <c r="AI32" i="11"/>
  <c r="AB57" i="10"/>
  <c r="AB69" i="10" s="1"/>
  <c r="AB40" i="11"/>
  <c r="AD31" i="11"/>
  <c r="AD55" i="10" s="1"/>
  <c r="AJ43" i="10"/>
  <c r="AJ24" i="12"/>
  <c r="AK20" i="12"/>
  <c r="AK102" i="7"/>
  <c r="AL52" i="11"/>
  <c r="AI61" i="10" l="1"/>
  <c r="AI77" i="13"/>
  <c r="AJ45" i="10"/>
  <c r="AJ51" i="10" s="1"/>
  <c r="AJ43" i="13"/>
  <c r="AJ48" i="13" s="1"/>
  <c r="AD33" i="11"/>
  <c r="AB34" i="12"/>
  <c r="AC37" i="11"/>
  <c r="AB64" i="10"/>
  <c r="AK21" i="12"/>
  <c r="AK23" i="12" s="1"/>
  <c r="AJ120" i="7"/>
  <c r="AJ57" i="12"/>
  <c r="AJ61" i="12" s="1"/>
  <c r="AK99" i="7"/>
  <c r="AK43" i="12"/>
  <c r="AK80" i="13" s="1"/>
  <c r="AK104" i="7"/>
  <c r="AK15" i="11"/>
  <c r="AK100" i="7" s="1"/>
  <c r="AK18" i="11"/>
  <c r="AL57" i="11"/>
  <c r="AL14" i="11" s="1"/>
  <c r="AL9" i="11"/>
  <c r="AL60" i="11"/>
  <c r="AL17" i="11" s="1"/>
  <c r="AL68" i="13" s="1"/>
  <c r="AL70" i="13" s="1"/>
  <c r="AJ21" i="11" l="1"/>
  <c r="AJ25" i="11" s="1"/>
  <c r="AK44" i="12"/>
  <c r="AK79" i="13"/>
  <c r="AL94" i="7"/>
  <c r="AL60" i="13"/>
  <c r="AK103" i="7"/>
  <c r="AK69" i="13"/>
  <c r="AB70" i="12"/>
  <c r="AB74" i="13"/>
  <c r="AJ24" i="11"/>
  <c r="AL49" i="10"/>
  <c r="AL49" i="13" s="1"/>
  <c r="AL19" i="11"/>
  <c r="AJ32" i="11"/>
  <c r="AC38" i="11"/>
  <c r="AC56" i="10" s="1"/>
  <c r="AC50" i="13" s="1"/>
  <c r="AD63" i="10"/>
  <c r="AE30" i="11"/>
  <c r="AD39" i="11"/>
  <c r="AD33" i="12"/>
  <c r="AD73" i="13" s="1"/>
  <c r="AK43" i="10"/>
  <c r="AK24" i="12"/>
  <c r="AL20" i="12"/>
  <c r="AL102" i="7"/>
  <c r="AM52" i="11"/>
  <c r="AK45" i="10" l="1"/>
  <c r="AK51" i="10" s="1"/>
  <c r="AK43" i="13"/>
  <c r="AK48" i="13" s="1"/>
  <c r="AJ61" i="10"/>
  <c r="AJ77" i="13"/>
  <c r="AK21" i="11"/>
  <c r="AK32" i="11" s="1"/>
  <c r="AE31" i="11"/>
  <c r="AE33" i="11" s="1"/>
  <c r="AC57" i="10"/>
  <c r="AC69" i="10" s="1"/>
  <c r="AC40" i="11"/>
  <c r="AL21" i="12"/>
  <c r="AL23" i="12" s="1"/>
  <c r="AK120" i="7"/>
  <c r="AK57" i="12"/>
  <c r="AK61" i="12" s="1"/>
  <c r="AL99" i="7"/>
  <c r="AL43" i="12"/>
  <c r="AL80" i="13" s="1"/>
  <c r="AL104" i="7"/>
  <c r="AL15" i="11"/>
  <c r="AL100" i="7" s="1"/>
  <c r="AL18" i="11"/>
  <c r="AM57" i="11"/>
  <c r="AM14" i="11" s="1"/>
  <c r="AM9" i="11"/>
  <c r="AM60" i="11"/>
  <c r="AM17" i="11" s="1"/>
  <c r="AM68" i="13" s="1"/>
  <c r="AM70" i="13" s="1"/>
  <c r="AL44" i="12" l="1"/>
  <c r="AL79" i="13"/>
  <c r="AM94" i="7"/>
  <c r="AM60" i="13"/>
  <c r="AL103" i="7"/>
  <c r="AL69" i="13"/>
  <c r="AK25" i="11"/>
  <c r="AK24" i="11"/>
  <c r="AM49" i="10"/>
  <c r="AM49" i="13" s="1"/>
  <c r="AM19" i="11"/>
  <c r="AE33" i="12"/>
  <c r="AE73" i="13" s="1"/>
  <c r="AE39" i="11"/>
  <c r="AF30" i="11"/>
  <c r="AE63" i="10"/>
  <c r="AC34" i="12"/>
  <c r="AC64" i="10"/>
  <c r="AD37" i="11"/>
  <c r="AE55" i="10"/>
  <c r="AL24" i="12"/>
  <c r="AL43" i="10"/>
  <c r="AL43" i="13" s="1"/>
  <c r="AL48" i="13" s="1"/>
  <c r="AM20" i="12"/>
  <c r="AM102" i="7"/>
  <c r="AN52" i="11"/>
  <c r="AK61" i="10" l="1"/>
  <c r="AK77" i="13"/>
  <c r="AL45" i="10"/>
  <c r="AL51" i="10" s="1"/>
  <c r="AC70" i="12"/>
  <c r="AC74" i="13"/>
  <c r="AD38" i="11"/>
  <c r="AD56" i="10" s="1"/>
  <c r="AD50" i="13" s="1"/>
  <c r="AF31" i="11"/>
  <c r="AF33" i="11" s="1"/>
  <c r="AM21" i="12"/>
  <c r="AM23" i="12" s="1"/>
  <c r="AM43" i="10" s="1"/>
  <c r="AM43" i="13" s="1"/>
  <c r="AM48" i="13" s="1"/>
  <c r="AL120" i="7"/>
  <c r="AL57" i="12"/>
  <c r="AL61" i="12" s="1"/>
  <c r="AM99" i="7"/>
  <c r="AM43" i="12"/>
  <c r="AM80" i="13" s="1"/>
  <c r="AM104" i="7"/>
  <c r="AM15" i="11"/>
  <c r="AM100" i="7" s="1"/>
  <c r="AM18" i="11"/>
  <c r="AN57" i="11"/>
  <c r="AN14" i="11" s="1"/>
  <c r="AN9" i="11"/>
  <c r="AN60" i="11"/>
  <c r="AN17" i="11" s="1"/>
  <c r="AN68" i="13" s="1"/>
  <c r="AN70" i="13" s="1"/>
  <c r="AM103" i="7" l="1"/>
  <c r="AM69" i="13"/>
  <c r="AM44" i="12"/>
  <c r="AM79" i="13"/>
  <c r="AN94" i="7"/>
  <c r="AN60" i="13"/>
  <c r="AL21" i="11"/>
  <c r="AL32" i="11" s="1"/>
  <c r="AL24" i="11"/>
  <c r="AN49" i="10"/>
  <c r="AN49" i="13" s="1"/>
  <c r="AN19" i="11"/>
  <c r="AF63" i="10"/>
  <c r="AG30" i="11"/>
  <c r="AF33" i="12"/>
  <c r="AF73" i="13" s="1"/>
  <c r="AF39" i="11"/>
  <c r="AF55" i="10"/>
  <c r="AD40" i="11"/>
  <c r="AD57" i="10"/>
  <c r="AD69" i="10" s="1"/>
  <c r="AM24" i="12"/>
  <c r="AM45" i="10"/>
  <c r="AM51" i="10" s="1"/>
  <c r="AN20" i="12"/>
  <c r="AN102" i="7"/>
  <c r="AO52" i="11"/>
  <c r="AL25" i="11" l="1"/>
  <c r="AL61" i="10"/>
  <c r="AL77" i="13"/>
  <c r="AD34" i="12"/>
  <c r="AD64" i="10"/>
  <c r="AE37" i="11"/>
  <c r="AG31" i="11"/>
  <c r="AM21" i="11"/>
  <c r="AN21" i="12"/>
  <c r="AN23" i="12" s="1"/>
  <c r="AM120" i="7"/>
  <c r="AM57" i="12"/>
  <c r="AM61" i="12" s="1"/>
  <c r="AN99" i="7"/>
  <c r="AN43" i="12"/>
  <c r="AN80" i="13" s="1"/>
  <c r="AN104" i="7"/>
  <c r="AN15" i="11"/>
  <c r="AN100" i="7" s="1"/>
  <c r="AN18" i="11"/>
  <c r="AO57" i="11"/>
  <c r="AO14" i="11" s="1"/>
  <c r="AO9" i="11"/>
  <c r="AO60" i="11"/>
  <c r="AO17" i="11" s="1"/>
  <c r="AO68" i="13" s="1"/>
  <c r="AO70" i="13" s="1"/>
  <c r="AN103" i="7" l="1"/>
  <c r="AN69" i="13"/>
  <c r="AN44" i="12"/>
  <c r="AN79" i="13"/>
  <c r="AO94" i="7"/>
  <c r="AO60" i="13"/>
  <c r="AD70" i="12"/>
  <c r="AD74" i="13"/>
  <c r="AM32" i="11"/>
  <c r="AM24" i="11"/>
  <c r="AO49" i="10"/>
  <c r="AO49" i="13" s="1"/>
  <c r="AO19" i="11"/>
  <c r="AM25" i="11"/>
  <c r="AG55" i="10"/>
  <c r="AE38" i="11"/>
  <c r="AE56" i="10" s="1"/>
  <c r="AE50" i="13" s="1"/>
  <c r="AG33" i="11"/>
  <c r="AN43" i="10"/>
  <c r="AN24" i="12"/>
  <c r="AO20" i="12"/>
  <c r="AO102" i="7"/>
  <c r="AP52" i="11"/>
  <c r="AM61" i="10" l="1"/>
  <c r="AM77" i="13"/>
  <c r="AN45" i="10"/>
  <c r="AN51" i="10" s="1"/>
  <c r="AN43" i="13"/>
  <c r="AN48" i="13" s="1"/>
  <c r="AG33" i="12"/>
  <c r="AG73" i="13" s="1"/>
  <c r="AH30" i="11"/>
  <c r="AG63" i="10"/>
  <c r="AG39" i="11"/>
  <c r="AE40" i="11"/>
  <c r="AE57" i="10"/>
  <c r="AE69" i="10" s="1"/>
  <c r="AO21" i="12"/>
  <c r="AO23" i="12" s="1"/>
  <c r="AN120" i="7"/>
  <c r="AN57" i="12"/>
  <c r="AN61" i="12" s="1"/>
  <c r="AO99" i="7"/>
  <c r="AO43" i="12"/>
  <c r="AO80" i="13" s="1"/>
  <c r="AO104" i="7"/>
  <c r="AO15" i="11"/>
  <c r="AO100" i="7" s="1"/>
  <c r="AO18" i="11"/>
  <c r="AP57" i="11"/>
  <c r="AP14" i="11" s="1"/>
  <c r="AP9" i="11"/>
  <c r="AP60" i="11"/>
  <c r="AP17" i="11" s="1"/>
  <c r="AP68" i="13" s="1"/>
  <c r="AP70" i="13" s="1"/>
  <c r="AN21" i="11" l="1"/>
  <c r="AO44" i="12"/>
  <c r="AO79" i="13"/>
  <c r="AP94" i="7"/>
  <c r="AP60" i="13"/>
  <c r="AO103" i="7"/>
  <c r="AO69" i="13"/>
  <c r="AN25" i="11"/>
  <c r="AN24" i="11"/>
  <c r="AP49" i="10"/>
  <c r="AP49" i="13" s="1"/>
  <c r="AP19" i="11"/>
  <c r="AN32" i="11"/>
  <c r="AE34" i="12"/>
  <c r="AF37" i="11"/>
  <c r="AE64" i="10"/>
  <c r="AH31" i="11"/>
  <c r="AH33" i="11" s="1"/>
  <c r="AO24" i="12"/>
  <c r="AO43" i="10"/>
  <c r="AP20" i="12"/>
  <c r="AP102" i="7"/>
  <c r="AQ52" i="11"/>
  <c r="AE70" i="12" l="1"/>
  <c r="AE74" i="13"/>
  <c r="AO45" i="10"/>
  <c r="AO51" i="10" s="1"/>
  <c r="AO43" i="13"/>
  <c r="AO48" i="13" s="1"/>
  <c r="AN61" i="10"/>
  <c r="AN77" i="13"/>
  <c r="AH33" i="12"/>
  <c r="AH73" i="13" s="1"/>
  <c r="AH63" i="10"/>
  <c r="AI30" i="11"/>
  <c r="AI31" i="11" s="1"/>
  <c r="AI55" i="10" s="1"/>
  <c r="AH39" i="11"/>
  <c r="AH55" i="10"/>
  <c r="AF38" i="11"/>
  <c r="AF56" i="10" s="1"/>
  <c r="AF50" i="13" s="1"/>
  <c r="AO21" i="11"/>
  <c r="AP21" i="12"/>
  <c r="AP23" i="12" s="1"/>
  <c r="AO120" i="7"/>
  <c r="AO57" i="12"/>
  <c r="AO61" i="12" s="1"/>
  <c r="AP99" i="7"/>
  <c r="AP43" i="12"/>
  <c r="AP80" i="13" s="1"/>
  <c r="AP104" i="7"/>
  <c r="AP15" i="11"/>
  <c r="AP100" i="7" s="1"/>
  <c r="AP18" i="11"/>
  <c r="AQ57" i="11"/>
  <c r="AQ9" i="11"/>
  <c r="AQ60" i="11"/>
  <c r="AQ17" i="11" s="1"/>
  <c r="AQ68" i="13" s="1"/>
  <c r="AQ70" i="13" s="1"/>
  <c r="AQ94" i="7" l="1"/>
  <c r="AQ60" i="13"/>
  <c r="AP103" i="7"/>
  <c r="AP69" i="13"/>
  <c r="AP44" i="12"/>
  <c r="AP79" i="13"/>
  <c r="AO25" i="11"/>
  <c r="AO24" i="11"/>
  <c r="AQ14" i="11"/>
  <c r="AQ43" i="12" s="1"/>
  <c r="AQ80" i="13" s="1"/>
  <c r="AQ49" i="10"/>
  <c r="AQ49" i="13" s="1"/>
  <c r="AQ19" i="11"/>
  <c r="AQ104" i="7" s="1"/>
  <c r="AI33" i="11"/>
  <c r="AJ30" i="11" s="1"/>
  <c r="AO32" i="11"/>
  <c r="AF40" i="11"/>
  <c r="AF57" i="10"/>
  <c r="AF69" i="10" s="1"/>
  <c r="AP43" i="10"/>
  <c r="AP24" i="12"/>
  <c r="AQ20" i="12"/>
  <c r="AQ102" i="7"/>
  <c r="AQ18" i="11"/>
  <c r="AI63" i="10" l="1"/>
  <c r="AQ103" i="7"/>
  <c r="AQ69" i="13"/>
  <c r="AQ44" i="12"/>
  <c r="AQ79" i="13"/>
  <c r="AO61" i="10"/>
  <c r="AO77" i="13"/>
  <c r="AP45" i="10"/>
  <c r="AP51" i="10" s="1"/>
  <c r="AP43" i="13"/>
  <c r="AP48" i="13" s="1"/>
  <c r="AQ99" i="7"/>
  <c r="AQ15" i="11"/>
  <c r="AQ100" i="7" s="1"/>
  <c r="AI39" i="11"/>
  <c r="AI33" i="12"/>
  <c r="AI73" i="13" s="1"/>
  <c r="AF34" i="12"/>
  <c r="AG37" i="11"/>
  <c r="AF64" i="10"/>
  <c r="AQ21" i="12"/>
  <c r="AQ23" i="12" s="1"/>
  <c r="AP120" i="7"/>
  <c r="AP57" i="12"/>
  <c r="AP61" i="12" s="1"/>
  <c r="AJ31" i="11"/>
  <c r="AJ55" i="10" s="1"/>
  <c r="AP21" i="11" l="1"/>
  <c r="AP32" i="11" s="1"/>
  <c r="AF70" i="12"/>
  <c r="AF74" i="13"/>
  <c r="AP25" i="11"/>
  <c r="AP24" i="11"/>
  <c r="AG38" i="11"/>
  <c r="AG56" i="10" s="1"/>
  <c r="AG50" i="13" s="1"/>
  <c r="AQ24" i="12"/>
  <c r="AQ43" i="10"/>
  <c r="AJ33" i="11"/>
  <c r="AP61" i="10" l="1"/>
  <c r="AP77" i="13"/>
  <c r="AQ45" i="10"/>
  <c r="AQ51" i="10" s="1"/>
  <c r="AQ43" i="13"/>
  <c r="AQ48" i="13" s="1"/>
  <c r="AG40" i="11"/>
  <c r="AG57" i="10"/>
  <c r="AG69" i="10" s="1"/>
  <c r="AQ21" i="11"/>
  <c r="AQ32" i="11" s="1"/>
  <c r="AQ120" i="7"/>
  <c r="AQ57" i="12"/>
  <c r="AQ61" i="12" s="1"/>
  <c r="AJ39" i="11"/>
  <c r="AJ63" i="10"/>
  <c r="AK30" i="11"/>
  <c r="AJ33" i="12"/>
  <c r="AJ73" i="13" s="1"/>
  <c r="AQ25" i="11" l="1"/>
  <c r="AQ24" i="11"/>
  <c r="AG34" i="12"/>
  <c r="AG64" i="10"/>
  <c r="AH37" i="11"/>
  <c r="AK31" i="11"/>
  <c r="AK55" i="10" s="1"/>
  <c r="Z26" i="11"/>
  <c r="O26" i="11"/>
  <c r="X26" i="11"/>
  <c r="AD26" i="11"/>
  <c r="Q26" i="11"/>
  <c r="O62" i="10" l="1"/>
  <c r="O65" i="10" s="1"/>
  <c r="O51" i="13" s="1"/>
  <c r="O78" i="13"/>
  <c r="AD62" i="10"/>
  <c r="AD65" i="10" s="1"/>
  <c r="AD51" i="13" s="1"/>
  <c r="AD78" i="13"/>
  <c r="Z62" i="10"/>
  <c r="Z65" i="10" s="1"/>
  <c r="Z51" i="13" s="1"/>
  <c r="Z78" i="13"/>
  <c r="Q62" i="10"/>
  <c r="Q65" i="10" s="1"/>
  <c r="Q51" i="13" s="1"/>
  <c r="Q78" i="13"/>
  <c r="AG70" i="12"/>
  <c r="AG74" i="13"/>
  <c r="AQ61" i="10"/>
  <c r="AQ77" i="13"/>
  <c r="X62" i="10"/>
  <c r="X65" i="10" s="1"/>
  <c r="X51" i="13" s="1"/>
  <c r="X78" i="13"/>
  <c r="AE26" i="11"/>
  <c r="AF26" i="11"/>
  <c r="AG26" i="11"/>
  <c r="AH26" i="11"/>
  <c r="AI26" i="11"/>
  <c r="AJ26" i="11"/>
  <c r="AK26" i="11"/>
  <c r="AP26" i="11"/>
  <c r="AQ26" i="11"/>
  <c r="AO26" i="11"/>
  <c r="AN26" i="11"/>
  <c r="AL26" i="11"/>
  <c r="AM26" i="11"/>
  <c r="AC26" i="11"/>
  <c r="V26" i="11"/>
  <c r="R26" i="11"/>
  <c r="AB26" i="11"/>
  <c r="S26" i="11"/>
  <c r="Y26" i="11"/>
  <c r="T26" i="11"/>
  <c r="P26" i="11"/>
  <c r="M26" i="11"/>
  <c r="W26" i="11"/>
  <c r="N26" i="11"/>
  <c r="AA26" i="11"/>
  <c r="U26" i="11"/>
  <c r="AH38" i="11"/>
  <c r="AH56" i="10" s="1"/>
  <c r="AH50" i="13" s="1"/>
  <c r="AK33" i="11"/>
  <c r="AB62" i="10" l="1"/>
  <c r="AB65" i="10" s="1"/>
  <c r="AB51" i="13" s="1"/>
  <c r="AB78" i="13"/>
  <c r="AQ62" i="10"/>
  <c r="AQ78" i="13"/>
  <c r="AE62" i="10"/>
  <c r="AE65" i="10" s="1"/>
  <c r="AE51" i="13" s="1"/>
  <c r="AE78" i="13"/>
  <c r="N62" i="10"/>
  <c r="N65" i="10" s="1"/>
  <c r="N51" i="13" s="1"/>
  <c r="N78" i="13"/>
  <c r="R62" i="10"/>
  <c r="R65" i="10" s="1"/>
  <c r="R51" i="13" s="1"/>
  <c r="R78" i="13"/>
  <c r="AP62" i="10"/>
  <c r="AP78" i="13"/>
  <c r="V62" i="10"/>
  <c r="V65" i="10" s="1"/>
  <c r="V51" i="13" s="1"/>
  <c r="V78" i="13"/>
  <c r="AK62" i="10"/>
  <c r="AK78" i="13"/>
  <c r="M62" i="10"/>
  <c r="M65" i="10" s="1"/>
  <c r="M78" i="13"/>
  <c r="AC62" i="10"/>
  <c r="AC65" i="10" s="1"/>
  <c r="AC51" i="13" s="1"/>
  <c r="AC78" i="13"/>
  <c r="AJ62" i="10"/>
  <c r="AJ78" i="13"/>
  <c r="W62" i="10"/>
  <c r="W65" i="10" s="1"/>
  <c r="W51" i="13" s="1"/>
  <c r="W78" i="13"/>
  <c r="P62" i="10"/>
  <c r="P65" i="10" s="1"/>
  <c r="P51" i="13" s="1"/>
  <c r="P78" i="13"/>
  <c r="AM62" i="10"/>
  <c r="AM78" i="13"/>
  <c r="AI62" i="10"/>
  <c r="AI78" i="13"/>
  <c r="T62" i="10"/>
  <c r="T65" i="10" s="1"/>
  <c r="T51" i="13" s="1"/>
  <c r="T78" i="13"/>
  <c r="AL62" i="10"/>
  <c r="AL78" i="13"/>
  <c r="AH62" i="10"/>
  <c r="AH78" i="13"/>
  <c r="U62" i="10"/>
  <c r="U65" i="10" s="1"/>
  <c r="U51" i="13" s="1"/>
  <c r="U78" i="13"/>
  <c r="Y62" i="10"/>
  <c r="Y65" i="10" s="1"/>
  <c r="Y51" i="13" s="1"/>
  <c r="Y78" i="13"/>
  <c r="AN62" i="10"/>
  <c r="AN78" i="13"/>
  <c r="AG62" i="10"/>
  <c r="AG65" i="10" s="1"/>
  <c r="AG51" i="13" s="1"/>
  <c r="AG78" i="13"/>
  <c r="AA62" i="10"/>
  <c r="AA65" i="10" s="1"/>
  <c r="AA51" i="13" s="1"/>
  <c r="AA78" i="13"/>
  <c r="S62" i="10"/>
  <c r="S65" i="10" s="1"/>
  <c r="S51" i="13" s="1"/>
  <c r="S78" i="13"/>
  <c r="AO62" i="10"/>
  <c r="AO78" i="13"/>
  <c r="AF62" i="10"/>
  <c r="AF65" i="10" s="1"/>
  <c r="AF51" i="13" s="1"/>
  <c r="AF78" i="13"/>
  <c r="AH40" i="11"/>
  <c r="AH57" i="10"/>
  <c r="AH69" i="10" s="1"/>
  <c r="AK33" i="12"/>
  <c r="AK73" i="13" s="1"/>
  <c r="AL30" i="11"/>
  <c r="AK39" i="11"/>
  <c r="AK63" i="10"/>
  <c r="M68" i="10" l="1"/>
  <c r="M51" i="13"/>
  <c r="AH34" i="12"/>
  <c r="AH64" i="10"/>
  <c r="AH65" i="10" s="1"/>
  <c r="AH51" i="13" s="1"/>
  <c r="AI37" i="11"/>
  <c r="AL31" i="11"/>
  <c r="AL55" i="10" s="1"/>
  <c r="AH70" i="12" l="1"/>
  <c r="AH74" i="13"/>
  <c r="M121" i="7"/>
  <c r="M52" i="13"/>
  <c r="M54" i="13" s="1"/>
  <c r="M70" i="10"/>
  <c r="AI38" i="11"/>
  <c r="AI56" i="10" s="1"/>
  <c r="AL33" i="11"/>
  <c r="M122" i="7" l="1"/>
  <c r="M69" i="12"/>
  <c r="M73" i="12" s="1"/>
  <c r="M76" i="12" s="1"/>
  <c r="M77" i="12" s="1"/>
  <c r="AI57" i="10"/>
  <c r="AI69" i="10" s="1"/>
  <c r="AI50" i="13"/>
  <c r="N68" i="10"/>
  <c r="N67" i="10"/>
  <c r="AI40" i="11"/>
  <c r="AL63" i="10"/>
  <c r="AM30" i="11"/>
  <c r="AL33" i="12"/>
  <c r="AL73" i="13" s="1"/>
  <c r="AL39" i="11"/>
  <c r="N70" i="10" l="1"/>
  <c r="O67" i="10" s="1"/>
  <c r="N121" i="7"/>
  <c r="N69" i="12" s="1"/>
  <c r="N73" i="12" s="1"/>
  <c r="N76" i="12" s="1"/>
  <c r="N52" i="13"/>
  <c r="N54" i="13" s="1"/>
  <c r="M31" i="12"/>
  <c r="M35" i="12" s="1"/>
  <c r="M37" i="12" s="1"/>
  <c r="N75" i="12"/>
  <c r="N119" i="7"/>
  <c r="N122" i="7" s="1"/>
  <c r="M49" i="12"/>
  <c r="M50" i="12" s="1"/>
  <c r="AI34" i="12"/>
  <c r="AI64" i="10"/>
  <c r="AI65" i="10" s="1"/>
  <c r="AI51" i="13" s="1"/>
  <c r="AJ37" i="11"/>
  <c r="AM31" i="11"/>
  <c r="AM55" i="10" s="1"/>
  <c r="O68" i="10" l="1"/>
  <c r="O70" i="10" s="1"/>
  <c r="N77" i="12"/>
  <c r="O75" i="12" s="1"/>
  <c r="O119" i="7"/>
  <c r="N49" i="12"/>
  <c r="N50" i="12" s="1"/>
  <c r="O121" i="7"/>
  <c r="O69" i="12" s="1"/>
  <c r="O73" i="12" s="1"/>
  <c r="O76" i="12" s="1"/>
  <c r="O77" i="12" s="1"/>
  <c r="P75" i="12" s="1"/>
  <c r="O52" i="13"/>
  <c r="O54" i="13" s="1"/>
  <c r="M51" i="12"/>
  <c r="AI70" i="12"/>
  <c r="AI74" i="13"/>
  <c r="AJ38" i="11"/>
  <c r="AJ56" i="10" s="1"/>
  <c r="P68" i="10"/>
  <c r="P67" i="10"/>
  <c r="AM33" i="11"/>
  <c r="N31" i="12" l="1"/>
  <c r="N35" i="12" s="1"/>
  <c r="N37" i="12" s="1"/>
  <c r="N51" i="12"/>
  <c r="O31" i="12"/>
  <c r="O35" i="12" s="1"/>
  <c r="O37" i="12" s="1"/>
  <c r="AJ57" i="10"/>
  <c r="AJ69" i="10" s="1"/>
  <c r="AJ50" i="13"/>
  <c r="P121" i="7"/>
  <c r="P69" i="12" s="1"/>
  <c r="P73" i="12" s="1"/>
  <c r="P52" i="13"/>
  <c r="P54" i="13" s="1"/>
  <c r="O122" i="7"/>
  <c r="P70" i="10"/>
  <c r="Q68" i="10" s="1"/>
  <c r="AJ40" i="11"/>
  <c r="AM63" i="10"/>
  <c r="AM39" i="11"/>
  <c r="AM33" i="12"/>
  <c r="AM73" i="13" s="1"/>
  <c r="AN30" i="11"/>
  <c r="Q121" i="7" l="1"/>
  <c r="Q69" i="12" s="1"/>
  <c r="Q73" i="12" s="1"/>
  <c r="Q52" i="13"/>
  <c r="Q54" i="13" s="1"/>
  <c r="P119" i="7"/>
  <c r="P122" i="7" s="1"/>
  <c r="O49" i="12"/>
  <c r="O50" i="12" s="1"/>
  <c r="O51" i="12" s="1"/>
  <c r="Q67" i="10"/>
  <c r="Q70" i="10"/>
  <c r="Q76" i="12"/>
  <c r="P76" i="12"/>
  <c r="P77" i="12" s="1"/>
  <c r="Q75" i="12" s="1"/>
  <c r="AJ34" i="12"/>
  <c r="AK37" i="11"/>
  <c r="AJ64" i="10"/>
  <c r="AJ65" i="10" s="1"/>
  <c r="AJ51" i="13" s="1"/>
  <c r="Q119" i="7"/>
  <c r="P49" i="12"/>
  <c r="P50" i="12" s="1"/>
  <c r="AN31" i="11"/>
  <c r="AN55" i="10" s="1"/>
  <c r="Q122" i="7" l="1"/>
  <c r="R119" i="7" s="1"/>
  <c r="AJ70" i="12"/>
  <c r="AJ74" i="13"/>
  <c r="Q77" i="12"/>
  <c r="R75" i="12" s="1"/>
  <c r="R68" i="10"/>
  <c r="R67" i="10"/>
  <c r="AK38" i="11"/>
  <c r="AK56" i="10" s="1"/>
  <c r="P31" i="12"/>
  <c r="P35" i="12" s="1"/>
  <c r="P37" i="12" s="1"/>
  <c r="P51" i="12" s="1"/>
  <c r="AN33" i="11"/>
  <c r="Q49" i="12" l="1"/>
  <c r="Q50" i="12" s="1"/>
  <c r="R121" i="7"/>
  <c r="R69" i="12" s="1"/>
  <c r="R73" i="12" s="1"/>
  <c r="R76" i="12" s="1"/>
  <c r="R52" i="13"/>
  <c r="R54" i="13" s="1"/>
  <c r="Q31" i="12"/>
  <c r="Q35" i="12" s="1"/>
  <c r="Q37" i="12" s="1"/>
  <c r="Q51" i="12" s="1"/>
  <c r="AK57" i="10"/>
  <c r="AK69" i="10" s="1"/>
  <c r="AK50" i="13"/>
  <c r="R70" i="10"/>
  <c r="R77" i="12"/>
  <c r="S75" i="12" s="1"/>
  <c r="AK40" i="11"/>
  <c r="AN63" i="10"/>
  <c r="AN33" i="12"/>
  <c r="AN73" i="13" s="1"/>
  <c r="AN39" i="11"/>
  <c r="AO30" i="11"/>
  <c r="R122" i="7" l="1"/>
  <c r="R31" i="12"/>
  <c r="R35" i="12" s="1"/>
  <c r="R37" i="12" s="1"/>
  <c r="S119" i="7"/>
  <c r="R49" i="12"/>
  <c r="R50" i="12" s="1"/>
  <c r="R51" i="12" s="1"/>
  <c r="S68" i="10"/>
  <c r="S67" i="10"/>
  <c r="AK34" i="12"/>
  <c r="AL37" i="11"/>
  <c r="AK64" i="10"/>
  <c r="AK65" i="10" s="1"/>
  <c r="AK51" i="13" s="1"/>
  <c r="AO31" i="11"/>
  <c r="AO55" i="10" s="1"/>
  <c r="S121" i="7" l="1"/>
  <c r="S69" i="12" s="1"/>
  <c r="S73" i="12" s="1"/>
  <c r="S76" i="12" s="1"/>
  <c r="S77" i="12" s="1"/>
  <c r="S31" i="12" s="1"/>
  <c r="S35" i="12" s="1"/>
  <c r="S37" i="12" s="1"/>
  <c r="S52" i="13"/>
  <c r="S54" i="13" s="1"/>
  <c r="AK70" i="12"/>
  <c r="AK74" i="13"/>
  <c r="S70" i="10"/>
  <c r="T68" i="10" s="1"/>
  <c r="AL38" i="11"/>
  <c r="AL56" i="10" s="1"/>
  <c r="AO33" i="11"/>
  <c r="S122" i="7" l="1"/>
  <c r="T67" i="10"/>
  <c r="T70" i="10" s="1"/>
  <c r="T75" i="12"/>
  <c r="T121" i="7"/>
  <c r="T69" i="12" s="1"/>
  <c r="T73" i="12" s="1"/>
  <c r="T76" i="12" s="1"/>
  <c r="T77" i="12" s="1"/>
  <c r="T52" i="13"/>
  <c r="T54" i="13" s="1"/>
  <c r="AL57" i="10"/>
  <c r="AL69" i="10" s="1"/>
  <c r="AL50" i="13"/>
  <c r="T119" i="7"/>
  <c r="T122" i="7" s="1"/>
  <c r="S49" i="12"/>
  <c r="S50" i="12" s="1"/>
  <c r="S51" i="12" s="1"/>
  <c r="AL40" i="11"/>
  <c r="AO39" i="11"/>
  <c r="AO63" i="10"/>
  <c r="AO33" i="12"/>
  <c r="AO73" i="13" s="1"/>
  <c r="AP30" i="11"/>
  <c r="U75" i="12" l="1"/>
  <c r="T31" i="12"/>
  <c r="T35" i="12" s="1"/>
  <c r="T37" i="12" s="1"/>
  <c r="U67" i="10"/>
  <c r="U68" i="10"/>
  <c r="U52" i="13" s="1"/>
  <c r="U54" i="13" s="1"/>
  <c r="U119" i="7"/>
  <c r="T49" i="12"/>
  <c r="T50" i="12" s="1"/>
  <c r="AL34" i="12"/>
  <c r="AL64" i="10"/>
  <c r="AL65" i="10" s="1"/>
  <c r="AL51" i="13" s="1"/>
  <c r="AM37" i="11"/>
  <c r="AP31" i="11"/>
  <c r="AP55" i="10" s="1"/>
  <c r="AL70" i="12" l="1"/>
  <c r="AL74" i="13"/>
  <c r="U70" i="10"/>
  <c r="U121" i="7"/>
  <c r="U69" i="12" s="1"/>
  <c r="U73" i="12" s="1"/>
  <c r="U76" i="12" s="1"/>
  <c r="U77" i="12" s="1"/>
  <c r="T51" i="12"/>
  <c r="AM38" i="11"/>
  <c r="AM56" i="10" s="1"/>
  <c r="AP33" i="11"/>
  <c r="AM57" i="10" l="1"/>
  <c r="AM69" i="10" s="1"/>
  <c r="AM50" i="13"/>
  <c r="U122" i="7"/>
  <c r="V75" i="12"/>
  <c r="U31" i="12"/>
  <c r="U35" i="12" s="1"/>
  <c r="U37" i="12" s="1"/>
  <c r="V119" i="7"/>
  <c r="U49" i="12"/>
  <c r="U50" i="12" s="1"/>
  <c r="V67" i="10"/>
  <c r="V68" i="10"/>
  <c r="AM40" i="11"/>
  <c r="AP33" i="12"/>
  <c r="AP73" i="13" s="1"/>
  <c r="AP39" i="11"/>
  <c r="AP63" i="10"/>
  <c r="AQ30" i="11"/>
  <c r="V121" i="7" l="1"/>
  <c r="V69" i="12" s="1"/>
  <c r="V73" i="12" s="1"/>
  <c r="V76" i="12" s="1"/>
  <c r="V77" i="12" s="1"/>
  <c r="V52" i="13"/>
  <c r="V54" i="13" s="1"/>
  <c r="V70" i="10"/>
  <c r="W67" i="10" s="1"/>
  <c r="U51" i="12"/>
  <c r="AM34" i="12"/>
  <c r="AN37" i="11"/>
  <c r="AM64" i="10"/>
  <c r="AM65" i="10" s="1"/>
  <c r="AM51" i="13" s="1"/>
  <c r="AQ31" i="11"/>
  <c r="AQ55" i="10" s="1"/>
  <c r="V122" i="7" l="1"/>
  <c r="AM70" i="12"/>
  <c r="AM74" i="13"/>
  <c r="W68" i="10"/>
  <c r="W70" i="10" s="1"/>
  <c r="W75" i="12"/>
  <c r="V31" i="12"/>
  <c r="V35" i="12" s="1"/>
  <c r="V37" i="12" s="1"/>
  <c r="AN38" i="11"/>
  <c r="AN56" i="10" s="1"/>
  <c r="AQ33" i="11"/>
  <c r="W119" i="7" l="1"/>
  <c r="V49" i="12"/>
  <c r="V50" i="12" s="1"/>
  <c r="V51" i="12" s="1"/>
  <c r="W121" i="7"/>
  <c r="W52" i="13"/>
  <c r="W54" i="13" s="1"/>
  <c r="AN57" i="10"/>
  <c r="AN69" i="10" s="1"/>
  <c r="AN50" i="13"/>
  <c r="X68" i="10"/>
  <c r="X67" i="10"/>
  <c r="AN40" i="11"/>
  <c r="AQ63" i="10"/>
  <c r="AQ39" i="11"/>
  <c r="AQ33" i="12"/>
  <c r="AQ73" i="13" s="1"/>
  <c r="X121" i="7" l="1"/>
  <c r="X69" i="12" s="1"/>
  <c r="X73" i="12" s="1"/>
  <c r="X76" i="12" s="1"/>
  <c r="X52" i="13"/>
  <c r="X54" i="13" s="1"/>
  <c r="W69" i="12"/>
  <c r="W73" i="12" s="1"/>
  <c r="W76" i="12" s="1"/>
  <c r="W77" i="12" s="1"/>
  <c r="W31" i="12" s="1"/>
  <c r="W35" i="12" s="1"/>
  <c r="W37" i="12" s="1"/>
  <c r="W122" i="7"/>
  <c r="X70" i="10"/>
  <c r="AN34" i="12"/>
  <c r="AN64" i="10"/>
  <c r="AN65" i="10" s="1"/>
  <c r="AN51" i="13" s="1"/>
  <c r="AO37" i="11"/>
  <c r="X75" i="12" l="1"/>
  <c r="X77" i="12" s="1"/>
  <c r="X31" i="12" s="1"/>
  <c r="X35" i="12" s="1"/>
  <c r="X37" i="12" s="1"/>
  <c r="X119" i="7"/>
  <c r="X122" i="7" s="1"/>
  <c r="Y119" i="7" s="1"/>
  <c r="W49" i="12"/>
  <c r="W50" i="12" s="1"/>
  <c r="W51" i="12" s="1"/>
  <c r="AN70" i="12"/>
  <c r="AN74" i="13"/>
  <c r="Y68" i="10"/>
  <c r="Y67" i="10"/>
  <c r="AO38" i="11"/>
  <c r="AO56" i="10" s="1"/>
  <c r="Y75" i="12" l="1"/>
  <c r="Y70" i="10"/>
  <c r="Z67" i="10" s="1"/>
  <c r="X49" i="12"/>
  <c r="X50" i="12" s="1"/>
  <c r="X51" i="12" s="1"/>
  <c r="AO57" i="10"/>
  <c r="AO69" i="10" s="1"/>
  <c r="AO50" i="13"/>
  <c r="Y121" i="7"/>
  <c r="Y69" i="12" s="1"/>
  <c r="Y73" i="12" s="1"/>
  <c r="Y76" i="12" s="1"/>
  <c r="Y77" i="12" s="1"/>
  <c r="Y52" i="13"/>
  <c r="Y54" i="13" s="1"/>
  <c r="AO40" i="11"/>
  <c r="Z68" i="10" l="1"/>
  <c r="Z70" i="10" s="1"/>
  <c r="Y122" i="7"/>
  <c r="Z119" i="7" s="1"/>
  <c r="Z75" i="12"/>
  <c r="Y31" i="12"/>
  <c r="Y35" i="12" s="1"/>
  <c r="Y37" i="12" s="1"/>
  <c r="Y49" i="12"/>
  <c r="Y50" i="12" s="1"/>
  <c r="AO34" i="12"/>
  <c r="AO64" i="10"/>
  <c r="AO65" i="10" s="1"/>
  <c r="AO51" i="13" s="1"/>
  <c r="AP37" i="11"/>
  <c r="AA68" i="10" l="1"/>
  <c r="AA67" i="10"/>
  <c r="AA70" i="10" s="1"/>
  <c r="AB67" i="10" s="1"/>
  <c r="Z52" i="13"/>
  <c r="Z54" i="13" s="1"/>
  <c r="Z121" i="7"/>
  <c r="Z69" i="12" s="1"/>
  <c r="Z73" i="12" s="1"/>
  <c r="Z76" i="12" s="1"/>
  <c r="Z77" i="12" s="1"/>
  <c r="AA121" i="7"/>
  <c r="AA69" i="12" s="1"/>
  <c r="AA73" i="12" s="1"/>
  <c r="AA76" i="12" s="1"/>
  <c r="AA52" i="13"/>
  <c r="AA54" i="13" s="1"/>
  <c r="AO70" i="12"/>
  <c r="AO74" i="13"/>
  <c r="Y51" i="12"/>
  <c r="AP38" i="11"/>
  <c r="AP56" i="10" s="1"/>
  <c r="Z31" i="12" l="1"/>
  <c r="Z35" i="12" s="1"/>
  <c r="Z37" i="12" s="1"/>
  <c r="AA75" i="12"/>
  <c r="Z122" i="7"/>
  <c r="AA77" i="12"/>
  <c r="AA31" i="12" s="1"/>
  <c r="AA35" i="12" s="1"/>
  <c r="AA37" i="12" s="1"/>
  <c r="AB68" i="10"/>
  <c r="AB70" i="10" s="1"/>
  <c r="AC68" i="10" s="1"/>
  <c r="AP57" i="10"/>
  <c r="AP69" i="10" s="1"/>
  <c r="AP50" i="13"/>
  <c r="AB75" i="12"/>
  <c r="AP40" i="11"/>
  <c r="AA119" i="7" l="1"/>
  <c r="AA122" i="7" s="1"/>
  <c r="Z49" i="12"/>
  <c r="Z50" i="12" s="1"/>
  <c r="Z51" i="12" s="1"/>
  <c r="AC121" i="7"/>
  <c r="AC69" i="12" s="1"/>
  <c r="AC73" i="12" s="1"/>
  <c r="AC76" i="12" s="1"/>
  <c r="AC52" i="13"/>
  <c r="AC54" i="13" s="1"/>
  <c r="AC67" i="10"/>
  <c r="AB121" i="7"/>
  <c r="AB69" i="12" s="1"/>
  <c r="AB73" i="12" s="1"/>
  <c r="AB76" i="12" s="1"/>
  <c r="AB77" i="12" s="1"/>
  <c r="AB52" i="13"/>
  <c r="AB54" i="13" s="1"/>
  <c r="AC70" i="10"/>
  <c r="AD67" i="10" s="1"/>
  <c r="AP34" i="12"/>
  <c r="AP64" i="10"/>
  <c r="AP65" i="10" s="1"/>
  <c r="AP51" i="13" s="1"/>
  <c r="AQ37" i="11"/>
  <c r="AA49" i="12" l="1"/>
  <c r="AA50" i="12" s="1"/>
  <c r="AA51" i="12" s="1"/>
  <c r="AB119" i="7"/>
  <c r="AB31" i="12"/>
  <c r="AB35" i="12" s="1"/>
  <c r="AB37" i="12" s="1"/>
  <c r="AC75" i="12"/>
  <c r="AC77" i="12" s="1"/>
  <c r="AC31" i="12" s="1"/>
  <c r="AC35" i="12" s="1"/>
  <c r="AC37" i="12" s="1"/>
  <c r="AP70" i="12"/>
  <c r="AP74" i="13"/>
  <c r="AD68" i="10"/>
  <c r="AD70" i="10" s="1"/>
  <c r="AE68" i="10" s="1"/>
  <c r="AB122" i="7"/>
  <c r="AQ38" i="11"/>
  <c r="AQ56" i="10" s="1"/>
  <c r="AD75" i="12" l="1"/>
  <c r="AE121" i="7"/>
  <c r="AE69" i="12" s="1"/>
  <c r="AE73" i="12" s="1"/>
  <c r="AE76" i="12" s="1"/>
  <c r="AE52" i="13"/>
  <c r="AE54" i="13" s="1"/>
  <c r="AD121" i="7"/>
  <c r="AD69" i="12" s="1"/>
  <c r="AD73" i="12" s="1"/>
  <c r="AD76" i="12" s="1"/>
  <c r="AD77" i="12" s="1"/>
  <c r="AD31" i="12" s="1"/>
  <c r="AD35" i="12" s="1"/>
  <c r="AD37" i="12" s="1"/>
  <c r="AD52" i="13"/>
  <c r="AD54" i="13" s="1"/>
  <c r="AE67" i="10"/>
  <c r="AE70" i="10" s="1"/>
  <c r="AF68" i="10" s="1"/>
  <c r="AQ57" i="10"/>
  <c r="AQ69" i="10" s="1"/>
  <c r="AQ50" i="13"/>
  <c r="AB49" i="12"/>
  <c r="AB50" i="12" s="1"/>
  <c r="AB51" i="12" s="1"/>
  <c r="AC119" i="7"/>
  <c r="AC122" i="7" s="1"/>
  <c r="AQ40" i="11"/>
  <c r="AE75" i="12" l="1"/>
  <c r="AE77" i="12" s="1"/>
  <c r="AF121" i="7"/>
  <c r="AF69" i="12" s="1"/>
  <c r="AF73" i="12" s="1"/>
  <c r="AF76" i="12" s="1"/>
  <c r="AF52" i="13"/>
  <c r="AF54" i="13" s="1"/>
  <c r="AF67" i="10"/>
  <c r="AF70" i="10" s="1"/>
  <c r="AG68" i="10" s="1"/>
  <c r="AD119" i="7"/>
  <c r="AD122" i="7" s="1"/>
  <c r="AC49" i="12"/>
  <c r="AC50" i="12" s="1"/>
  <c r="AC51" i="12" s="1"/>
  <c r="AF75" i="12"/>
  <c r="AE31" i="12"/>
  <c r="AE35" i="12" s="1"/>
  <c r="AE37" i="12" s="1"/>
  <c r="AQ64" i="10"/>
  <c r="AQ65" i="10" s="1"/>
  <c r="AQ51" i="13" s="1"/>
  <c r="AQ34" i="12"/>
  <c r="AF77" i="12" l="1"/>
  <c r="AG67" i="10"/>
  <c r="AG70" i="10" s="1"/>
  <c r="AH68" i="10" s="1"/>
  <c r="AD49" i="12"/>
  <c r="AD50" i="12" s="1"/>
  <c r="AD51" i="12" s="1"/>
  <c r="AE119" i="7"/>
  <c r="AE122" i="7" s="1"/>
  <c r="AG121" i="7"/>
  <c r="AG69" i="12" s="1"/>
  <c r="AG73" i="12" s="1"/>
  <c r="AG76" i="12" s="1"/>
  <c r="AG52" i="13"/>
  <c r="AG54" i="13" s="1"/>
  <c r="AQ70" i="12"/>
  <c r="AQ74" i="13"/>
  <c r="AG75" i="12"/>
  <c r="AF31" i="12"/>
  <c r="AF35" i="12" s="1"/>
  <c r="AF37" i="12" s="1"/>
  <c r="AH67" i="10" l="1"/>
  <c r="AH70" i="10" s="1"/>
  <c r="AI68" i="10" s="1"/>
  <c r="AI52" i="13" s="1"/>
  <c r="AI54" i="13" s="1"/>
  <c r="AG77" i="12"/>
  <c r="AF119" i="7"/>
  <c r="AF122" i="7" s="1"/>
  <c r="AE49" i="12"/>
  <c r="AE50" i="12" s="1"/>
  <c r="AE51" i="12" s="1"/>
  <c r="AH121" i="7"/>
  <c r="AH69" i="12" s="1"/>
  <c r="AH73" i="12" s="1"/>
  <c r="AH76" i="12" s="1"/>
  <c r="AH52" i="13"/>
  <c r="AH54" i="13" s="1"/>
  <c r="AH75" i="12"/>
  <c r="AG31" i="12"/>
  <c r="AG35" i="12" s="1"/>
  <c r="AG37" i="12" s="1"/>
  <c r="AI121" i="7"/>
  <c r="AI67" i="10" l="1"/>
  <c r="AI70" i="10" s="1"/>
  <c r="AJ68" i="10" s="1"/>
  <c r="AJ121" i="7" s="1"/>
  <c r="AJ69" i="12" s="1"/>
  <c r="AJ73" i="12" s="1"/>
  <c r="AJ76" i="12" s="1"/>
  <c r="AG119" i="7"/>
  <c r="AG122" i="7" s="1"/>
  <c r="AF49" i="12"/>
  <c r="AF50" i="12" s="1"/>
  <c r="AF51" i="12" s="1"/>
  <c r="AH77" i="12"/>
  <c r="AH31" i="12" s="1"/>
  <c r="AH35" i="12" s="1"/>
  <c r="AH37" i="12" s="1"/>
  <c r="AJ67" i="10"/>
  <c r="AJ70" i="10" s="1"/>
  <c r="AI69" i="12"/>
  <c r="AI73" i="12" s="1"/>
  <c r="AI76" i="12" s="1"/>
  <c r="AJ52" i="13" l="1"/>
  <c r="AJ54" i="13" s="1"/>
  <c r="AI75" i="12"/>
  <c r="AI77" i="12" s="1"/>
  <c r="AG49" i="12"/>
  <c r="AG50" i="12" s="1"/>
  <c r="AG51" i="12" s="1"/>
  <c r="AH119" i="7"/>
  <c r="AH122" i="7" s="1"/>
  <c r="AK68" i="10"/>
  <c r="AK67" i="10"/>
  <c r="AJ75" i="12" l="1"/>
  <c r="AJ77" i="12" s="1"/>
  <c r="AK75" i="12" s="1"/>
  <c r="AI31" i="12"/>
  <c r="AI35" i="12" s="1"/>
  <c r="AI37" i="12" s="1"/>
  <c r="AK121" i="7"/>
  <c r="AK69" i="12" s="1"/>
  <c r="AK73" i="12" s="1"/>
  <c r="AK76" i="12" s="1"/>
  <c r="AK52" i="13"/>
  <c r="AK54" i="13" s="1"/>
  <c r="AI119" i="7"/>
  <c r="AI122" i="7" s="1"/>
  <c r="AH49" i="12"/>
  <c r="AH50" i="12" s="1"/>
  <c r="AH51" i="12" s="1"/>
  <c r="AK70" i="10"/>
  <c r="AJ31" i="12" l="1"/>
  <c r="AJ35" i="12" s="1"/>
  <c r="AJ37" i="12" s="1"/>
  <c r="AJ119" i="7"/>
  <c r="AJ122" i="7" s="1"/>
  <c r="AI49" i="12"/>
  <c r="AI50" i="12" s="1"/>
  <c r="AI51" i="12" s="1"/>
  <c r="AK77" i="12"/>
  <c r="AL68" i="10"/>
  <c r="AL67" i="10"/>
  <c r="AL121" i="7" l="1"/>
  <c r="AL69" i="12" s="1"/>
  <c r="AL73" i="12" s="1"/>
  <c r="AL76" i="12" s="1"/>
  <c r="AL52" i="13"/>
  <c r="AL54" i="13" s="1"/>
  <c r="AK119" i="7"/>
  <c r="AK122" i="7" s="1"/>
  <c r="AJ49" i="12"/>
  <c r="AJ50" i="12" s="1"/>
  <c r="AJ51" i="12" s="1"/>
  <c r="AL75" i="12"/>
  <c r="AK31" i="12"/>
  <c r="AK35" i="12" s="1"/>
  <c r="AK37" i="12" s="1"/>
  <c r="AL70" i="10"/>
  <c r="AM67" i="10" s="1"/>
  <c r="AL119" i="7" l="1"/>
  <c r="AL122" i="7" s="1"/>
  <c r="AM119" i="7" s="1"/>
  <c r="AK49" i="12"/>
  <c r="AK50" i="12" s="1"/>
  <c r="AK51" i="12" s="1"/>
  <c r="AM68" i="10"/>
  <c r="AL77" i="12"/>
  <c r="AL49" i="12" l="1"/>
  <c r="AL50" i="12" s="1"/>
  <c r="AM121" i="7"/>
  <c r="AM122" i="7" s="1"/>
  <c r="AN119" i="7" s="1"/>
  <c r="AM52" i="13"/>
  <c r="AM54" i="13" s="1"/>
  <c r="AM70" i="10"/>
  <c r="AN68" i="10" s="1"/>
  <c r="AM75" i="12"/>
  <c r="AL31" i="12"/>
  <c r="AL35" i="12" s="1"/>
  <c r="AL37" i="12" s="1"/>
  <c r="AL51" i="12" s="1"/>
  <c r="AM49" i="12" l="1"/>
  <c r="AM50" i="12" s="1"/>
  <c r="AM69" i="12"/>
  <c r="AM73" i="12" s="1"/>
  <c r="AM76" i="12" s="1"/>
  <c r="AM77" i="12" s="1"/>
  <c r="AN75" i="12" s="1"/>
  <c r="AN121" i="7"/>
  <c r="AN69" i="12" s="1"/>
  <c r="AN73" i="12" s="1"/>
  <c r="AN76" i="12" s="1"/>
  <c r="AN52" i="13"/>
  <c r="AN54" i="13" s="1"/>
  <c r="AN122" i="7"/>
  <c r="AO119" i="7" s="1"/>
  <c r="AN67" i="10"/>
  <c r="AN70" i="10" s="1"/>
  <c r="AO67" i="10" s="1"/>
  <c r="AN77" i="12" l="1"/>
  <c r="AO68" i="10"/>
  <c r="AM31" i="12"/>
  <c r="AM35" i="12" s="1"/>
  <c r="AM37" i="12" s="1"/>
  <c r="AM51" i="12" s="1"/>
  <c r="AN49" i="12"/>
  <c r="AN50" i="12" s="1"/>
  <c r="AO75" i="12"/>
  <c r="AN31" i="12"/>
  <c r="AN35" i="12" s="1"/>
  <c r="AN37" i="12" s="1"/>
  <c r="AO121" i="7" l="1"/>
  <c r="AO52" i="13"/>
  <c r="AO54" i="13" s="1"/>
  <c r="AO70" i="10"/>
  <c r="AP68" i="10" s="1"/>
  <c r="AN51" i="12"/>
  <c r="AP67" i="10"/>
  <c r="AP121" i="7" l="1"/>
  <c r="AP52" i="13"/>
  <c r="AP54" i="13" s="1"/>
  <c r="AO122" i="7"/>
  <c r="AO69" i="12"/>
  <c r="AO73" i="12" s="1"/>
  <c r="AO76" i="12" s="1"/>
  <c r="AO77" i="12" s="1"/>
  <c r="AP75" i="12" s="1"/>
  <c r="AP69" i="12"/>
  <c r="AP73" i="12" s="1"/>
  <c r="AP76" i="12" s="1"/>
  <c r="AP70" i="10"/>
  <c r="AP119" i="7" l="1"/>
  <c r="AP122" i="7" s="1"/>
  <c r="AQ119" i="7" s="1"/>
  <c r="AO49" i="12"/>
  <c r="AO50" i="12" s="1"/>
  <c r="AO31" i="12"/>
  <c r="AO35" i="12" s="1"/>
  <c r="AO37" i="12" s="1"/>
  <c r="AO51" i="12" s="1"/>
  <c r="AP49" i="12"/>
  <c r="AP50" i="12" s="1"/>
  <c r="AP77" i="12"/>
  <c r="AQ68" i="10"/>
  <c r="AQ52" i="13" s="1"/>
  <c r="AQ54" i="13" s="1"/>
  <c r="H55" i="13" s="1"/>
  <c r="AQ67" i="10"/>
  <c r="AQ75" i="12" l="1"/>
  <c r="AP31" i="12"/>
  <c r="AP35" i="12" s="1"/>
  <c r="AP37" i="12" s="1"/>
  <c r="AP51" i="12" s="1"/>
  <c r="AQ70" i="10"/>
  <c r="AQ121" i="7"/>
  <c r="AQ122" i="7" l="1"/>
  <c r="AQ49" i="12" s="1"/>
  <c r="AQ50" i="12" s="1"/>
  <c r="AQ69" i="12"/>
  <c r="AQ73" i="12" s="1"/>
  <c r="AQ76" i="12" s="1"/>
  <c r="AQ77" i="12" s="1"/>
  <c r="AQ31" i="12" s="1"/>
  <c r="AQ35" i="12" s="1"/>
  <c r="AQ37" i="12" s="1"/>
  <c r="AQ51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</author>
  </authors>
  <commentList>
    <comment ref="D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Kevin Chen:</t>
        </r>
        <r>
          <rPr>
            <sz val="9"/>
            <color indexed="81"/>
            <rFont val="Tahoma"/>
            <family val="2"/>
          </rPr>
          <t xml:space="preserve">
Enter 0 to break circular references related to interest expenses</t>
        </r>
      </text>
    </comment>
  </commentList>
</comments>
</file>

<file path=xl/sharedStrings.xml><?xml version="1.0" encoding="utf-8"?>
<sst xmlns="http://schemas.openxmlformats.org/spreadsheetml/2006/main" count="823" uniqueCount="293">
  <si>
    <t>+</t>
  </si>
  <si>
    <t>Present Value Date</t>
  </si>
  <si>
    <t>Asset Life</t>
  </si>
  <si>
    <t>Currency</t>
  </si>
  <si>
    <t>CAD</t>
  </si>
  <si>
    <t>Forecasted Periods</t>
  </si>
  <si>
    <t>Operating Assumptions</t>
  </si>
  <si>
    <t>Toll</t>
  </si>
  <si>
    <t>Construction Period</t>
  </si>
  <si>
    <t>Length of the Highway</t>
  </si>
  <si>
    <t>Construction Assumptions</t>
  </si>
  <si>
    <t>Total Construction Cost</t>
  </si>
  <si>
    <t>Construction Timeline</t>
  </si>
  <si>
    <t>Year</t>
  </si>
  <si>
    <t>% of Work</t>
  </si>
  <si>
    <t>Check</t>
  </si>
  <si>
    <t>Toll Assumptions</t>
  </si>
  <si>
    <t>Tax Rate</t>
  </si>
  <si>
    <t>Construction Costs</t>
  </si>
  <si>
    <t>Traffice Assumptions</t>
  </si>
  <si>
    <t>Total</t>
  </si>
  <si>
    <t>Period</t>
  </si>
  <si>
    <t>Start</t>
  </si>
  <si>
    <t>End</t>
  </si>
  <si>
    <t>Increment</t>
  </si>
  <si>
    <t>Vehicle A</t>
  </si>
  <si>
    <t>Vehicle B</t>
  </si>
  <si>
    <t>Vehicle C</t>
  </si>
  <si>
    <t>Other Revenues</t>
  </si>
  <si>
    <t>Other Revenues Assumptions</t>
  </si>
  <si>
    <t>Asset Life End</t>
  </si>
  <si>
    <t>Traffic Periods</t>
  </si>
  <si>
    <t>Growth Rates</t>
  </si>
  <si>
    <t>Other Revenue Periods</t>
  </si>
  <si>
    <t>Traffic Period 1</t>
  </si>
  <si>
    <t>Traffic Period 2</t>
  </si>
  <si>
    <t>Traffic Period 3</t>
  </si>
  <si>
    <t>Other Revenue Period 1</t>
  </si>
  <si>
    <t>Other Revenue Period 2</t>
  </si>
  <si>
    <t>Other Revenue Period 3</t>
  </si>
  <si>
    <t>A</t>
  </si>
  <si>
    <t>B</t>
  </si>
  <si>
    <t>C</t>
  </si>
  <si>
    <t>Commercial Operaitng Date</t>
  </si>
  <si>
    <t>Inflation</t>
  </si>
  <si>
    <t>Operating Costs Assumptions</t>
  </si>
  <si>
    <t>Fixed Costs</t>
  </si>
  <si>
    <t xml:space="preserve">Concessionaire Costs </t>
  </si>
  <si>
    <t>Unit</t>
  </si>
  <si>
    <t>KM</t>
  </si>
  <si>
    <t>Cost per KM</t>
  </si>
  <si>
    <t>%</t>
  </si>
  <si>
    <t>#</t>
  </si>
  <si>
    <t>Toll Pricing</t>
  </si>
  <si>
    <t>Flag</t>
  </si>
  <si>
    <t>Initial Daily Traffic</t>
  </si>
  <si>
    <t>Number of Days in a year</t>
  </si>
  <si>
    <t>Annum</t>
  </si>
  <si>
    <t>Daily</t>
  </si>
  <si>
    <t>Operation costs</t>
  </si>
  <si>
    <t xml:space="preserve">Highway heavy maintenance </t>
  </si>
  <si>
    <t>Light Maintenance</t>
  </si>
  <si>
    <t>Years</t>
  </si>
  <si>
    <t>Variable Costs</t>
  </si>
  <si>
    <t>Range 1</t>
  </si>
  <si>
    <t>Range 2</t>
  </si>
  <si>
    <t>Range 3</t>
  </si>
  <si>
    <t>Traffic</t>
  </si>
  <si>
    <t>Upper Bound</t>
  </si>
  <si>
    <t>Lower Bound</t>
  </si>
  <si>
    <t>Variable Operating Costs</t>
  </si>
  <si>
    <t># Vehicles</t>
  </si>
  <si>
    <t>Per</t>
  </si>
  <si>
    <t>Vehicle</t>
  </si>
  <si>
    <t>Day</t>
  </si>
  <si>
    <t>Infinity</t>
  </si>
  <si>
    <t>Costs</t>
  </si>
  <si>
    <t>Revenu Schedule</t>
  </si>
  <si>
    <t>Traffic Model</t>
  </si>
  <si>
    <t>Financial Model</t>
  </si>
  <si>
    <t>Growth</t>
  </si>
  <si>
    <t>Adjustment</t>
  </si>
  <si>
    <t>Total Traffic</t>
  </si>
  <si>
    <t>#MM</t>
  </si>
  <si>
    <t>Revenue</t>
  </si>
  <si>
    <t>Total Toll Revenues</t>
  </si>
  <si>
    <t>#mm</t>
  </si>
  <si>
    <t>Growth Rate</t>
  </si>
  <si>
    <t>CADmm</t>
  </si>
  <si>
    <t>Segmented Traffic</t>
  </si>
  <si>
    <t>Segmented Toll Revenues</t>
  </si>
  <si>
    <t>Timing Assumptions</t>
  </si>
  <si>
    <t>General Assumptions</t>
  </si>
  <si>
    <t>Total Other Revenues</t>
  </si>
  <si>
    <t>Financing Assumptions</t>
  </si>
  <si>
    <t>Equity</t>
  </si>
  <si>
    <t>Construction Subsidy</t>
  </si>
  <si>
    <t>Construction Cost</t>
  </si>
  <si>
    <t>Transaction Fees</t>
  </si>
  <si>
    <t>Sources of Funds</t>
  </si>
  <si>
    <t>Uses of Funds</t>
  </si>
  <si>
    <t>Cost Schedule</t>
  </si>
  <si>
    <t>Indexation</t>
  </si>
  <si>
    <t xml:space="preserve">Indexation </t>
  </si>
  <si>
    <t>Cost per Vehicle</t>
  </si>
  <si>
    <t>Average Dailey Traffic</t>
  </si>
  <si>
    <t>Annual Traffic</t>
  </si>
  <si>
    <t>Total Fixed Operating Costs</t>
  </si>
  <si>
    <t>Total Annual Traffic</t>
  </si>
  <si>
    <t>Total Variable Operating Costs</t>
  </si>
  <si>
    <t>Total CAPEX</t>
  </si>
  <si>
    <t>Balance Sheet Schedules</t>
  </si>
  <si>
    <t>P&amp;L Schedules</t>
  </si>
  <si>
    <t>Construction Progress</t>
  </si>
  <si>
    <t>Maintenance Flag</t>
  </si>
  <si>
    <t>PP&amp;E Schedule</t>
  </si>
  <si>
    <t>CAPEX Schedule</t>
  </si>
  <si>
    <t>Depreciation Schedule</t>
  </si>
  <si>
    <t>Depreciation Model</t>
  </si>
  <si>
    <t>Depreciation Years</t>
  </si>
  <si>
    <t>Capex</t>
  </si>
  <si>
    <t>Depreciation of Assets</t>
  </si>
  <si>
    <t>% of CAPEX</t>
  </si>
  <si>
    <t>Total Depreciation</t>
  </si>
  <si>
    <t>Beginning Balance</t>
  </si>
  <si>
    <t>Ending Balance</t>
  </si>
  <si>
    <t>Add: CAPEX</t>
  </si>
  <si>
    <t>Less: Depreciation</t>
  </si>
  <si>
    <t>Financing Structure</t>
  </si>
  <si>
    <t>Financing Fees</t>
  </si>
  <si>
    <t>($)</t>
  </si>
  <si>
    <t>(%)</t>
  </si>
  <si>
    <t>Size</t>
  </si>
  <si>
    <t>Financing Terms</t>
  </si>
  <si>
    <t>Spread</t>
  </si>
  <si>
    <t>Term</t>
  </si>
  <si>
    <t xml:space="preserve">Debt Schedule </t>
  </si>
  <si>
    <t>Repayment Schedule</t>
  </si>
  <si>
    <t>Sculpted</t>
  </si>
  <si>
    <t xml:space="preserve">Cash Flow Waterfall </t>
  </si>
  <si>
    <t>Cash Flow Waterfall</t>
  </si>
  <si>
    <t>Total Revenues</t>
  </si>
  <si>
    <t xml:space="preserve">Total Operating Expenses </t>
  </si>
  <si>
    <t>EBITDA</t>
  </si>
  <si>
    <t>% of Revenue</t>
  </si>
  <si>
    <t>Maintenance CAPEX</t>
  </si>
  <si>
    <t>Debt Schedule</t>
  </si>
  <si>
    <t>Circular Breaker</t>
  </si>
  <si>
    <t>Interest Rate</t>
  </si>
  <si>
    <t>Interest Expense</t>
  </si>
  <si>
    <t xml:space="preserve">Hedged LIBOR </t>
  </si>
  <si>
    <t>Beginning Debt Balance</t>
  </si>
  <si>
    <t>Ending Debt Balance</t>
  </si>
  <si>
    <t>Development CAPEX</t>
  </si>
  <si>
    <t>Operating Cash Flows</t>
  </si>
  <si>
    <t>Net Working Capital Adjustment</t>
  </si>
  <si>
    <t>Working Capital Schedule</t>
  </si>
  <si>
    <t>Account Receivable Schedule</t>
  </si>
  <si>
    <t>A/R Days</t>
  </si>
  <si>
    <t>Beginning A/R Balance</t>
  </si>
  <si>
    <t>Ending A/R Balance</t>
  </si>
  <si>
    <t>Account Payable Schedule</t>
  </si>
  <si>
    <t>A/P Days</t>
  </si>
  <si>
    <t>Beginning A/P Balance</t>
  </si>
  <si>
    <t>Ending A/P Balance</t>
  </si>
  <si>
    <t>Straighline</t>
  </si>
  <si>
    <t>Type</t>
  </si>
  <si>
    <t>Development</t>
  </si>
  <si>
    <t>Interest During Construction</t>
  </si>
  <si>
    <t>Funding</t>
  </si>
  <si>
    <t>Cash Flows before Funding</t>
  </si>
  <si>
    <t>Add: Drawdown</t>
  </si>
  <si>
    <t>Less: Mandatory Repayment</t>
  </si>
  <si>
    <t xml:space="preserve">Less: Optional Repayment </t>
  </si>
  <si>
    <t>Summary</t>
  </si>
  <si>
    <t>Equity Schedule</t>
  </si>
  <si>
    <t>Beginning Equity Balance</t>
  </si>
  <si>
    <t>Ending Equity</t>
  </si>
  <si>
    <t>Debt Funding</t>
  </si>
  <si>
    <t>Equity Funding</t>
  </si>
  <si>
    <t>Total Funding</t>
  </si>
  <si>
    <t>Add: Interest During Construction</t>
  </si>
  <si>
    <t>Debt Tranche 1</t>
  </si>
  <si>
    <t>Debt Tranche 2</t>
  </si>
  <si>
    <t>Debt Tranche 3</t>
  </si>
  <si>
    <t>Debt Tranche 4</t>
  </si>
  <si>
    <t>Grace Period</t>
  </si>
  <si>
    <t>Straightline</t>
  </si>
  <si>
    <t>Funding During Construction</t>
  </si>
  <si>
    <t>Financing Fee</t>
  </si>
  <si>
    <t>Uses</t>
  </si>
  <si>
    <t>Progress</t>
  </si>
  <si>
    <t>Sources</t>
  </si>
  <si>
    <t>Covenants</t>
  </si>
  <si>
    <t>Loan Life Coverage Ratio</t>
  </si>
  <si>
    <t>Debt Service Coverage Ratio</t>
  </si>
  <si>
    <t>Debt Service Reserve Account</t>
  </si>
  <si>
    <t>Min</t>
  </si>
  <si>
    <t>Dividend</t>
  </si>
  <si>
    <t>x</t>
  </si>
  <si>
    <t>O&amp;M Reserve Account</t>
  </si>
  <si>
    <t>Concessionaire Cost</t>
  </si>
  <si>
    <t>Accrued Interest</t>
  </si>
  <si>
    <t>Cash Flow after Funding</t>
  </si>
  <si>
    <t>Income Tax</t>
  </si>
  <si>
    <t>CFADS</t>
  </si>
  <si>
    <t>Effective Interest Rate</t>
  </si>
  <si>
    <t>Total Debt Service</t>
  </si>
  <si>
    <t>DSCR</t>
  </si>
  <si>
    <t>LLCR</t>
  </si>
  <si>
    <t>Debt Flag</t>
  </si>
  <si>
    <t>Risk Free Rate</t>
  </si>
  <si>
    <t>Covenant</t>
  </si>
  <si>
    <t>Target Balance</t>
  </si>
  <si>
    <t>Add: Deposit</t>
  </si>
  <si>
    <t>Less: Release</t>
  </si>
  <si>
    <t>Income Statement</t>
  </si>
  <si>
    <t>Financial Statements</t>
  </si>
  <si>
    <t>Toll Revenues</t>
  </si>
  <si>
    <t>Fixed Operating Costs</t>
  </si>
  <si>
    <t>Depreciation</t>
  </si>
  <si>
    <t>EBIT</t>
  </si>
  <si>
    <t>Earnings before Tax</t>
  </si>
  <si>
    <t>Tax Expenses</t>
  </si>
  <si>
    <t>Net Income</t>
  </si>
  <si>
    <t>Cash Flow Statement</t>
  </si>
  <si>
    <t>Funds from Operating Activities</t>
  </si>
  <si>
    <t>Add: Depreciation</t>
  </si>
  <si>
    <t>Less: Change in A/R</t>
  </si>
  <si>
    <t>Add: Change in A/P</t>
  </si>
  <si>
    <t>Balance Sheet</t>
  </si>
  <si>
    <t>Assets</t>
  </si>
  <si>
    <t>Current Assets</t>
  </si>
  <si>
    <t>DSRA</t>
  </si>
  <si>
    <t>PP&amp;E</t>
  </si>
  <si>
    <t>Liabilities</t>
  </si>
  <si>
    <t>Current Liabilites</t>
  </si>
  <si>
    <t>Total Assets</t>
  </si>
  <si>
    <t>Accounts Receivable</t>
  </si>
  <si>
    <t>Accounts Payable</t>
  </si>
  <si>
    <t>Total Current Assets</t>
  </si>
  <si>
    <t>Total Current Liabilities</t>
  </si>
  <si>
    <t>Total Debt</t>
  </si>
  <si>
    <t>Total Liabilities</t>
  </si>
  <si>
    <t>Shareholders Equity</t>
  </si>
  <si>
    <t>Add: Initial Equity Investment</t>
  </si>
  <si>
    <t>Add: Net Income</t>
  </si>
  <si>
    <t>Less: Dividends</t>
  </si>
  <si>
    <t>Common Equity</t>
  </si>
  <si>
    <t>Common Stock</t>
  </si>
  <si>
    <t>Retained Earning</t>
  </si>
  <si>
    <t>Beginning Retained Earning</t>
  </si>
  <si>
    <t>Ending Retained Earning</t>
  </si>
  <si>
    <t>Total Shareholders Equity and Liabilities</t>
  </si>
  <si>
    <t>Reserves</t>
  </si>
  <si>
    <t>O&amp;MRA</t>
  </si>
  <si>
    <t>Dividend Tests</t>
  </si>
  <si>
    <t>Dividend Flag</t>
  </si>
  <si>
    <t>Cash Flow for Distribution</t>
  </si>
  <si>
    <t>Beginning Cash Balance</t>
  </si>
  <si>
    <t>Ending Cash Balance</t>
  </si>
  <si>
    <t>Less: Dividend</t>
  </si>
  <si>
    <t>Funds from Investing Activities</t>
  </si>
  <si>
    <t>Less: CAPEX</t>
  </si>
  <si>
    <t>Funds from Financing Activities</t>
  </si>
  <si>
    <t>Subsidy</t>
  </si>
  <si>
    <t>Add: Release of Subsidy</t>
  </si>
  <si>
    <t>Cash</t>
  </si>
  <si>
    <t>Add: Change in Debt</t>
  </si>
  <si>
    <t>Adjust for Reserves</t>
  </si>
  <si>
    <t>Add: Equity Injection</t>
  </si>
  <si>
    <t>Add: Subsidy</t>
  </si>
  <si>
    <t>Net Cash Flow</t>
  </si>
  <si>
    <t>Ending Cahs Balance</t>
  </si>
  <si>
    <t>Repayment</t>
  </si>
  <si>
    <t>Cash after Debt Service</t>
  </si>
  <si>
    <t>Interest</t>
  </si>
  <si>
    <t>Principle</t>
  </si>
  <si>
    <t>Margin</t>
  </si>
  <si>
    <t>Less: Tax</t>
  </si>
  <si>
    <t>Adj for Working Capital</t>
  </si>
  <si>
    <t>Less: Financing Fees</t>
  </si>
  <si>
    <t>Add: Funding</t>
  </si>
  <si>
    <t>Less: IDC</t>
  </si>
  <si>
    <t>Debt Service</t>
  </si>
  <si>
    <t>Credit Statistics</t>
  </si>
  <si>
    <t>IRR</t>
  </si>
  <si>
    <t>Equity Investment</t>
  </si>
  <si>
    <t>Net Equity Cash Flow</t>
  </si>
  <si>
    <t>DSRC</t>
  </si>
  <si>
    <t>Debt / Capital</t>
  </si>
  <si>
    <t>Debt / EBITDA</t>
  </si>
  <si>
    <t>RNFC: Highway Integrated Financial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</si>
</sst>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8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;\-&quot;$&quot;#,##0"/>
    <numFmt numFmtId="165" formatCode="&quot;$&quot;#,##0;[Red]\-&quot;$&quot;#,##0"/>
    <numFmt numFmtId="166" formatCode="&quot;$&quot;#,##0.00;\-&quot;$&quot;#,##0.00"/>
    <numFmt numFmtId="167" formatCode="&quot;$&quot;#,##0.00;[Red]\-&quot;$&quot;#,##0.00"/>
    <numFmt numFmtId="168" formatCode="_-&quot;$&quot;* #,##0_-;\-&quot;$&quot;* #,##0_-;_-&quot;$&quot;* &quot;-&quot;_-;_-@_-"/>
    <numFmt numFmtId="169" formatCode="_-* #,##0_-;\-* #,##0_-;_-* &quot;-&quot;_-;_-@_-"/>
    <numFmt numFmtId="170" formatCode="_-&quot;$&quot;* #,##0.00_-;\-&quot;$&quot;* #,##0.00_-;_-&quot;$&quot;* &quot;-&quot;??_-;_-@_-"/>
    <numFmt numFmtId="171" formatCode="_-* #,##0.00_-;\-* #,##0.00_-;_-* &quot;-&quot;??_-;_-@_-"/>
    <numFmt numFmtId="172" formatCode="0.0%"/>
    <numFmt numFmtId="173" formatCode="_-* #,##0.0_-;\-* #,##0.0_-;_-* &quot;-&quot;_-;_-@_-"/>
    <numFmt numFmtId="174" formatCode="_-&quot;$&quot;* #,##0.0_-;\-&quot;$&quot;* #,##0.0_-;_-&quot;$&quot;* &quot;-&quot;_-;_-@_-"/>
    <numFmt numFmtId="175" formatCode="#,##0.0_);\(#,##0.0\);@_)"/>
    <numFmt numFmtId="176" formatCode="#,##0.0_);\(#,##0.0\);&quot;-&quot;?_);@_)"/>
    <numFmt numFmtId="177" formatCode="&quot;$&quot;#,##0.0_);\(&quot;$&quot;#,##0.0\);@_)"/>
    <numFmt numFmtId="178" formatCode="&quot;$&quot;#,##0.0_);\(&quot;$&quot;#,##0.0\);&quot;-&quot;?_);@_)"/>
    <numFmt numFmtId="179" formatCode="0.0%;\-0.0%;&quot;-&quot;?_);@_)"/>
    <numFmt numFmtId="180" formatCode="_(* #,##0.00_);_(* \(#,##0.00\);_(* &quot;--&quot;??_);_(@_)"/>
    <numFmt numFmtId="181" formatCode="#,##0.0_)_%;\(#,##0.0\)_%;0.0_)_%;@_)_%"/>
    <numFmt numFmtId="182" formatCode="_ * #,##0_ ;\ \(#,##0\)_ ;_ * &quot;-&quot;_ ;_ @_ "/>
    <numFmt numFmtId="183" formatCode="##\ &quot;Years&quot;"/>
    <numFmt numFmtId="184" formatCode="#,##0.0_);\(#,##0.0\)"/>
    <numFmt numFmtId="185" formatCode="#,##0.0"/>
    <numFmt numFmtId="186" formatCode="_(* #,##0.0_);_(* \(#,##0.0\);_(* &quot;--- &quot;_)"/>
    <numFmt numFmtId="187" formatCode="_(&quot;$&quot;* #,##0.0_);_(&quot;$&quot;* \(#,##0.0\);_(&quot;$&quot;* &quot;--- &quot;_)"/>
    <numFmt numFmtId="188" formatCode="#,##0.0\x\ _);\(#,##0.0\x\)\ ;0.0\x_)\ ;@_%_)"/>
    <numFmt numFmtId="189" formatCode="_(* #,##0.0_);_(* \(#,##0.0\);_(* &quot;-&quot;?_);_(@_)"/>
    <numFmt numFmtId="190" formatCode=";;;"/>
    <numFmt numFmtId="191" formatCode="0.0\%_);\(0.0\%\);0.0\%_);@_%_)"/>
    <numFmt numFmtId="192" formatCode="&quot;£&quot;#,##0;\-&quot;£&quot;#,##0"/>
    <numFmt numFmtId="193" formatCode="&quot;n&quot;"/>
    <numFmt numFmtId="194" formatCode="General_)"/>
    <numFmt numFmtId="195" formatCode="0_)"/>
    <numFmt numFmtId="196" formatCode="_(* #,##0.0_);_(* \(#,##0.0\);_(* &quot;-&quot;??_);_(@_)"/>
    <numFmt numFmtId="197" formatCode="#,##0_%_);\(#,##0\)_%;#,##0_%_);@_%_)"/>
    <numFmt numFmtId="198" formatCode="#,##0.00_%_);\(#,##0.00\)_%;**;@_%_)"/>
    <numFmt numFmtId="200" formatCode="#,##0.0_%_);\(#,##0.0\)_%;**;@_%_)"/>
    <numFmt numFmtId="202" formatCode="#,##0.0%_);\(#,##0.0%\);0.0%_);@_%_)"/>
    <numFmt numFmtId="203" formatCode="&quot;$&quot;#,##0.00_%_);\(&quot;$&quot;#,##0.00\)_%;**;@_%_)"/>
    <numFmt numFmtId="204" formatCode="&quot;$&quot;#,##0.00_%_);\(&quot;$&quot;#,##0.00\)_%;&quot;$&quot;#,##0.00_%_);@_%_)"/>
    <numFmt numFmtId="205" formatCode="&quot;$&quot;#,##0.0_%_);\(&quot;$&quot;#,##0.0\)_%;**;@_%_)"/>
    <numFmt numFmtId="206" formatCode="#,##0.0_%_);\(#,##0.0\)_%;#,##0.0_%_);@_%_)\F\F\r"/>
    <numFmt numFmtId="207" formatCode="&quot;$&quot;#,##0.0_);\(&quot;$&quot;#,##0.0\)"/>
    <numFmt numFmtId="208" formatCode="_(* #,##0.00000_);_(* \(#,##0.00000\);_(* &quot;-&quot;??_);_(@_)"/>
    <numFmt numFmtId="209" formatCode="\€\ #,##0.0_);\(\€\ #,##0.0\);@_)"/>
    <numFmt numFmtId="210" formatCode="\€\ #,##0.0_);\(\€\ #,##0.0\);&quot;-&quot;?_);@_)"/>
    <numFmt numFmtId="211" formatCode="* _(#,##0.0_);* \(#,##0.0\);* _(&quot;-&quot;??_);_(@_)"/>
    <numFmt numFmtId="212" formatCode="0.0\x_9"/>
    <numFmt numFmtId="213" formatCode="0.00_)"/>
    <numFmt numFmtId="214" formatCode="#,##0.0\x;\-#,##0.0\x;&quot;-&quot;?_);@_)"/>
    <numFmt numFmtId="215" formatCode="#,##0.0\x_);\(#,##0.0\x\);#,##0.0\x_);@_)"/>
    <numFmt numFmtId="216" formatCode="0.000"/>
    <numFmt numFmtId="217" formatCode="0.00\x"/>
    <numFmt numFmtId="218" formatCode="#,##0.0;\(#,##0.0\)"/>
    <numFmt numFmtId="219" formatCode="#,##0.000;\(#,##0.000\)"/>
    <numFmt numFmtId="220" formatCode="0.0%_%;\(0.0%\)_%"/>
    <numFmt numFmtId="221" formatCode="_(* #,##0.0%_);_(* \(#,##0.0%\);_(* &quot;--- %&quot;_);_(* @_%_)"/>
    <numFmt numFmtId="222" formatCode="#,##0.0\%_);\(#,##0.0\%\);#,##0.0\%_);@_)"/>
    <numFmt numFmtId="223" formatCode="&quot;$&quot;#,##0.00"/>
    <numFmt numFmtId="224" formatCode="#,##0.00_);\(#,##0.00\);_(* &quot;-&quot;_)"/>
    <numFmt numFmtId="225" formatCode="#,##0.0\x"/>
    <numFmt numFmtId="226" formatCode="#,##0.0_);\(#,##0.0\);_(* &quot;-&quot;_)"/>
    <numFmt numFmtId="227" formatCode="#,##0_);\(#,##0\);_(* &quot;-&quot;_);_(* &quot;-&quot;_)"/>
    <numFmt numFmtId="228" formatCode="_(&quot;$&quot;* #,##0.00_);_(&quot;$&quot;* \(#,##0.00\);_(* &quot;-&quot;_);_(@_)"/>
    <numFmt numFmtId="229" formatCode="_(###.##%_);\(* &quot;-&quot;_);_(@_)"/>
    <numFmt numFmtId="230" formatCode="#,##0.00\x"/>
    <numFmt numFmtId="231" formatCode="0.0\ \x_);\(0.0\ \x\);@_ _x_)"/>
    <numFmt numFmtId="232" formatCode="0.0_ _x_);\(0.0\)_ _x;@_ _x_)"/>
    <numFmt numFmtId="233" formatCode="&quot;$&quot;_(#,##0.00_);&quot;$&quot;\(#,##0.00\)"/>
    <numFmt numFmtId="234" formatCode="#,##0.0_)\x;\(#,##0.0\)\x"/>
    <numFmt numFmtId="235" formatCode="#,##0.0_)_x;\(#,##0.0\)_x"/>
    <numFmt numFmtId="236" formatCode="0.0_)\%;\(0.0\)\%"/>
    <numFmt numFmtId="237" formatCode="#,##0.0_)_%;\(#,##0.0\)_%"/>
    <numFmt numFmtId="238" formatCode="0.00\ ;\(0.00\)"/>
    <numFmt numFmtId="239" formatCode="&quot;$&quot;#,##0.00_%_);\(&quot;$&quot;#,##0.00\)_%;&quot;$&quot;###0.00_%_);@_%_)"/>
    <numFmt numFmtId="240" formatCode="_([$€-2]* #,##0.00_);_([$€-2]* \(#,##0.00\);_([$€-2]* &quot;-&quot;??_)"/>
    <numFmt numFmtId="241" formatCode="0_);[Red]\(0\)"/>
    <numFmt numFmtId="242" formatCode="_(* #,##0.0_);[Red]_(* \(#,##0.0\);&quot;nm &quot;"/>
    <numFmt numFmtId="243" formatCode="0.0000%"/>
    <numFmt numFmtId="244" formatCode="&quot;Year &quot;0"/>
    <numFmt numFmtId="245" formatCode="_(&quot;$&quot;* #,##0.00_);_(&quot;$&quot;* \(#,##0.00\);_(&quot;$&quot;* &quot;-&quot;_);_(@_)"/>
    <numFmt numFmtId="246" formatCode="_-* #,##0.00_-;\-* #,##0.00_-;_-* &quot;-&quot;_-;_-@_-"/>
    <numFmt numFmtId="247" formatCode="_(* #,##0.00000000000_);_(* \(#,##0.00000000000\);_(* &quot;-&quot;_);_(@_)"/>
    <numFmt numFmtId="248" formatCode="&quot;&gt;&quot;0.00&quot;x&quot;"/>
  </numFmts>
  <fonts count="221">
    <font>
      <sz val="10"/>
      <color theme="1"/>
      <name val="Arial"/>
      <family val="2"/>
    </font>
    <font>
      <b/>
      <sz val="15"/>
      <color theme="0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i/>
      <sz val="8"/>
      <color theme="1"/>
      <name val="Arial"/>
      <family val="2"/>
    </font>
    <font>
      <sz val="8"/>
      <name val="Arial"/>
      <family val="2"/>
    </font>
    <font>
      <sz val="8"/>
      <color rgb="FF0070C0"/>
      <name val="Arial"/>
      <family val="2"/>
    </font>
    <font>
      <i/>
      <sz val="8"/>
      <color rgb="FF0070C0"/>
      <name val="Arial"/>
      <family val="2"/>
    </font>
    <font>
      <sz val="10"/>
      <name val="Arial"/>
      <family val="2"/>
    </font>
    <font>
      <sz val="10"/>
      <color indexed="8"/>
      <name val="MS Sans Serif"/>
    </font>
    <font>
      <sz val="8"/>
      <color indexed="12"/>
      <name val="Arial"/>
      <family val="2"/>
    </font>
    <font>
      <b/>
      <sz val="10"/>
      <name val="MS Sans Serif"/>
      <family val="2"/>
    </font>
    <font>
      <sz val="10"/>
      <name val="Geneva"/>
      <family val="2"/>
    </font>
    <font>
      <sz val="10"/>
      <name val="Arial Narrow"/>
      <family val="2"/>
    </font>
    <font>
      <sz val="10"/>
      <name val="Geneva"/>
    </font>
    <font>
      <sz val="10"/>
      <name val="GillSans"/>
    </font>
    <font>
      <sz val="10"/>
      <name val="Palatino"/>
    </font>
    <font>
      <sz val="9"/>
      <name val="Arial"/>
      <family val="2"/>
    </font>
    <font>
      <sz val="10"/>
      <name val="Palatino"/>
      <family val="1"/>
    </font>
    <font>
      <sz val="8"/>
      <name val="MS Serif"/>
      <family val="1"/>
    </font>
    <font>
      <sz val="12"/>
      <name val="Tms Rmn"/>
    </font>
    <font>
      <sz val="8"/>
      <color indexed="49"/>
      <name val="Times New Roman"/>
      <family val="1"/>
    </font>
    <font>
      <sz val="10"/>
      <name val="Times New Roman"/>
      <family val="1"/>
    </font>
    <font>
      <u/>
      <sz val="8.4"/>
      <color indexed="12"/>
      <name val="Arial"/>
      <family val="2"/>
    </font>
    <font>
      <sz val="12"/>
      <name val="???"/>
      <family val="1"/>
      <charset val="129"/>
    </font>
    <font>
      <b/>
      <sz val="9"/>
      <name val="Arial"/>
      <family val="2"/>
    </font>
    <font>
      <b/>
      <sz val="10"/>
      <name val="Arial"/>
      <family val="2"/>
    </font>
    <font>
      <sz val="8"/>
      <name val="Times New Roman"/>
      <family val="1"/>
    </font>
    <font>
      <sz val="10"/>
      <name val="MS Sans Serif"/>
    </font>
    <font>
      <sz val="11"/>
      <name val="Arial"/>
      <family val="2"/>
    </font>
    <font>
      <sz val="12"/>
      <name val="Arial"/>
      <family val="2"/>
    </font>
    <font>
      <sz val="10"/>
      <name val="SWISS"/>
    </font>
    <font>
      <sz val="8"/>
      <name val="Palatino"/>
      <family val="1"/>
    </font>
    <font>
      <sz val="9"/>
      <color indexed="8"/>
      <name val="Arial"/>
      <family val="2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b/>
      <sz val="10"/>
      <color indexed="18"/>
      <name val="Arial"/>
      <family val="2"/>
    </font>
    <font>
      <b/>
      <sz val="9"/>
      <color indexed="18"/>
      <name val="Arial"/>
      <family val="2"/>
    </font>
    <font>
      <b/>
      <u val="singleAccounting"/>
      <sz val="10"/>
      <color indexed="18"/>
      <name val="Arial"/>
      <family val="2"/>
    </font>
    <font>
      <b/>
      <u val="singleAccounting"/>
      <sz val="9"/>
      <color indexed="18"/>
      <name val="Arial"/>
      <family val="2"/>
    </font>
    <font>
      <sz val="12"/>
      <name val="Times New Roman"/>
      <family val="1"/>
    </font>
    <font>
      <sz val="14"/>
      <name val="AngsanaUPC"/>
    </font>
    <font>
      <sz val="8"/>
      <name val="Helvetica"/>
      <family val="2"/>
    </font>
    <font>
      <sz val="8"/>
      <name val="Helv"/>
    </font>
    <font>
      <sz val="12"/>
      <name val="Arial MT"/>
    </font>
    <font>
      <b/>
      <sz val="7"/>
      <name val="Arial"/>
      <family val="2"/>
    </font>
    <font>
      <sz val="9"/>
      <name val="Times New Roman"/>
      <family val="1"/>
    </font>
    <font>
      <sz val="10"/>
      <name val="Courier"/>
    </font>
    <font>
      <i/>
      <sz val="8"/>
      <color indexed="16"/>
      <name val="Arial"/>
      <family val="2"/>
    </font>
    <font>
      <i/>
      <sz val="8"/>
      <color indexed="54"/>
      <name val="Arial"/>
      <family val="2"/>
    </font>
    <font>
      <i/>
      <sz val="9"/>
      <color indexed="16"/>
      <name val="Arial"/>
      <family val="2"/>
    </font>
    <font>
      <b/>
      <sz val="11"/>
      <name val="Arial"/>
      <family val="2"/>
    </font>
    <font>
      <sz val="9"/>
      <color indexed="12"/>
      <name val="Times New Roman"/>
      <family val="1"/>
    </font>
    <font>
      <b/>
      <sz val="8"/>
      <name val="Arial"/>
      <family val="2"/>
    </font>
    <font>
      <i/>
      <sz val="8"/>
      <name val="Arial"/>
      <family val="2"/>
    </font>
    <font>
      <sz val="7"/>
      <name val="Ariel"/>
    </font>
    <font>
      <sz val="10"/>
      <color indexed="10"/>
      <name val="Times New Roman"/>
      <family val="1"/>
    </font>
    <font>
      <sz val="8"/>
      <color indexed="13"/>
      <name val="Arial"/>
      <family val="2"/>
    </font>
    <font>
      <sz val="10"/>
      <color indexed="8"/>
      <name val="Tms Rmn"/>
    </font>
    <font>
      <sz val="8"/>
      <color indexed="8"/>
      <name val="Arial"/>
      <family val="2"/>
    </font>
    <font>
      <sz val="10"/>
      <color indexed="8"/>
      <name val="Times New Roman"/>
      <family val="1"/>
    </font>
    <font>
      <sz val="9"/>
      <color indexed="9"/>
      <name val="Times New Roman"/>
      <family val="1"/>
    </font>
    <font>
      <b/>
      <sz val="10"/>
      <name val="Times New Roman"/>
      <family val="1"/>
    </font>
    <font>
      <sz val="8"/>
      <color indexed="12"/>
      <name val="Tms Rmn"/>
    </font>
    <font>
      <b/>
      <sz val="10"/>
      <color indexed="9"/>
      <name val="Arial"/>
      <family val="2"/>
    </font>
    <font>
      <sz val="9"/>
      <color indexed="18"/>
      <name val="CharterITC BT"/>
      <family val="1"/>
    </font>
    <font>
      <sz val="10"/>
      <color indexed="12"/>
      <name val="Times New Roman"/>
      <family val="1"/>
    </font>
    <font>
      <sz val="9"/>
      <color indexed="12"/>
      <name val="Tms Rmn"/>
    </font>
    <font>
      <b/>
      <sz val="8"/>
      <name val="Arial Narrow"/>
      <family val="2"/>
    </font>
    <font>
      <b/>
      <sz val="12"/>
      <name val="Times New Roman"/>
      <family val="1"/>
    </font>
    <font>
      <b/>
      <sz val="10"/>
      <name val="MS Sans Serif"/>
    </font>
    <font>
      <sz val="8"/>
      <name val="Arial Narrow"/>
      <family val="2"/>
    </font>
    <font>
      <sz val="8"/>
      <name val="Wingdings"/>
      <charset val="2"/>
    </font>
    <font>
      <b/>
      <i/>
      <sz val="9"/>
      <name val="Arial"/>
      <family val="2"/>
    </font>
    <font>
      <b/>
      <sz val="8"/>
      <name val="TimesNewRomanPS"/>
      <family val="1"/>
    </font>
    <font>
      <sz val="11"/>
      <name val="?? ?????"/>
      <family val="3"/>
      <charset val="128"/>
    </font>
    <font>
      <sz val="11"/>
      <name val="Book Antiqua"/>
      <family val="1"/>
    </font>
    <font>
      <b/>
      <sz val="10"/>
      <name val="Helv"/>
      <family val="2"/>
    </font>
    <font>
      <b/>
      <sz val="10"/>
      <name val="MS Serif"/>
      <family val="1"/>
    </font>
    <font>
      <b/>
      <sz val="12"/>
      <name val="Arial"/>
      <family val="2"/>
    </font>
    <font>
      <sz val="10"/>
      <color indexed="18"/>
      <name val="Times New Roman"/>
      <family val="1"/>
    </font>
    <font>
      <b/>
      <sz val="11"/>
      <name val="Times New Roman"/>
      <family val="1"/>
    </font>
    <font>
      <b/>
      <i/>
      <sz val="8"/>
      <name val="Arial"/>
      <family val="2"/>
    </font>
    <font>
      <b/>
      <sz val="8"/>
      <name val="Book Antiqua"/>
      <family val="1"/>
    </font>
    <font>
      <b/>
      <sz val="8"/>
      <name val="GillSans"/>
    </font>
    <font>
      <u/>
      <sz val="8"/>
      <color indexed="12"/>
      <name val="Times New Roman"/>
      <family val="1"/>
    </font>
    <font>
      <sz val="10"/>
      <name val="Helv"/>
    </font>
    <font>
      <sz val="8"/>
      <color indexed="12"/>
      <name val="Times New Roman"/>
      <family val="1"/>
    </font>
    <font>
      <sz val="8"/>
      <color indexed="21"/>
      <name val="Palatino"/>
    </font>
    <font>
      <sz val="10"/>
      <color indexed="24"/>
      <name val="Arial"/>
      <family val="2"/>
    </font>
    <font>
      <sz val="10"/>
      <name val="BERNHARD"/>
    </font>
    <font>
      <sz val="10"/>
      <name val="Helvetica"/>
    </font>
    <font>
      <sz val="10"/>
      <color indexed="12"/>
      <name val="Geneva"/>
    </font>
    <font>
      <i/>
      <sz val="9"/>
      <name val="MS Sans Serif"/>
    </font>
    <font>
      <sz val="24"/>
      <name val="Arial"/>
      <family val="2"/>
    </font>
    <font>
      <b/>
      <sz val="14"/>
      <name val="Arial"/>
      <family val="2"/>
    </font>
    <font>
      <sz val="10"/>
      <name val="MS Serif"/>
    </font>
    <font>
      <sz val="14"/>
      <name val="Palatino"/>
      <family val="1"/>
    </font>
    <font>
      <sz val="16"/>
      <name val="Palatino"/>
      <family val="1"/>
    </font>
    <font>
      <sz val="32"/>
      <name val="Helvetica-Black"/>
    </font>
    <font>
      <sz val="10"/>
      <name val="Book Antiqua"/>
      <family val="1"/>
    </font>
    <font>
      <sz val="8"/>
      <color indexed="8"/>
      <name val="Times New Roman"/>
      <family val="1"/>
    </font>
    <font>
      <sz val="11"/>
      <color indexed="12"/>
      <name val="Book Antiqua"/>
      <family val="1"/>
    </font>
    <font>
      <sz val="8"/>
      <color indexed="16"/>
      <name val="Palatino"/>
      <family val="1"/>
    </font>
    <font>
      <b/>
      <sz val="7.5"/>
      <color indexed="8"/>
      <name val="Arial"/>
      <family val="2"/>
    </font>
    <font>
      <sz val="8"/>
      <name val="Palatino"/>
    </font>
    <font>
      <sz val="8"/>
      <color indexed="18"/>
      <name val="Times New Roman"/>
      <family val="1"/>
    </font>
    <font>
      <sz val="10"/>
      <color indexed="8"/>
      <name val="Arial"/>
      <family val="2"/>
    </font>
    <font>
      <u val="doubleAccounting"/>
      <sz val="10"/>
      <name val="Times New Roman"/>
      <family val="1"/>
    </font>
    <font>
      <sz val="1"/>
      <color indexed="8"/>
      <name val="Courier"/>
    </font>
    <font>
      <b/>
      <sz val="8"/>
      <name val="Times New Roman"/>
      <family val="1"/>
    </font>
    <font>
      <u val="doubleAccounting"/>
      <sz val="10"/>
      <name val="Arial"/>
      <family val="2"/>
    </font>
    <font>
      <b/>
      <i/>
      <sz val="8"/>
      <color indexed="12"/>
      <name val="Arial"/>
      <family val="2"/>
    </font>
    <font>
      <sz val="10"/>
      <color indexed="16"/>
      <name val="MS Serif"/>
    </font>
    <font>
      <b/>
      <sz val="9.5"/>
      <color indexed="10"/>
      <name val="MS Sans Serif"/>
      <family val="2"/>
    </font>
    <font>
      <b/>
      <u/>
      <sz val="12"/>
      <name val="Arial Narrow"/>
      <family val="2"/>
    </font>
    <font>
      <i/>
      <sz val="10"/>
      <color indexed="10"/>
      <name val="Times New Roman"/>
      <family val="1"/>
    </font>
    <font>
      <sz val="10"/>
      <color indexed="12"/>
      <name val="Arial Narrow"/>
      <family val="2"/>
    </font>
    <font>
      <b/>
      <sz val="7"/>
      <color indexed="12"/>
      <name val="Arial"/>
      <family val="2"/>
    </font>
    <font>
      <sz val="14"/>
      <color indexed="32"/>
      <name val="Times New Roman"/>
      <family val="1"/>
    </font>
    <font>
      <sz val="6"/>
      <color indexed="23"/>
      <name val="Helvetica-Black"/>
    </font>
    <font>
      <sz val="9.5"/>
      <color indexed="23"/>
      <name val="Helvetica-Black"/>
    </font>
    <font>
      <sz val="7"/>
      <name val="Palatino"/>
      <family val="1"/>
    </font>
    <font>
      <sz val="7"/>
      <name val="Arial"/>
      <family val="2"/>
    </font>
    <font>
      <u val="singleAccounting"/>
      <sz val="8"/>
      <name val="Arial"/>
      <family val="2"/>
    </font>
    <font>
      <u val="singleAccounting"/>
      <sz val="9"/>
      <color indexed="12"/>
      <name val="Arial"/>
      <family val="2"/>
    </font>
    <font>
      <sz val="10"/>
      <name val="C Helvetica Condensed"/>
    </font>
    <font>
      <sz val="9"/>
      <name val="Tms Rmn"/>
    </font>
    <font>
      <b/>
      <i/>
      <sz val="8"/>
      <name val="Arial Narrow"/>
      <family val="2"/>
    </font>
    <font>
      <b/>
      <sz val="10"/>
      <color indexed="17"/>
      <name val="Helvetica"/>
    </font>
    <font>
      <sz val="7"/>
      <name val="Times New Roman"/>
      <family val="1"/>
    </font>
    <font>
      <b/>
      <sz val="7"/>
      <color indexed="17"/>
      <name val="Arial"/>
      <family val="2"/>
    </font>
    <font>
      <sz val="9"/>
      <name val="Futura UBS Bk"/>
      <family val="2"/>
    </font>
    <font>
      <b/>
      <sz val="10"/>
      <color indexed="9"/>
      <name val="GillSans"/>
    </font>
    <font>
      <b/>
      <i/>
      <sz val="12"/>
      <name val="Tms Rmn"/>
    </font>
    <font>
      <b/>
      <sz val="10"/>
      <color indexed="8"/>
      <name val="GillSans"/>
    </font>
    <font>
      <sz val="6"/>
      <name val="Palatino"/>
      <family val="1"/>
    </font>
    <font>
      <b/>
      <sz val="8"/>
      <name val="Palatino"/>
    </font>
    <font>
      <b/>
      <sz val="8"/>
      <name val="Helv"/>
    </font>
    <font>
      <sz val="28"/>
      <name val="Helvetica-Black"/>
    </font>
    <font>
      <sz val="10"/>
      <name val="Helvetica-Black"/>
    </font>
    <font>
      <sz val="10"/>
      <color indexed="12"/>
      <name val="Arial"/>
      <family val="2"/>
    </font>
    <font>
      <b/>
      <i/>
      <sz val="16"/>
      <name val="Helv"/>
    </font>
    <font>
      <b/>
      <sz val="26"/>
      <name val="Times New Roman"/>
      <family val="1"/>
    </font>
    <font>
      <b/>
      <sz val="18"/>
      <name val="Times New Roman"/>
      <family val="1"/>
    </font>
    <font>
      <u val="singleAccounting"/>
      <sz val="10"/>
      <name val="Arial"/>
      <family val="2"/>
    </font>
    <font>
      <b/>
      <sz val="13"/>
      <color indexed="8"/>
      <name val="Verdana"/>
      <family val="2"/>
    </font>
    <font>
      <b/>
      <sz val="8"/>
      <color indexed="9"/>
      <name val="Verdana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2"/>
      <color indexed="9"/>
      <name val="Symbol"/>
      <family val="1"/>
      <charset val="2"/>
    </font>
    <font>
      <sz val="8"/>
      <color indexed="39"/>
      <name val="Arial"/>
      <family val="2"/>
    </font>
    <font>
      <sz val="14"/>
      <name val="Tms Rmn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5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26"/>
      <name val="Calibri"/>
      <family val="2"/>
    </font>
    <font>
      <b/>
      <sz val="11"/>
      <color indexed="12"/>
      <name val="Calibri"/>
      <family val="2"/>
    </font>
    <font>
      <sz val="11"/>
      <color indexed="16"/>
      <name val="Calibri"/>
      <family val="2"/>
    </font>
    <font>
      <sz val="10"/>
      <name val="Frutiger 45 Light"/>
    </font>
    <font>
      <b/>
      <sz val="11"/>
      <color indexed="33"/>
      <name val="Calibri"/>
      <family val="2"/>
    </font>
    <font>
      <sz val="10"/>
      <name val="Frutiger 45 Light"/>
      <family val="2"/>
    </font>
    <font>
      <b/>
      <sz val="18"/>
      <color indexed="1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sz val="11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22"/>
      <color indexed="18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b/>
      <sz val="14"/>
      <color indexed="18"/>
      <name val="Arial"/>
      <family val="2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12"/>
      <name val="Times New Roman"/>
      <family val="1"/>
    </font>
    <font>
      <sz val="8"/>
      <name val="Arial"/>
      <family val="2"/>
    </font>
    <font>
      <sz val="10"/>
      <color indexed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Arial"/>
      <family val="2"/>
    </font>
    <font>
      <sz val="10"/>
      <color indexed="12"/>
      <name val="Times New Roman"/>
      <family val="1"/>
    </font>
    <font>
      <b/>
      <sz val="8"/>
      <name val="Arial Narrow"/>
      <family val="2"/>
    </font>
    <font>
      <b/>
      <i/>
      <sz val="9"/>
      <name val="Arial"/>
      <family val="2"/>
    </font>
    <font>
      <sz val="11"/>
      <name val="Book Antiqua"/>
      <family val="1"/>
    </font>
    <font>
      <b/>
      <sz val="8"/>
      <name val="Book Antiqua"/>
      <family val="1"/>
    </font>
    <font>
      <u/>
      <sz val="8"/>
      <color indexed="12"/>
      <name val="Times New Roman"/>
      <family val="1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sz val="10"/>
      <color indexed="24"/>
      <name val="Arial"/>
      <family val="2"/>
    </font>
    <font>
      <sz val="24"/>
      <name val="Arial"/>
      <family val="2"/>
    </font>
    <font>
      <b/>
      <sz val="11"/>
      <name val="Times New Roman"/>
      <family val="1"/>
    </font>
    <font>
      <sz val="10"/>
      <name val="Book Antiqua"/>
      <family val="1"/>
    </font>
    <font>
      <sz val="8"/>
      <color indexed="12"/>
      <name val="Times New Roman"/>
      <family val="1"/>
    </font>
    <font>
      <b/>
      <sz val="7.5"/>
      <color indexed="8"/>
      <name val="Arial"/>
      <family val="2"/>
    </font>
    <font>
      <sz val="8"/>
      <color indexed="18"/>
      <name val="Times New Roman"/>
      <family val="1"/>
    </font>
    <font>
      <b/>
      <sz val="8"/>
      <name val="Times New Roman"/>
      <family val="1"/>
    </font>
    <font>
      <sz val="9"/>
      <color indexed="12"/>
      <name val="Times New Roman"/>
      <family val="1"/>
    </font>
    <font>
      <sz val="10"/>
      <color indexed="12"/>
      <name val="Arial Narrow"/>
      <family val="2"/>
    </font>
    <font>
      <sz val="14"/>
      <color indexed="32"/>
      <name val="Times New Roman"/>
      <family val="1"/>
    </font>
    <font>
      <sz val="10"/>
      <name val="Arial"/>
      <family val="2"/>
    </font>
    <font>
      <sz val="7"/>
      <name val="Arial"/>
      <family val="2"/>
    </font>
    <font>
      <b/>
      <i/>
      <sz val="8"/>
      <name val="Arial Narrow"/>
      <family val="2"/>
    </font>
    <font>
      <sz val="10"/>
      <color indexed="12"/>
      <name val="Arial"/>
      <family val="2"/>
    </font>
    <font>
      <b/>
      <sz val="13"/>
      <color indexed="8"/>
      <name val="Verdana"/>
      <family val="2"/>
    </font>
    <font>
      <b/>
      <sz val="8"/>
      <color indexed="9"/>
      <name val="Verdana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i/>
      <sz val="8"/>
      <color indexed="8"/>
      <name val="Arial"/>
      <family val="2"/>
    </font>
    <font>
      <sz val="2"/>
      <color indexed="9"/>
      <name val="Symbol"/>
      <family val="1"/>
      <charset val="2"/>
    </font>
    <font>
      <sz val="8"/>
      <color indexed="3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8"/>
      <color theme="1"/>
      <name val="Arial"/>
      <family val="2"/>
    </font>
    <font>
      <i/>
      <sz val="4"/>
      <color theme="1"/>
      <name val="Arial"/>
      <family val="2"/>
    </font>
    <font>
      <u/>
      <sz val="8"/>
      <color theme="1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indexed="9"/>
      </patternFill>
    </fill>
    <fill>
      <patternFill patternType="solid">
        <fgColor indexed="43"/>
      </patternFill>
    </fill>
    <fill>
      <patternFill patternType="solid">
        <fgColor indexed="36"/>
      </patternFill>
    </fill>
    <fill>
      <patternFill patternType="solid">
        <fgColor indexed="59"/>
      </patternFill>
    </fill>
    <fill>
      <patternFill patternType="solid">
        <fgColor indexed="42"/>
        <bgColor indexed="64"/>
      </patternFill>
    </fill>
    <fill>
      <patternFill patternType="solid">
        <fgColor indexed="45"/>
      </patternFill>
    </fill>
    <fill>
      <patternFill patternType="solid">
        <fgColor indexed="11"/>
      </patternFill>
    </fill>
    <fill>
      <patternFill patternType="solid">
        <fgColor indexed="31"/>
      </patternFill>
    </fill>
    <fill>
      <patternFill patternType="solid">
        <fgColor indexed="20"/>
      </patternFill>
    </fill>
    <fill>
      <patternFill patternType="solid">
        <fgColor indexed="14"/>
      </patternFill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9"/>
      </patternFill>
    </fill>
    <fill>
      <patternFill patternType="solid">
        <fgColor indexed="10"/>
      </patternFill>
    </fill>
    <fill>
      <patternFill patternType="solid">
        <fgColor indexed="19"/>
      </patternFill>
    </fill>
    <fill>
      <patternFill patternType="solid">
        <fgColor indexed="12"/>
      </patternFill>
    </fill>
    <fill>
      <patternFill patternType="solid">
        <fgColor indexed="53"/>
      </patternFill>
    </fill>
    <fill>
      <patternFill patternType="gray0625">
        <fgColor indexed="10"/>
        <bgColor indexed="9"/>
      </patternFill>
    </fill>
    <fill>
      <patternFill patternType="solid">
        <fgColor indexed="44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  <fill>
      <patternFill patternType="gray0625"/>
    </fill>
    <fill>
      <patternFill patternType="lightGray">
        <fgColor indexed="14"/>
        <bgColor indexed="9"/>
      </patternFill>
    </fill>
    <fill>
      <patternFill patternType="lightGray">
        <fgColor indexed="15"/>
      </patternFill>
    </fill>
    <fill>
      <patternFill patternType="solid">
        <fgColor indexed="23"/>
      </patternFill>
    </fill>
    <fill>
      <patternFill patternType="gray0625">
        <fgColor indexed="15"/>
      </patternFill>
    </fill>
    <fill>
      <patternFill patternType="lightGray">
        <fgColor indexed="12"/>
      </patternFill>
    </fill>
    <fill>
      <patternFill patternType="solid">
        <fgColor indexed="63"/>
        <bgColor indexed="64"/>
      </patternFill>
    </fill>
    <fill>
      <patternFill patternType="solid">
        <fgColor indexed="15"/>
        <bgColor indexed="64"/>
      </patternFill>
    </fill>
    <fill>
      <patternFill patternType="lightGray">
        <fgColor indexed="12"/>
        <bgColor indexed="9"/>
      </patternFill>
    </fill>
    <fill>
      <patternFill patternType="solid">
        <fgColor indexed="35"/>
        <bgColor indexed="64"/>
      </patternFill>
    </fill>
    <fill>
      <patternFill patternType="solid">
        <fgColor indexed="34"/>
      </patternFill>
    </fill>
    <fill>
      <patternFill patternType="solid">
        <fgColor indexed="26"/>
        <bgColor indexed="64"/>
      </patternFill>
    </fill>
    <fill>
      <patternFill patternType="mediumGray"/>
    </fill>
    <fill>
      <patternFill patternType="solid">
        <fgColor indexed="13"/>
      </patternFill>
    </fill>
    <fill>
      <patternFill patternType="solid">
        <fgColor indexed="22"/>
      </patternFill>
    </fill>
    <fill>
      <patternFill patternType="solid">
        <fgColor indexed="5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1" tint="0.499984740745262"/>
        <bgColor indexed="64"/>
      </patternFill>
    </fill>
  </fills>
  <borders count="5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thin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37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 style="medium">
        <color indexed="9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44"/>
      </bottom>
      <diagonal/>
    </border>
    <border>
      <left/>
      <right/>
      <top style="thin">
        <color indexed="8"/>
      </top>
      <bottom/>
      <diagonal/>
    </border>
    <border>
      <left style="double">
        <color indexed="33"/>
      </left>
      <right style="double">
        <color indexed="33"/>
      </right>
      <top style="double">
        <color indexed="33"/>
      </top>
      <bottom style="double">
        <color indexed="3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9"/>
      </bottom>
      <diagonal/>
    </border>
    <border>
      <left style="thin">
        <color indexed="25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33"/>
      </left>
      <right style="thin">
        <color indexed="33"/>
      </right>
      <top style="thin">
        <color indexed="33"/>
      </top>
      <bottom style="thin">
        <color indexed="33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39"/>
      </top>
      <bottom style="double">
        <color indexed="39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auto="1"/>
      </top>
      <bottom/>
      <diagonal/>
    </border>
  </borders>
  <cellStyleXfs count="2111">
    <xf numFmtId="0" fontId="0" fillId="0" borderId="0"/>
    <xf numFmtId="0" fontId="9" fillId="0" borderId="0"/>
    <xf numFmtId="0" fontId="10" fillId="0" borderId="0" applyNumberFormat="0" applyFill="0" applyBorder="0" applyAlignment="0" applyProtection="0"/>
    <xf numFmtId="9" fontId="11" fillId="0" borderId="0">
      <alignment horizontal="right"/>
    </xf>
    <xf numFmtId="0" fontId="12" fillId="0" borderId="0" applyNumberFormat="0" applyFill="0" applyBorder="0" applyAlignment="0" applyProtection="0"/>
    <xf numFmtId="0" fontId="13" fillId="0" borderId="0"/>
    <xf numFmtId="175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16" fillId="0" borderId="0"/>
    <xf numFmtId="164" fontId="15" fillId="0" borderId="0" applyFont="0" applyFill="0" applyBorder="0" applyAlignment="0" applyProtection="0"/>
    <xf numFmtId="0" fontId="17" fillId="0" borderId="0"/>
    <xf numFmtId="0" fontId="17" fillId="0" borderId="0"/>
    <xf numFmtId="0" fontId="18" fillId="0" borderId="0"/>
    <xf numFmtId="0" fontId="19" fillId="0" borderId="0"/>
    <xf numFmtId="0" fontId="6" fillId="0" borderId="0">
      <alignment horizontal="right"/>
    </xf>
    <xf numFmtId="15" fontId="9" fillId="0" borderId="11" applyBorder="0"/>
    <xf numFmtId="179" fontId="14" fillId="0" borderId="0" applyFont="0" applyFill="0" applyBorder="0" applyAlignment="0" applyProtection="0"/>
    <xf numFmtId="0" fontId="6" fillId="0" borderId="0"/>
    <xf numFmtId="9" fontId="20" fillId="5" borderId="12">
      <alignment horizontal="right" vertical="center"/>
    </xf>
    <xf numFmtId="0" fontId="6" fillId="0" borderId="0"/>
    <xf numFmtId="180" fontId="6" fillId="0" borderId="0"/>
    <xf numFmtId="0" fontId="21" fillId="0" borderId="0"/>
    <xf numFmtId="10" fontId="15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9" fontId="15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9" fillId="0" borderId="0"/>
    <xf numFmtId="0" fontId="10" fillId="0" borderId="0" applyNumberFormat="0" applyFont="0" applyFill="0" applyBorder="0" applyAlignment="0" applyProtection="0"/>
    <xf numFmtId="0" fontId="9" fillId="0" borderId="3" applyBorder="0"/>
    <xf numFmtId="0" fontId="23" fillId="0" borderId="0" applyFont="0" applyFill="0" applyBorder="0" applyAlignment="0"/>
    <xf numFmtId="0" fontId="9" fillId="0" borderId="0" applyFont="0" applyFill="0" applyBorder="0" applyAlignment="0" applyProtection="0"/>
    <xf numFmtId="0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0" fontId="25" fillId="0" borderId="0"/>
    <xf numFmtId="0" fontId="26" fillId="0" borderId="0" applyFont="0" applyAlignment="0">
      <alignment horizontal="center" vertical="center"/>
    </xf>
    <xf numFmtId="0" fontId="27" fillId="0" borderId="0" applyNumberFormat="0" applyFont="0" applyBorder="0" applyAlignment="0">
      <alignment horizontal="left"/>
    </xf>
    <xf numFmtId="0" fontId="28" fillId="0" borderId="0"/>
    <xf numFmtId="0" fontId="23" fillId="0" borderId="0"/>
    <xf numFmtId="0" fontId="26" fillId="0" borderId="0" applyFont="0" applyAlignment="0">
      <alignment horizontal="center" vertical="center"/>
    </xf>
    <xf numFmtId="0" fontId="26" fillId="0" borderId="0" applyFont="0" applyAlignment="0">
      <alignment horizontal="center" vertical="center"/>
    </xf>
    <xf numFmtId="0" fontId="26" fillId="0" borderId="0" applyFont="0" applyAlignment="0">
      <alignment horizontal="center" vertical="center"/>
    </xf>
    <xf numFmtId="0" fontId="26" fillId="0" borderId="0" applyFont="0" applyAlignment="0">
      <alignment horizontal="center" vertical="center"/>
    </xf>
    <xf numFmtId="0" fontId="26" fillId="0" borderId="0" applyFont="0" applyAlignment="0">
      <alignment horizontal="center" vertical="center"/>
    </xf>
    <xf numFmtId="0" fontId="26" fillId="0" borderId="0" applyFont="0" applyAlignment="0">
      <alignment horizontal="center" vertical="center"/>
    </xf>
    <xf numFmtId="0" fontId="23" fillId="0" borderId="0"/>
    <xf numFmtId="0" fontId="23" fillId="0" borderId="0"/>
    <xf numFmtId="38" fontId="29" fillId="0" borderId="0" applyFont="0" applyFill="0" applyBorder="0" applyAlignment="0" applyProtection="0"/>
    <xf numFmtId="169" fontId="9" fillId="0" borderId="0" applyFont="0" applyFill="0" applyBorder="0" applyAlignment="0" applyProtection="0"/>
    <xf numFmtId="0" fontId="6" fillId="0" borderId="0" applyFont="0" applyFill="0" applyBorder="0" applyProtection="0">
      <alignment horizontal="right"/>
    </xf>
    <xf numFmtId="0" fontId="6" fillId="0" borderId="0" applyFont="0" applyFill="0" applyBorder="0" applyProtection="0">
      <alignment horizontal="right"/>
    </xf>
    <xf numFmtId="0" fontId="6" fillId="0" borderId="0" applyFont="0" applyFill="0" applyBorder="0" applyProtection="0">
      <alignment horizontal="right"/>
    </xf>
    <xf numFmtId="182" fontId="6" fillId="0" borderId="0" applyFont="0" applyFill="0" applyBorder="0" applyProtection="0">
      <alignment horizontal="right"/>
    </xf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6" fillId="0" borderId="0" applyFont="0" applyFill="0" applyBorder="0" applyProtection="0">
      <alignment horizontal="right"/>
    </xf>
    <xf numFmtId="0" fontId="6" fillId="0" borderId="0" applyFont="0" applyFill="0" applyBorder="0" applyProtection="0">
      <alignment horizontal="right"/>
    </xf>
    <xf numFmtId="0" fontId="6" fillId="0" borderId="0" applyFont="0" applyFill="0" applyBorder="0" applyProtection="0">
      <alignment horizontal="right"/>
    </xf>
    <xf numFmtId="0" fontId="6" fillId="0" borderId="0" applyFont="0" applyFill="0" applyBorder="0" applyProtection="0">
      <alignment horizontal="right"/>
    </xf>
    <xf numFmtId="0" fontId="9" fillId="0" borderId="0" applyFont="0" applyFill="0" applyBorder="0" applyAlignment="0" applyProtection="0"/>
    <xf numFmtId="0" fontId="6" fillId="0" borderId="0" applyFont="0" applyFill="0" applyBorder="0" applyProtection="0">
      <alignment horizontal="right"/>
    </xf>
    <xf numFmtId="0" fontId="6" fillId="0" borderId="0" applyFont="0" applyFill="0" applyBorder="0" applyProtection="0">
      <alignment horizontal="right"/>
    </xf>
    <xf numFmtId="0" fontId="18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30" fillId="0" borderId="0" applyFont="0" applyFill="0" applyBorder="0" applyAlignment="0" applyProtection="0"/>
    <xf numFmtId="181" fontId="9" fillId="0" borderId="0" applyFont="0" applyFill="0" applyBorder="0" applyAlignment="0" applyProtection="0"/>
    <xf numFmtId="0" fontId="6" fillId="0" borderId="0" applyFont="0" applyFill="0" applyBorder="0" applyProtection="0">
      <alignment horizontal="right"/>
    </xf>
    <xf numFmtId="0" fontId="6" fillId="0" borderId="0" applyFont="0" applyFill="0" applyBorder="0" applyProtection="0">
      <alignment horizontal="right"/>
    </xf>
    <xf numFmtId="0" fontId="6" fillId="0" borderId="0" applyFont="0" applyFill="0" applyBorder="0" applyProtection="0">
      <alignment horizontal="right"/>
    </xf>
    <xf numFmtId="0" fontId="6" fillId="0" borderId="0" applyFont="0" applyFill="0" applyBorder="0" applyProtection="0">
      <alignment horizontal="right"/>
    </xf>
    <xf numFmtId="181" fontId="9" fillId="0" borderId="0" applyFont="0" applyFill="0" applyBorder="0" applyAlignment="0" applyProtection="0"/>
    <xf numFmtId="0" fontId="6" fillId="0" borderId="0" applyFont="0" applyFill="0" applyBorder="0" applyProtection="0">
      <alignment horizontal="right"/>
    </xf>
    <xf numFmtId="0" fontId="6" fillId="0" borderId="0" applyFont="0" applyFill="0" applyBorder="0" applyProtection="0">
      <alignment horizontal="right"/>
    </xf>
    <xf numFmtId="181" fontId="18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0" fontId="9" fillId="0" borderId="0"/>
    <xf numFmtId="0" fontId="9" fillId="0" borderId="0" applyFont="0" applyFill="0" applyBorder="0" applyAlignment="0" applyProtection="0"/>
    <xf numFmtId="0" fontId="6" fillId="0" borderId="0" applyFont="0" applyFill="0" applyBorder="0" applyProtection="0">
      <alignment horizontal="right"/>
    </xf>
    <xf numFmtId="0" fontId="6" fillId="0" borderId="0" applyFont="0" applyFill="0" applyBorder="0" applyProtection="0">
      <alignment horizontal="right"/>
    </xf>
    <xf numFmtId="0" fontId="6" fillId="0" borderId="0" applyFont="0" applyFill="0" applyBorder="0" applyProtection="0">
      <alignment horizontal="right"/>
    </xf>
    <xf numFmtId="0" fontId="6" fillId="0" borderId="0" applyFont="0" applyFill="0" applyBorder="0" applyProtection="0">
      <alignment horizontal="right"/>
    </xf>
    <xf numFmtId="0" fontId="31" fillId="0" borderId="0"/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9" fillId="0" borderId="0"/>
    <xf numFmtId="0" fontId="31" fillId="0" borderId="0"/>
    <xf numFmtId="0" fontId="9" fillId="0" borderId="0" applyFont="0" applyFill="0" applyBorder="0" applyAlignment="0" applyProtection="0"/>
    <xf numFmtId="0" fontId="32" fillId="6" borderId="0"/>
    <xf numFmtId="0" fontId="10" fillId="0" borderId="0" applyNumberFormat="0" applyFill="0" applyBorder="0" applyAlignment="0" applyProtection="0"/>
    <xf numFmtId="0" fontId="9" fillId="0" borderId="0" applyFont="0" applyFill="0" applyBorder="0" applyAlignment="0" applyProtection="0"/>
    <xf numFmtId="0" fontId="6" fillId="0" borderId="0"/>
    <xf numFmtId="0" fontId="6" fillId="0" borderId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6" fillId="0" borderId="0"/>
    <xf numFmtId="0" fontId="6" fillId="0" borderId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233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6" fillId="0" borderId="0">
      <alignment horizontal="right" vertical="center"/>
      <protection locked="0"/>
    </xf>
    <xf numFmtId="0" fontId="6" fillId="0" borderId="0">
      <alignment horizontal="right" vertical="center"/>
      <protection locked="0"/>
    </xf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6" fillId="0" borderId="0">
      <alignment horizontal="right" vertical="center"/>
      <protection locked="0"/>
    </xf>
    <xf numFmtId="0" fontId="6" fillId="0" borderId="0">
      <alignment horizontal="right" vertical="center"/>
      <protection locked="0"/>
    </xf>
    <xf numFmtId="0" fontId="6" fillId="0" borderId="0">
      <alignment horizontal="right" vertical="center"/>
      <protection locked="0"/>
    </xf>
    <xf numFmtId="0" fontId="6" fillId="0" borderId="0">
      <alignment horizontal="right" vertical="center"/>
      <protection locked="0"/>
    </xf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0" fillId="0" borderId="0" applyFont="0" applyFill="0" applyBorder="0" applyAlignment="0" applyProtection="0"/>
    <xf numFmtId="39" fontId="9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39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0" fontId="34" fillId="0" borderId="0">
      <alignment horizontal="right" vertical="center"/>
      <protection locked="0"/>
    </xf>
    <xf numFmtId="0" fontId="34" fillId="0" borderId="0">
      <alignment horizontal="right" vertical="center"/>
      <protection locked="0"/>
    </xf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18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14" fontId="18" fillId="0" borderId="0" applyFont="0" applyFill="0" applyBorder="0" applyProtection="0">
      <alignment horizontal="right"/>
    </xf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6" fillId="0" borderId="2" applyFont="0" applyFill="0" applyBorder="0" applyAlignment="0" applyProtection="0"/>
    <xf numFmtId="0" fontId="6" fillId="0" borderId="2" applyFont="0" applyFill="0" applyBorder="0" applyAlignment="0" applyProtection="0"/>
    <xf numFmtId="0" fontId="6" fillId="0" borderId="2" applyFont="0" applyFill="0" applyBorder="0" applyAlignment="0" applyProtection="0"/>
    <xf numFmtId="0" fontId="9" fillId="0" borderId="0" applyFont="0" applyFill="0" applyBorder="0" applyAlignment="0" applyProtection="0"/>
    <xf numFmtId="3" fontId="18" fillId="0" borderId="0"/>
    <xf numFmtId="0" fontId="9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9" fillId="7" borderId="0" applyNumberFormat="0" applyFont="0" applyAlignment="0" applyProtection="0"/>
    <xf numFmtId="0" fontId="9" fillId="7" borderId="0" applyNumberFormat="0" applyFont="0" applyAlignment="0" applyProtection="0"/>
    <xf numFmtId="0" fontId="9" fillId="7" borderId="0" applyNumberFormat="0" applyFont="0" applyAlignment="0" applyProtection="0"/>
    <xf numFmtId="0" fontId="9" fillId="7" borderId="0" applyNumberFormat="0" applyFont="0" applyAlignment="0" applyProtection="0"/>
    <xf numFmtId="0" fontId="18" fillId="7" borderId="0" applyNumberFormat="0" applyFont="0" applyAlignment="0" applyProtection="0"/>
    <xf numFmtId="0" fontId="9" fillId="7" borderId="0" applyNumberFormat="0" applyFont="0" applyAlignment="0" applyProtection="0"/>
    <xf numFmtId="0" fontId="9" fillId="8" borderId="0" applyNumberFormat="0" applyFont="0" applyAlignment="0" applyProtection="0"/>
    <xf numFmtId="0" fontId="9" fillId="7" borderId="0" applyNumberFormat="0" applyFont="0" applyAlignment="0" applyProtection="0"/>
    <xf numFmtId="0" fontId="9" fillId="7" borderId="0" applyNumberFormat="0" applyFont="0" applyAlignment="0" applyProtection="0"/>
    <xf numFmtId="0" fontId="18" fillId="7" borderId="0" applyNumberFormat="0" applyFont="0" applyAlignment="0" applyProtection="0"/>
    <xf numFmtId="0" fontId="18" fillId="9" borderId="0" applyNumberFormat="0" applyFont="0" applyAlignment="0" applyProtection="0"/>
    <xf numFmtId="0" fontId="9" fillId="7" borderId="0" applyNumberFormat="0" applyFont="0" applyAlignment="0" applyProtection="0"/>
    <xf numFmtId="0" fontId="9" fillId="7" borderId="0" applyNumberFormat="0" applyFont="0" applyAlignment="0" applyProtection="0"/>
    <xf numFmtId="0" fontId="23" fillId="7" borderId="0" applyNumberFormat="0" applyFont="0" applyAlignment="0" applyProtection="0"/>
    <xf numFmtId="0" fontId="9" fillId="7" borderId="0" applyNumberFormat="0" applyFont="0" applyAlignment="0" applyProtection="0"/>
    <xf numFmtId="0" fontId="18" fillId="9" borderId="0" applyNumberFormat="0" applyFont="0" applyAlignment="0" applyProtection="0"/>
    <xf numFmtId="0" fontId="9" fillId="0" borderId="0"/>
    <xf numFmtId="0" fontId="9" fillId="7" borderId="0" applyNumberFormat="0" applyFont="0" applyAlignment="0" applyProtection="0"/>
    <xf numFmtId="0" fontId="9" fillId="7" borderId="0" applyNumberFormat="0" applyFont="0" applyAlignment="0" applyProtection="0"/>
    <xf numFmtId="0" fontId="9" fillId="7" borderId="0" applyNumberFormat="0" applyFont="0" applyAlignment="0" applyProtection="0"/>
    <xf numFmtId="0" fontId="9" fillId="7" borderId="0" applyNumberFormat="0" applyFont="0" applyAlignment="0" applyProtection="0"/>
    <xf numFmtId="0" fontId="9" fillId="7" borderId="0" applyNumberFormat="0" applyFont="0" applyAlignment="0" applyProtection="0"/>
    <xf numFmtId="0" fontId="9" fillId="7" borderId="0" applyNumberFormat="0" applyFont="0" applyAlignment="0" applyProtection="0"/>
    <xf numFmtId="0" fontId="9" fillId="7" borderId="0" applyNumberFormat="0" applyFont="0" applyAlignment="0" applyProtection="0"/>
    <xf numFmtId="0" fontId="10" fillId="0" borderId="0" applyNumberFormat="0" applyFill="0" applyBorder="0" applyAlignment="0" applyProtection="0"/>
    <xf numFmtId="0" fontId="9" fillId="0" borderId="0" applyFont="0" applyFill="0" applyBorder="0" applyAlignment="0" applyProtection="0"/>
    <xf numFmtId="0" fontId="6" fillId="0" borderId="0"/>
    <xf numFmtId="0" fontId="6" fillId="0" borderId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234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6" fillId="0" borderId="0" applyFont="0" applyFill="0" applyBorder="0" applyProtection="0">
      <alignment horizontal="right"/>
    </xf>
    <xf numFmtId="0" fontId="6" fillId="0" borderId="0" applyFont="0" applyFill="0" applyBorder="0" applyProtection="0">
      <alignment horizontal="right"/>
    </xf>
    <xf numFmtId="0" fontId="6" fillId="0" borderId="0" applyFont="0" applyFill="0" applyBorder="0" applyAlignment="0" applyProtection="0"/>
    <xf numFmtId="0" fontId="6" fillId="0" borderId="0" applyFont="0" applyFill="0" applyBorder="0" applyProtection="0">
      <alignment horizontal="right"/>
    </xf>
    <xf numFmtId="0" fontId="6" fillId="0" borderId="0" applyFont="0" applyFill="0" applyBorder="0" applyProtection="0">
      <alignment horizontal="right"/>
    </xf>
    <xf numFmtId="0" fontId="6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6" fillId="0" borderId="0" applyFont="0" applyFill="0" applyBorder="0" applyProtection="0">
      <alignment horizontal="right"/>
    </xf>
    <xf numFmtId="0" fontId="6" fillId="0" borderId="0" applyFont="0" applyFill="0" applyBorder="0" applyProtection="0">
      <alignment horizontal="right"/>
    </xf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4" fillId="0" borderId="0">
      <alignment horizontal="left" vertical="center" indent="4"/>
      <protection locked="0"/>
    </xf>
    <xf numFmtId="0" fontId="34" fillId="0" borderId="0">
      <alignment horizontal="left" vertical="center" indent="4"/>
      <protection locked="0"/>
    </xf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Fill="0" applyProtection="0">
      <alignment horizontal="center"/>
    </xf>
    <xf numFmtId="0" fontId="30" fillId="0" borderId="0" applyFill="0" applyProtection="0">
      <alignment horizontal="center"/>
    </xf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6" fillId="0" borderId="0" applyFont="0" applyFill="0" applyBorder="0" applyProtection="0">
      <alignment horizontal="right"/>
    </xf>
    <xf numFmtId="0" fontId="6" fillId="0" borderId="0" applyFont="0" applyFill="0" applyBorder="0" applyProtection="0">
      <alignment horizontal="right"/>
    </xf>
    <xf numFmtId="0" fontId="18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Protection="0">
      <alignment horizontal="right"/>
    </xf>
    <xf numFmtId="0" fontId="9" fillId="0" borderId="0" applyFont="0" applyFill="0" applyBorder="0" applyAlignment="0" applyProtection="0"/>
    <xf numFmtId="0" fontId="9" fillId="0" borderId="0" applyFont="0" applyFill="0" applyBorder="0" applyProtection="0">
      <alignment horizontal="right"/>
    </xf>
    <xf numFmtId="0" fontId="9" fillId="0" borderId="0" applyFont="0" applyFill="0" applyBorder="0" applyProtection="0">
      <alignment horizontal="right"/>
    </xf>
    <xf numFmtId="0" fontId="30" fillId="0" borderId="0" applyFont="0" applyFill="0" applyBorder="0" applyProtection="0">
      <alignment horizontal="right"/>
    </xf>
    <xf numFmtId="0" fontId="9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9" fillId="0" borderId="0" applyFont="0" applyFill="0" applyBorder="0" applyProtection="0">
      <alignment horizontal="right"/>
    </xf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Protection="0">
      <alignment horizontal="right"/>
    </xf>
    <xf numFmtId="0" fontId="9" fillId="0" borderId="0" applyFont="0" applyFill="0" applyBorder="0" applyProtection="0">
      <alignment horizontal="right"/>
    </xf>
    <xf numFmtId="235" fontId="9" fillId="0" borderId="0" applyFont="0" applyFill="0" applyBorder="0" applyAlignment="0" applyProtection="0"/>
    <xf numFmtId="0" fontId="9" fillId="0" borderId="0" applyFont="0" applyFill="0" applyBorder="0" applyProtection="0">
      <alignment horizontal="right"/>
    </xf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Protection="0">
      <alignment horizontal="right"/>
    </xf>
    <xf numFmtId="0" fontId="6" fillId="0" borderId="0" applyFont="0" applyFill="0" applyBorder="0" applyProtection="0">
      <alignment horizontal="right"/>
    </xf>
    <xf numFmtId="0" fontId="6" fillId="0" borderId="0" applyFont="0" applyFill="0" applyBorder="0" applyAlignment="0" applyProtection="0"/>
    <xf numFmtId="0" fontId="9" fillId="0" borderId="0" applyFont="0" applyFill="0" applyBorder="0" applyProtection="0">
      <alignment horizontal="right"/>
    </xf>
    <xf numFmtId="0" fontId="9" fillId="0" borderId="0" applyFont="0" applyFill="0" applyBorder="0" applyAlignment="0" applyProtection="0"/>
    <xf numFmtId="0" fontId="6" fillId="0" borderId="0" applyFont="0" applyFill="0" applyBorder="0" applyProtection="0">
      <alignment horizontal="right"/>
    </xf>
    <xf numFmtId="0" fontId="6" fillId="0" borderId="0" applyFont="0" applyFill="0" applyBorder="0" applyProtection="0">
      <alignment horizontal="right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9" fillId="0" borderId="0" applyFont="0" applyFill="0" applyBorder="0" applyProtection="0">
      <alignment horizontal="right"/>
    </xf>
    <xf numFmtId="0" fontId="9" fillId="0" borderId="0" applyFont="0" applyFill="0" applyBorder="0" applyProtection="0">
      <alignment horizontal="right"/>
    </xf>
    <xf numFmtId="0" fontId="9" fillId="0" borderId="0" applyFont="0" applyFill="0" applyBorder="0" applyAlignment="0" applyProtection="0"/>
    <xf numFmtId="0" fontId="9" fillId="0" borderId="0" applyFont="0" applyFill="0" applyBorder="0" applyProtection="0">
      <alignment horizontal="right"/>
    </xf>
    <xf numFmtId="0" fontId="9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Protection="0">
      <alignment horizontal="right"/>
    </xf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6" fillId="0" borderId="0" applyFont="0" applyFill="0" applyBorder="0" applyProtection="0">
      <alignment horizontal="right"/>
    </xf>
    <xf numFmtId="0" fontId="9" fillId="0" borderId="0" applyFont="0" applyFill="0" applyBorder="0" applyProtection="0">
      <alignment horizontal="left" indent="4"/>
    </xf>
    <xf numFmtId="0" fontId="9" fillId="0" borderId="0" applyFont="0" applyFill="0" applyBorder="0" applyProtection="0">
      <alignment horizontal="left" indent="4"/>
    </xf>
    <xf numFmtId="0" fontId="9" fillId="0" borderId="0" applyFont="0" applyFill="0" applyBorder="0" applyProtection="0">
      <alignment horizontal="right"/>
    </xf>
    <xf numFmtId="0" fontId="9" fillId="0" borderId="0" applyFont="0" applyFill="0" applyBorder="0" applyProtection="0">
      <alignment horizontal="right"/>
    </xf>
    <xf numFmtId="0" fontId="9" fillId="0" borderId="0" applyFont="0" applyFill="0" applyBorder="0" applyAlignment="0" applyProtection="0"/>
    <xf numFmtId="0" fontId="9" fillId="0" borderId="0" applyFont="0" applyFill="0" applyBorder="0" applyProtection="0">
      <alignment horizontal="right"/>
    </xf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Protection="0">
      <alignment horizontal="right"/>
    </xf>
    <xf numFmtId="0" fontId="9" fillId="0" borderId="0" applyFont="0" applyFill="0" applyBorder="0" applyAlignment="0" applyProtection="0"/>
    <xf numFmtId="0" fontId="9" fillId="0" borderId="0" applyFont="0" applyFill="0" applyBorder="0" applyProtection="0">
      <alignment horizontal="right"/>
    </xf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6" fillId="0" borderId="0" applyFont="0" applyFill="0" applyBorder="0" applyProtection="0">
      <alignment horizontal="right"/>
    </xf>
    <xf numFmtId="0" fontId="6" fillId="0" borderId="0" applyFont="0" applyFill="0" applyBorder="0" applyProtection="0">
      <alignment horizontal="right"/>
    </xf>
    <xf numFmtId="0" fontId="18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9" fillId="0" borderId="0" applyFont="0" applyFill="0" applyBorder="0" applyProtection="0">
      <alignment horizontal="right"/>
    </xf>
    <xf numFmtId="0" fontId="9" fillId="0" borderId="0" applyFont="0" applyFill="0" applyBorder="0" applyProtection="0">
      <alignment horizontal="right"/>
    </xf>
    <xf numFmtId="0" fontId="9" fillId="0" borderId="0" applyFont="0" applyFill="0" applyBorder="0" applyAlignment="0" applyProtection="0"/>
    <xf numFmtId="0" fontId="29" fillId="0" borderId="0" applyFont="0" applyFill="0" applyBorder="0" applyProtection="0">
      <alignment horizontal="right"/>
    </xf>
    <xf numFmtId="0" fontId="9" fillId="0" borderId="0" applyFont="0" applyFill="0" applyBorder="0" applyProtection="0">
      <alignment horizontal="right"/>
    </xf>
    <xf numFmtId="0" fontId="9" fillId="0" borderId="0" applyFont="0" applyFill="0" applyBorder="0" applyProtection="0">
      <alignment horizontal="right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9" fillId="0" borderId="0" applyFont="0" applyFill="0" applyBorder="0" applyProtection="0">
      <alignment horizontal="right"/>
    </xf>
    <xf numFmtId="0" fontId="9" fillId="0" borderId="0" applyFont="0" applyFill="0" applyBorder="0" applyProtection="0">
      <alignment horizontal="right"/>
    </xf>
    <xf numFmtId="0" fontId="9" fillId="0" borderId="0" applyFont="0" applyFill="0" applyBorder="0" applyProtection="0">
      <alignment horizontal="right"/>
    </xf>
    <xf numFmtId="0" fontId="9" fillId="0" borderId="0" applyFont="0" applyFill="0" applyBorder="0" applyProtection="0">
      <alignment horizontal="right"/>
    </xf>
    <xf numFmtId="0" fontId="9" fillId="0" borderId="0" applyFont="0" applyFill="0" applyBorder="0" applyProtection="0">
      <alignment horizontal="right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Font="0" applyFill="0" applyBorder="0" applyAlignment="0" applyProtection="0"/>
    <xf numFmtId="0" fontId="33" fillId="0" borderId="0" applyFont="0" applyFill="0" applyBorder="0" applyAlignment="0" applyProtection="0"/>
    <xf numFmtId="236" fontId="9" fillId="0" borderId="0" applyFont="0" applyFill="0" applyBorder="0" applyAlignment="0" applyProtection="0"/>
    <xf numFmtId="0" fontId="9" fillId="0" borderId="0" applyFont="0" applyFill="0" applyBorder="0" applyProtection="0">
      <alignment horizontal="right"/>
    </xf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6" fillId="0" borderId="13" applyFont="0" applyFill="0" applyBorder="0" applyProtection="0">
      <alignment horizontal="right"/>
    </xf>
    <xf numFmtId="0" fontId="6" fillId="0" borderId="13" applyFont="0" applyFill="0" applyBorder="0" applyProtection="0">
      <alignment horizontal="right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Protection="0">
      <alignment horizontal="right"/>
    </xf>
    <xf numFmtId="0" fontId="6" fillId="0" borderId="0" applyFont="0" applyFill="0" applyBorder="0" applyProtection="0">
      <alignment horizontal="right"/>
    </xf>
    <xf numFmtId="0" fontId="9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237" fontId="9" fillId="0" borderId="0" applyFont="0" applyFill="0" applyBorder="0" applyAlignment="0" applyProtection="0"/>
    <xf numFmtId="181" fontId="9" fillId="0" borderId="0" applyFont="0" applyFill="0" applyBorder="0" applyProtection="0">
      <alignment horizontal="right"/>
    </xf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81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0" fontId="33" fillId="0" borderId="0" applyFont="0" applyFill="0" applyBorder="0" applyAlignment="0" applyProtection="0"/>
    <xf numFmtId="181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81" fontId="18" fillId="0" borderId="0" applyFont="0" applyFill="0" applyBorder="0" applyAlignment="0" applyProtection="0"/>
    <xf numFmtId="181" fontId="18" fillId="0" borderId="0" applyFont="0" applyFill="0" applyBorder="0" applyAlignment="0" applyProtection="0"/>
    <xf numFmtId="181" fontId="18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8" fillId="0" borderId="0" applyFont="0" applyFill="0" applyBorder="0" applyAlignment="0" applyProtection="0"/>
    <xf numFmtId="181" fontId="9" fillId="0" borderId="0" applyFont="0" applyFill="0" applyBorder="0" applyProtection="0">
      <alignment horizontal="right"/>
    </xf>
    <xf numFmtId="181" fontId="29" fillId="0" borderId="0" applyFont="0" applyFill="0" applyBorder="0" applyProtection="0">
      <alignment horizontal="right"/>
    </xf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6" fillId="0" borderId="0" applyNumberFormat="0" applyFill="0" applyBorder="0" applyProtection="0">
      <alignment vertical="top"/>
    </xf>
    <xf numFmtId="0" fontId="36" fillId="0" borderId="0" applyNumberFormat="0" applyFill="0" applyBorder="0" applyProtection="0">
      <alignment vertical="top"/>
    </xf>
    <xf numFmtId="0" fontId="36" fillId="0" borderId="0" applyNumberFormat="0" applyFill="0" applyBorder="0" applyProtection="0">
      <alignment vertical="top"/>
    </xf>
    <xf numFmtId="0" fontId="36" fillId="0" borderId="0" applyNumberFormat="0" applyFill="0" applyBorder="0" applyProtection="0">
      <alignment vertical="top"/>
    </xf>
    <xf numFmtId="0" fontId="36" fillId="0" borderId="0" applyNumberFormat="0" applyFill="0" applyBorder="0" applyProtection="0">
      <alignment vertical="top"/>
    </xf>
    <xf numFmtId="0" fontId="36" fillId="0" borderId="0" applyNumberFormat="0" applyFill="0" applyBorder="0" applyProtection="0">
      <alignment vertical="top"/>
    </xf>
    <xf numFmtId="0" fontId="36" fillId="0" borderId="0" applyNumberFormat="0" applyFill="0" applyBorder="0" applyProtection="0">
      <alignment vertical="top"/>
    </xf>
    <xf numFmtId="0" fontId="36" fillId="0" borderId="0" applyNumberFormat="0" applyFill="0" applyBorder="0" applyProtection="0">
      <alignment vertical="top"/>
    </xf>
    <xf numFmtId="0" fontId="36" fillId="0" borderId="0" applyNumberFormat="0" applyFill="0" applyBorder="0" applyAlignment="0" applyProtection="0">
      <alignment vertical="top"/>
    </xf>
    <xf numFmtId="0" fontId="36" fillId="0" borderId="0" applyNumberFormat="0" applyFill="0" applyBorder="0" applyProtection="0">
      <alignment vertical="top"/>
    </xf>
    <xf numFmtId="0" fontId="36" fillId="0" borderId="0" applyNumberFormat="0" applyFill="0" applyBorder="0" applyAlignment="0" applyProtection="0">
      <alignment vertical="top"/>
    </xf>
    <xf numFmtId="0" fontId="36" fillId="0" borderId="0" applyNumberFormat="0" applyFill="0" applyBorder="0" applyAlignment="0" applyProtection="0">
      <alignment vertical="top"/>
    </xf>
    <xf numFmtId="0" fontId="36" fillId="0" borderId="0" applyNumberFormat="0" applyFill="0" applyBorder="0" applyProtection="0">
      <alignment vertical="top"/>
    </xf>
    <xf numFmtId="0" fontId="36" fillId="0" borderId="0" applyNumberFormat="0" applyFill="0" applyBorder="0" applyProtection="0">
      <alignment vertical="top"/>
    </xf>
    <xf numFmtId="0" fontId="36" fillId="0" borderId="0" applyNumberFormat="0" applyFill="0" applyBorder="0" applyProtection="0">
      <alignment vertical="top"/>
    </xf>
    <xf numFmtId="0" fontId="36" fillId="0" borderId="0" applyNumberFormat="0" applyFill="0" applyBorder="0" applyProtection="0">
      <alignment vertical="top"/>
    </xf>
    <xf numFmtId="0" fontId="36" fillId="0" borderId="0" applyNumberFormat="0" applyFill="0" applyBorder="0" applyProtection="0">
      <alignment vertical="top"/>
    </xf>
    <xf numFmtId="0" fontId="36" fillId="0" borderId="0" applyNumberFormat="0" applyFill="0" applyBorder="0" applyProtection="0">
      <alignment vertical="top"/>
    </xf>
    <xf numFmtId="0" fontId="36" fillId="0" borderId="0" applyNumberFormat="0" applyFill="0" applyBorder="0" applyProtection="0">
      <alignment vertical="top"/>
    </xf>
    <xf numFmtId="0" fontId="36" fillId="0" borderId="0" applyNumberFormat="0" applyFill="0" applyBorder="0" applyProtection="0">
      <alignment vertical="top"/>
    </xf>
    <xf numFmtId="0" fontId="36" fillId="0" borderId="0" applyNumberFormat="0" applyFill="0" applyBorder="0" applyAlignment="0" applyProtection="0">
      <alignment vertical="top"/>
    </xf>
    <xf numFmtId="0" fontId="36" fillId="0" borderId="0" applyNumberFormat="0" applyFill="0" applyBorder="0" applyProtection="0">
      <alignment vertical="top"/>
    </xf>
    <xf numFmtId="0" fontId="36" fillId="0" borderId="0" applyNumberFormat="0" applyFill="0" applyBorder="0" applyProtection="0">
      <alignment vertical="top"/>
    </xf>
    <xf numFmtId="0" fontId="36" fillId="0" borderId="0" applyNumberFormat="0" applyFill="0" applyBorder="0" applyAlignment="0" applyProtection="0">
      <alignment vertical="top"/>
    </xf>
    <xf numFmtId="0" fontId="36" fillId="0" borderId="0" applyNumberFormat="0" applyFill="0" applyBorder="0" applyProtection="0">
      <alignment vertical="top"/>
    </xf>
    <xf numFmtId="0" fontId="36" fillId="0" borderId="0" applyNumberFormat="0" applyFill="0" applyBorder="0" applyProtection="0">
      <alignment vertical="top"/>
    </xf>
    <xf numFmtId="0" fontId="36" fillId="0" borderId="0" applyNumberFormat="0" applyFill="0" applyBorder="0" applyProtection="0">
      <alignment vertical="top"/>
    </xf>
    <xf numFmtId="0" fontId="36" fillId="0" borderId="0" applyNumberFormat="0" applyFill="0" applyBorder="0" applyAlignment="0" applyProtection="0">
      <alignment vertical="top"/>
    </xf>
    <xf numFmtId="0" fontId="36" fillId="0" borderId="0" applyNumberFormat="0" applyFill="0" applyBorder="0" applyAlignment="0" applyProtection="0">
      <alignment vertical="top"/>
    </xf>
    <xf numFmtId="0" fontId="36" fillId="0" borderId="0" applyNumberFormat="0" applyFill="0" applyBorder="0" applyProtection="0">
      <alignment vertical="top"/>
    </xf>
    <xf numFmtId="0" fontId="36" fillId="0" borderId="0" applyNumberFormat="0" applyFill="0" applyBorder="0" applyProtection="0">
      <alignment vertical="top"/>
    </xf>
    <xf numFmtId="0" fontId="36" fillId="0" borderId="0" applyNumberFormat="0" applyFill="0" applyBorder="0" applyProtection="0">
      <alignment vertical="top"/>
    </xf>
    <xf numFmtId="0" fontId="36" fillId="0" borderId="0" applyNumberFormat="0" applyFill="0" applyBorder="0" applyProtection="0">
      <alignment vertical="top"/>
    </xf>
    <xf numFmtId="0" fontId="36" fillId="0" borderId="0" applyNumberFormat="0" applyFill="0" applyBorder="0" applyProtection="0">
      <alignment vertical="top"/>
    </xf>
    <xf numFmtId="0" fontId="36" fillId="0" borderId="0" applyNumberFormat="0" applyFill="0" applyBorder="0" applyProtection="0">
      <alignment vertical="top"/>
    </xf>
    <xf numFmtId="0" fontId="36" fillId="0" borderId="0" applyNumberFormat="0" applyFill="0" applyBorder="0" applyProtection="0">
      <alignment vertical="top"/>
    </xf>
    <xf numFmtId="0" fontId="36" fillId="0" borderId="0" applyNumberFormat="0" applyFill="0" applyBorder="0" applyProtection="0">
      <alignment vertical="top"/>
    </xf>
    <xf numFmtId="0" fontId="36" fillId="0" borderId="0" applyNumberFormat="0" applyFill="0" applyBorder="0" applyAlignment="0" applyProtection="0">
      <alignment vertical="top"/>
    </xf>
    <xf numFmtId="0" fontId="36" fillId="0" borderId="0" applyNumberFormat="0" applyFill="0" applyBorder="0" applyProtection="0">
      <alignment vertical="top"/>
    </xf>
    <xf numFmtId="0" fontId="36" fillId="0" borderId="0" applyNumberFormat="0" applyFill="0" applyBorder="0" applyProtection="0">
      <alignment vertical="top"/>
    </xf>
    <xf numFmtId="0" fontId="36" fillId="0" borderId="0" applyNumberFormat="0" applyFill="0" applyBorder="0" applyProtection="0">
      <alignment vertical="top"/>
    </xf>
    <xf numFmtId="0" fontId="36" fillId="0" borderId="0" applyNumberFormat="0" applyFill="0" applyBorder="0" applyAlignment="0" applyProtection="0">
      <alignment vertical="top"/>
    </xf>
    <xf numFmtId="0" fontId="36" fillId="0" borderId="0" applyNumberFormat="0" applyFill="0" applyBorder="0" applyAlignment="0" applyProtection="0">
      <alignment vertical="top"/>
    </xf>
    <xf numFmtId="0" fontId="36" fillId="0" borderId="0" applyNumberFormat="0" applyFill="0" applyBorder="0" applyProtection="0">
      <alignment vertical="top"/>
    </xf>
    <xf numFmtId="0" fontId="36" fillId="0" borderId="0" applyNumberFormat="0" applyFill="0" applyBorder="0" applyProtection="0">
      <alignment vertical="top"/>
    </xf>
    <xf numFmtId="0" fontId="36" fillId="0" borderId="0" applyNumberFormat="0" applyFill="0" applyBorder="0" applyAlignment="0" applyProtection="0"/>
    <xf numFmtId="0" fontId="36" fillId="0" borderId="0" applyNumberFormat="0" applyFill="0" applyBorder="0" applyProtection="0">
      <alignment vertical="top"/>
    </xf>
    <xf numFmtId="0" fontId="36" fillId="0" borderId="0" applyNumberFormat="0" applyFill="0" applyBorder="0" applyProtection="0">
      <alignment vertical="top"/>
    </xf>
    <xf numFmtId="0" fontId="36" fillId="0" borderId="0" applyNumberFormat="0" applyFill="0" applyBorder="0" applyProtection="0">
      <alignment vertical="top"/>
    </xf>
    <xf numFmtId="0" fontId="36" fillId="0" borderId="0" applyNumberFormat="0" applyFill="0" applyBorder="0" applyProtection="0">
      <alignment vertical="top"/>
    </xf>
    <xf numFmtId="0" fontId="36" fillId="0" borderId="0" applyNumberFormat="0" applyFill="0" applyBorder="0" applyAlignment="0" applyProtection="0">
      <alignment vertical="top"/>
    </xf>
    <xf numFmtId="0" fontId="36" fillId="0" borderId="0" applyNumberFormat="0" applyFill="0" applyBorder="0" applyProtection="0">
      <alignment vertical="top"/>
    </xf>
    <xf numFmtId="0" fontId="36" fillId="0" borderId="0" applyNumberFormat="0" applyFill="0" applyBorder="0" applyProtection="0">
      <alignment vertical="top"/>
    </xf>
    <xf numFmtId="0" fontId="36" fillId="0" borderId="0" applyNumberFormat="0" applyFill="0" applyBorder="0" applyProtection="0">
      <alignment vertical="top"/>
    </xf>
    <xf numFmtId="0" fontId="36" fillId="0" borderId="0" applyNumberFormat="0" applyFill="0" applyBorder="0" applyProtection="0">
      <alignment vertical="top"/>
    </xf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4" applyNumberFormat="0" applyFill="0" applyAlignment="0" applyProtection="0"/>
    <xf numFmtId="0" fontId="34" fillId="0" borderId="13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4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4" applyNumberFormat="0" applyFill="0" applyAlignment="0" applyProtection="0"/>
    <xf numFmtId="0" fontId="9" fillId="0" borderId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4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4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7" fillId="0" borderId="15" applyNumberFormat="0" applyFill="0" applyProtection="0">
      <alignment horizontal="center"/>
    </xf>
    <xf numFmtId="0" fontId="37" fillId="0" borderId="15" applyNumberFormat="0" applyFill="0" applyProtection="0">
      <alignment horizontal="center"/>
    </xf>
    <xf numFmtId="0" fontId="37" fillId="0" borderId="15" applyNumberFormat="0" applyFill="0" applyProtection="0">
      <alignment horizontal="center"/>
    </xf>
    <xf numFmtId="0" fontId="37" fillId="0" borderId="15" applyNumberFormat="0" applyFill="0" applyProtection="0">
      <alignment horizontal="center"/>
    </xf>
    <xf numFmtId="0" fontId="37" fillId="0" borderId="15" applyNumberFormat="0" applyFill="0" applyProtection="0">
      <alignment horizontal="center"/>
    </xf>
    <xf numFmtId="0" fontId="38" fillId="0" borderId="15" applyNumberFormat="0" applyFill="0" applyProtection="0">
      <alignment horizontal="center"/>
    </xf>
    <xf numFmtId="0" fontId="38" fillId="0" borderId="15" applyNumberFormat="0" applyFill="0" applyProtection="0">
      <alignment horizontal="center"/>
    </xf>
    <xf numFmtId="0" fontId="37" fillId="0" borderId="15" applyNumberFormat="0" applyFill="0" applyProtection="0">
      <alignment horizontal="center"/>
    </xf>
    <xf numFmtId="0" fontId="37" fillId="0" borderId="15" applyNumberFormat="0" applyFill="0" applyProtection="0">
      <alignment horizontal="center"/>
    </xf>
    <xf numFmtId="0" fontId="37" fillId="0" borderId="15" applyNumberFormat="0" applyFill="0" applyProtection="0">
      <alignment horizontal="center"/>
    </xf>
    <xf numFmtId="0" fontId="37" fillId="0" borderId="15" applyNumberFormat="0" applyFill="0" applyProtection="0">
      <alignment horizontal="center"/>
    </xf>
    <xf numFmtId="0" fontId="37" fillId="0" borderId="15" applyNumberFormat="0" applyFill="0" applyProtection="0">
      <alignment horizontal="center"/>
    </xf>
    <xf numFmtId="0" fontId="38" fillId="0" borderId="15" applyNumberFormat="0" applyFill="0" applyProtection="0">
      <alignment horizontal="center"/>
    </xf>
    <xf numFmtId="0" fontId="37" fillId="0" borderId="15" applyNumberFormat="0" applyFill="0" applyProtection="0">
      <alignment horizontal="center"/>
    </xf>
    <xf numFmtId="0" fontId="9" fillId="0" borderId="0"/>
    <xf numFmtId="0" fontId="37" fillId="0" borderId="15" applyNumberFormat="0" applyFill="0" applyProtection="0">
      <alignment horizontal="center"/>
    </xf>
    <xf numFmtId="0" fontId="37" fillId="0" borderId="15" applyNumberFormat="0" applyFill="0" applyProtection="0">
      <alignment horizontal="center"/>
    </xf>
    <xf numFmtId="0" fontId="37" fillId="0" borderId="15" applyNumberFormat="0" applyFill="0" applyProtection="0">
      <alignment horizontal="center"/>
    </xf>
    <xf numFmtId="0" fontId="9" fillId="0" borderId="16" applyNumberFormat="0" applyFont="0" applyFill="0" applyAlignment="0" applyProtection="0"/>
    <xf numFmtId="0" fontId="37" fillId="0" borderId="0" applyNumberFormat="0" applyFill="0" applyBorder="0" applyProtection="0">
      <alignment horizontal="left"/>
    </xf>
    <xf numFmtId="0" fontId="37" fillId="0" borderId="0" applyNumberFormat="0" applyFill="0" applyBorder="0" applyProtection="0">
      <alignment horizontal="left"/>
    </xf>
    <xf numFmtId="0" fontId="37" fillId="0" borderId="0" applyNumberFormat="0" applyFill="0" applyBorder="0" applyProtection="0">
      <alignment horizontal="left"/>
    </xf>
    <xf numFmtId="0" fontId="37" fillId="0" borderId="0" applyNumberFormat="0" applyFill="0" applyBorder="0" applyProtection="0">
      <alignment horizontal="left"/>
    </xf>
    <xf numFmtId="0" fontId="37" fillId="0" borderId="0" applyNumberFormat="0" applyFill="0" applyBorder="0" applyProtection="0">
      <alignment horizontal="left"/>
    </xf>
    <xf numFmtId="0" fontId="37" fillId="0" borderId="0" applyNumberFormat="0" applyFill="0" applyBorder="0" applyProtection="0">
      <alignment horizontal="left"/>
    </xf>
    <xf numFmtId="0" fontId="37" fillId="0" borderId="0" applyNumberFormat="0" applyFill="0" applyBorder="0" applyProtection="0">
      <alignment horizontal="left"/>
    </xf>
    <xf numFmtId="0" fontId="37" fillId="0" borderId="0" applyNumberFormat="0" applyFill="0" applyBorder="0" applyProtection="0">
      <alignment horizontal="left"/>
    </xf>
    <xf numFmtId="0" fontId="37" fillId="0" borderId="0" applyNumberFormat="0" applyFill="0" applyBorder="0" applyProtection="0">
      <alignment horizontal="left"/>
    </xf>
    <xf numFmtId="0" fontId="9" fillId="0" borderId="0"/>
    <xf numFmtId="0" fontId="37" fillId="0" borderId="0" applyNumberFormat="0" applyFill="0" applyBorder="0" applyProtection="0">
      <alignment horizontal="left"/>
    </xf>
    <xf numFmtId="0" fontId="37" fillId="0" borderId="0" applyNumberFormat="0" applyFill="0" applyBorder="0" applyProtection="0">
      <alignment horizontal="left"/>
    </xf>
    <xf numFmtId="0" fontId="37" fillId="0" borderId="0" applyNumberFormat="0" applyFill="0" applyBorder="0" applyProtection="0">
      <alignment horizontal="left"/>
    </xf>
    <xf numFmtId="0" fontId="39" fillId="0" borderId="0" applyNumberFormat="0" applyFill="0" applyBorder="0" applyProtection="0">
      <alignment horizontal="centerContinuous"/>
    </xf>
    <xf numFmtId="0" fontId="39" fillId="0" borderId="0" applyNumberFormat="0" applyFill="0" applyBorder="0" applyProtection="0">
      <alignment horizontal="centerContinuous"/>
    </xf>
    <xf numFmtId="0" fontId="39" fillId="0" borderId="0" applyNumberFormat="0" applyFill="0" applyBorder="0" applyProtection="0">
      <alignment horizontal="centerContinuous"/>
    </xf>
    <xf numFmtId="0" fontId="39" fillId="0" borderId="0" applyNumberFormat="0" applyFill="0" applyBorder="0" applyProtection="0">
      <alignment horizontal="centerContinuous"/>
    </xf>
    <xf numFmtId="0" fontId="39" fillId="0" borderId="0" applyNumberFormat="0" applyFill="0" applyBorder="0" applyProtection="0">
      <alignment horizontal="centerContinuous"/>
    </xf>
    <xf numFmtId="0" fontId="39" fillId="0" borderId="0" applyNumberFormat="0" applyFill="0" applyBorder="0" applyProtection="0">
      <alignment horizontal="centerContinuous"/>
    </xf>
    <xf numFmtId="0" fontId="39" fillId="0" borderId="0" applyNumberFormat="0" applyFill="0" applyBorder="0" applyProtection="0">
      <alignment horizontal="centerContinuous"/>
    </xf>
    <xf numFmtId="0" fontId="39" fillId="0" borderId="0" applyNumberFormat="0" applyFill="0" applyBorder="0" applyProtection="0">
      <alignment horizontal="centerContinuous"/>
    </xf>
    <xf numFmtId="0" fontId="40" fillId="0" borderId="0" applyNumberFormat="0" applyFill="0" applyBorder="0" applyProtection="0">
      <alignment horizontal="centerContinuous"/>
    </xf>
    <xf numFmtId="0" fontId="39" fillId="0" borderId="0" applyNumberFormat="0" applyFill="0" applyProtection="0">
      <alignment horizontal="centerContinuous"/>
    </xf>
    <xf numFmtId="0" fontId="40" fillId="0" borderId="0" applyNumberFormat="0" applyFill="0" applyBorder="0" applyProtection="0">
      <alignment horizontal="centerContinuous"/>
    </xf>
    <xf numFmtId="0" fontId="39" fillId="0" borderId="0" applyNumberFormat="0" applyFill="0" applyProtection="0">
      <alignment horizontal="centerContinuous"/>
    </xf>
    <xf numFmtId="0" fontId="39" fillId="0" borderId="0" applyNumberFormat="0" applyFill="0" applyProtection="0">
      <alignment horizontal="centerContinuous"/>
    </xf>
    <xf numFmtId="0" fontId="39" fillId="0" borderId="0" applyNumberFormat="0" applyFill="0" applyBorder="0" applyProtection="0">
      <alignment horizontal="centerContinuous"/>
    </xf>
    <xf numFmtId="0" fontId="39" fillId="0" borderId="0" applyNumberFormat="0" applyFill="0" applyBorder="0" applyProtection="0">
      <alignment horizontal="centerContinuous"/>
    </xf>
    <xf numFmtId="0" fontId="39" fillId="0" borderId="0" applyNumberFormat="0" applyFill="0" applyBorder="0" applyProtection="0">
      <alignment horizontal="centerContinuous"/>
    </xf>
    <xf numFmtId="0" fontId="39" fillId="0" borderId="0" applyNumberFormat="0" applyFill="0" applyBorder="0" applyProtection="0">
      <alignment horizontal="centerContinuous"/>
    </xf>
    <xf numFmtId="0" fontId="39" fillId="0" borderId="0" applyNumberFormat="0" applyFill="0" applyProtection="0">
      <alignment horizontal="centerContinuous"/>
    </xf>
    <xf numFmtId="0" fontId="39" fillId="0" borderId="0" applyNumberFormat="0" applyFont="0" applyFill="0" applyBorder="0" applyAlignment="0" applyProtection="0">
      <alignment horizontal="centerContinuous"/>
    </xf>
    <xf numFmtId="0" fontId="39" fillId="0" borderId="0" applyNumberFormat="0" applyFill="0" applyBorder="0" applyProtection="0">
      <alignment horizontal="centerContinuous"/>
    </xf>
    <xf numFmtId="0" fontId="40" fillId="0" borderId="0" applyNumberFormat="0" applyFill="0" applyBorder="0" applyProtection="0">
      <alignment horizontal="centerContinuous"/>
    </xf>
    <xf numFmtId="0" fontId="39" fillId="0" borderId="0" applyNumberFormat="0" applyFill="0" applyProtection="0">
      <alignment horizontal="centerContinuous"/>
    </xf>
    <xf numFmtId="0" fontId="9" fillId="0" borderId="0"/>
    <xf numFmtId="0" fontId="39" fillId="0" borderId="0" applyNumberFormat="0" applyFill="0" applyBorder="0" applyProtection="0">
      <alignment horizontal="centerContinuous"/>
    </xf>
    <xf numFmtId="0" fontId="39" fillId="0" borderId="0" applyNumberFormat="0" applyFill="0" applyBorder="0" applyProtection="0">
      <alignment horizontal="centerContinuous"/>
    </xf>
    <xf numFmtId="0" fontId="39" fillId="0" borderId="0" applyNumberFormat="0" applyFill="0" applyProtection="0">
      <alignment horizontal="centerContinuous"/>
    </xf>
    <xf numFmtId="0" fontId="39" fillId="0" borderId="0" applyNumberFormat="0" applyFill="0" applyBorder="0" applyProtection="0">
      <alignment horizontal="centerContinuous"/>
    </xf>
    <xf numFmtId="0" fontId="39" fillId="0" borderId="0" applyNumberFormat="0" applyFill="0" applyBorder="0" applyProtection="0">
      <alignment horizontal="centerContinuous"/>
    </xf>
    <xf numFmtId="0" fontId="39" fillId="0" borderId="0" applyNumberFormat="0" applyFill="0" applyBorder="0" applyProtection="0">
      <alignment horizontal="centerContinuous"/>
    </xf>
    <xf numFmtId="0" fontId="39" fillId="0" borderId="0" applyNumberFormat="0" applyFill="0" applyBorder="0" applyProtection="0">
      <alignment horizontal="centerContinuous"/>
    </xf>
    <xf numFmtId="0" fontId="39" fillId="0" borderId="0" applyNumberFormat="0" applyFill="0" applyProtection="0">
      <alignment horizontal="centerContinuous"/>
    </xf>
    <xf numFmtId="0" fontId="39" fillId="0" borderId="0" applyNumberFormat="0" applyFill="0" applyBorder="0" applyProtection="0">
      <alignment horizontal="centerContinuous"/>
    </xf>
    <xf numFmtId="0" fontId="39" fillId="0" borderId="0" applyNumberFormat="0" applyFill="0" applyBorder="0" applyProtection="0">
      <alignment horizontal="centerContinuous"/>
    </xf>
    <xf numFmtId="0" fontId="39" fillId="0" borderId="0" applyNumberFormat="0" applyFill="0" applyBorder="0" applyProtection="0">
      <alignment horizontal="centerContinuous"/>
    </xf>
    <xf numFmtId="0" fontId="39" fillId="0" borderId="0" applyNumberFormat="0" applyFill="0" applyBorder="0" applyProtection="0">
      <alignment horizontal="centerContinuous"/>
    </xf>
    <xf numFmtId="0" fontId="39" fillId="0" borderId="0" applyNumberFormat="0" applyFill="0" applyBorder="0" applyProtection="0">
      <alignment horizontal="centerContinuous"/>
    </xf>
    <xf numFmtId="0" fontId="34" fillId="0" borderId="0" applyNumberFormat="0" applyFill="0" applyBorder="0" applyAlignment="0" applyProtection="0"/>
    <xf numFmtId="3" fontId="18" fillId="0" borderId="0"/>
    <xf numFmtId="0" fontId="9" fillId="0" borderId="0" applyFont="0" applyFill="0" applyBorder="0" applyAlignment="0" applyProtection="0"/>
    <xf numFmtId="0" fontId="6" fillId="0" borderId="0"/>
    <xf numFmtId="0" fontId="6" fillId="0" borderId="0"/>
    <xf numFmtId="167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42" fillId="0" borderId="0"/>
    <xf numFmtId="0" fontId="41" fillId="0" borderId="0" applyFont="0" applyFill="0" applyBorder="0" applyAlignment="0" applyProtection="0"/>
    <xf numFmtId="9" fontId="9" fillId="10" borderId="0"/>
    <xf numFmtId="0" fontId="9" fillId="0" borderId="0"/>
    <xf numFmtId="0" fontId="9" fillId="0" borderId="0"/>
    <xf numFmtId="0" fontId="43" fillId="0" borderId="0"/>
    <xf numFmtId="0" fontId="29" fillId="0" borderId="0"/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29" fillId="0" borderId="0"/>
    <xf numFmtId="9" fontId="9" fillId="0" borderId="0"/>
    <xf numFmtId="0" fontId="29" fillId="0" borderId="0"/>
    <xf numFmtId="0" fontId="44" fillId="0" borderId="0">
      <alignment horizontal="right"/>
    </xf>
    <xf numFmtId="0" fontId="44" fillId="0" borderId="0"/>
    <xf numFmtId="0" fontId="29" fillId="0" borderId="0"/>
    <xf numFmtId="2" fontId="29" fillId="0" borderId="0"/>
    <xf numFmtId="10" fontId="29" fillId="0" borderId="0"/>
    <xf numFmtId="0" fontId="6" fillId="0" borderId="0" applyFont="0" applyFill="0" applyBorder="0" applyAlignment="0" applyProtection="0">
      <alignment horizontal="right"/>
    </xf>
    <xf numFmtId="0" fontId="6" fillId="0" borderId="0" applyFont="0" applyFill="0" applyBorder="0" applyAlignment="0" applyProtection="0">
      <alignment horizontal="right"/>
    </xf>
    <xf numFmtId="38" fontId="23" fillId="0" borderId="17"/>
    <xf numFmtId="0" fontId="6" fillId="0" borderId="0">
      <alignment horizontal="left"/>
    </xf>
    <xf numFmtId="0" fontId="6" fillId="0" borderId="0">
      <alignment horizontal="left"/>
    </xf>
    <xf numFmtId="0" fontId="6" fillId="0" borderId="0"/>
    <xf numFmtId="238" fontId="153" fillId="0" borderId="0"/>
    <xf numFmtId="0" fontId="154" fillId="8" borderId="0" applyNumberFormat="0" applyBorder="0" applyAlignment="0" applyProtection="0"/>
    <xf numFmtId="0" fontId="154" fillId="11" borderId="0" applyNumberFormat="0" applyBorder="0" applyAlignment="0" applyProtection="0"/>
    <xf numFmtId="0" fontId="154" fillId="12" borderId="0" applyNumberFormat="0" applyBorder="0" applyAlignment="0" applyProtection="0"/>
    <xf numFmtId="0" fontId="154" fillId="13" borderId="0" applyNumberFormat="0" applyBorder="0" applyAlignment="0" applyProtection="0"/>
    <xf numFmtId="0" fontId="154" fillId="8" borderId="0" applyNumberFormat="0" applyBorder="0" applyAlignment="0" applyProtection="0"/>
    <xf numFmtId="0" fontId="154" fillId="11" borderId="0" applyNumberFormat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154" fillId="14" borderId="0" applyNumberFormat="0" applyBorder="0" applyAlignment="0" applyProtection="0"/>
    <xf numFmtId="0" fontId="154" fillId="15" borderId="0" applyNumberFormat="0" applyBorder="0" applyAlignment="0" applyProtection="0"/>
    <xf numFmtId="0" fontId="154" fillId="12" borderId="0" applyNumberFormat="0" applyBorder="0" applyAlignment="0" applyProtection="0"/>
    <xf numFmtId="0" fontId="154" fillId="13" borderId="0" applyNumberFormat="0" applyBorder="0" applyAlignment="0" applyProtection="0"/>
    <xf numFmtId="0" fontId="154" fillId="8" borderId="0" applyNumberFormat="0" applyBorder="0" applyAlignment="0" applyProtection="0"/>
    <xf numFmtId="0" fontId="154" fillId="11" borderId="0" applyNumberFormat="0" applyBorder="0" applyAlignment="0" applyProtection="0"/>
    <xf numFmtId="0" fontId="155" fillId="14" borderId="0" applyNumberFormat="0" applyBorder="0" applyAlignment="0" applyProtection="0"/>
    <xf numFmtId="0" fontId="155" fillId="15" borderId="0" applyNumberFormat="0" applyBorder="0" applyAlignment="0" applyProtection="0"/>
    <xf numFmtId="0" fontId="155" fillId="12" borderId="0" applyNumberFormat="0" applyBorder="0" applyAlignment="0" applyProtection="0"/>
    <xf numFmtId="0" fontId="155" fillId="14" borderId="0" applyNumberFormat="0" applyBorder="0" applyAlignment="0" applyProtection="0"/>
    <xf numFmtId="0" fontId="155" fillId="8" borderId="0" applyNumberFormat="0" applyBorder="0" applyAlignment="0" applyProtection="0"/>
    <xf numFmtId="0" fontId="155" fillId="15" borderId="0" applyNumberFormat="0" applyBorder="0" applyAlignment="0" applyProtection="0"/>
    <xf numFmtId="37" fontId="45" fillId="0" borderId="0">
      <alignment horizontal="center"/>
    </xf>
    <xf numFmtId="0" fontId="46" fillId="0" borderId="0">
      <alignment horizontal="center"/>
    </xf>
    <xf numFmtId="0" fontId="33" fillId="0" borderId="0" applyFont="0" applyFill="0" applyBorder="0" applyAlignment="0" applyProtection="0"/>
    <xf numFmtId="184" fontId="30" fillId="16" borderId="0" applyFont="0" applyBorder="0"/>
    <xf numFmtId="0" fontId="47" fillId="17" borderId="0"/>
    <xf numFmtId="184" fontId="30" fillId="18" borderId="0" applyNumberFormat="0" applyFont="0" applyBorder="0" applyAlignment="0" applyProtection="0"/>
    <xf numFmtId="184" fontId="48" fillId="10" borderId="0" applyNumberFormat="0" applyFont="0" applyBorder="0" applyAlignment="0" applyProtection="0"/>
    <xf numFmtId="184" fontId="6" fillId="19" borderId="0" applyBorder="0"/>
    <xf numFmtId="184" fontId="9" fillId="0" borderId="18" applyNumberFormat="0" applyBorder="0" applyAlignment="0" applyProtection="0"/>
    <xf numFmtId="185" fontId="11" fillId="0" borderId="0" applyBorder="0">
      <alignment horizontal="right"/>
    </xf>
    <xf numFmtId="185" fontId="6" fillId="0" borderId="18" applyBorder="0">
      <alignment horizontal="right"/>
    </xf>
    <xf numFmtId="172" fontId="49" fillId="0" borderId="0" applyBorder="0">
      <alignment horizontal="right"/>
    </xf>
    <xf numFmtId="172" fontId="50" fillId="0" borderId="18" applyBorder="0">
      <alignment horizontal="right"/>
    </xf>
    <xf numFmtId="184" fontId="51" fillId="0" borderId="0">
      <alignment horizontal="left" indent="1"/>
    </xf>
    <xf numFmtId="184" fontId="52" fillId="0" borderId="19" applyBorder="0"/>
    <xf numFmtId="184" fontId="30" fillId="20" borderId="18" applyNumberFormat="0" applyFont="0" applyBorder="0" applyAlignment="0" applyProtection="0"/>
    <xf numFmtId="185" fontId="26" fillId="21" borderId="19" applyBorder="0">
      <alignment horizontal="right"/>
    </xf>
    <xf numFmtId="185" fontId="26" fillId="0" borderId="19" applyBorder="0">
      <alignment horizontal="right"/>
    </xf>
    <xf numFmtId="184" fontId="18" fillId="0" borderId="18" applyNumberFormat="0" applyBorder="0" applyAlignment="0" applyProtection="0"/>
    <xf numFmtId="0" fontId="26" fillId="16" borderId="20" applyBorder="0">
      <alignment horizontal="center"/>
    </xf>
    <xf numFmtId="0" fontId="6" fillId="0" borderId="0" applyFont="0" applyFill="0" applyBorder="0" applyAlignment="0" applyProtection="0"/>
    <xf numFmtId="0" fontId="155" fillId="22" borderId="0" applyNumberFormat="0" applyBorder="0" applyAlignment="0" applyProtection="0"/>
    <xf numFmtId="0" fontId="155" fillId="23" borderId="0" applyNumberFormat="0" applyBorder="0" applyAlignment="0" applyProtection="0"/>
    <xf numFmtId="0" fontId="155" fillId="24" borderId="0" applyNumberFormat="0" applyBorder="0" applyAlignment="0" applyProtection="0"/>
    <xf numFmtId="0" fontId="155" fillId="22" borderId="0" applyNumberFormat="0" applyBorder="0" applyAlignment="0" applyProtection="0"/>
    <xf numFmtId="0" fontId="155" fillId="25" borderId="0" applyNumberFormat="0" applyBorder="0" applyAlignment="0" applyProtection="0"/>
    <xf numFmtId="0" fontId="155" fillId="26" borderId="0" applyNumberFormat="0" applyBorder="0" applyAlignment="0" applyProtection="0"/>
    <xf numFmtId="186" fontId="53" fillId="0" borderId="0" applyFont="0" applyFill="0" applyBorder="0" applyAlignment="0" applyProtection="0"/>
    <xf numFmtId="187" fontId="47" fillId="0" borderId="0" applyFont="0" applyFill="0" applyBorder="0" applyAlignment="0" applyProtection="0"/>
    <xf numFmtId="0" fontId="6" fillId="27" borderId="0" applyNumberFormat="0" applyFont="0" applyBorder="0" applyAlignment="0">
      <alignment horizontal="right"/>
    </xf>
    <xf numFmtId="0" fontId="6" fillId="28" borderId="21">
      <alignment horizontal="center" vertical="center"/>
    </xf>
    <xf numFmtId="0" fontId="6" fillId="27" borderId="22" applyFont="0">
      <alignment horizontal="right"/>
    </xf>
    <xf numFmtId="0" fontId="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8" fillId="0" borderId="0">
      <alignment horizontal="center" wrapText="1"/>
      <protection locked="0"/>
    </xf>
    <xf numFmtId="0" fontId="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" fillId="0" borderId="23" applyNumberFormat="0" applyFill="0" applyBorder="0" applyAlignment="0" applyProtection="0"/>
    <xf numFmtId="0" fontId="54" fillId="0" borderId="23" applyNumberFormat="0" applyFill="0" applyBorder="0" applyAlignment="0" applyProtection="0"/>
    <xf numFmtId="0" fontId="55" fillId="0" borderId="23" applyNumberFormat="0" applyFill="0" applyBorder="0" applyAlignment="0" applyProtection="0"/>
    <xf numFmtId="0" fontId="6" fillId="0" borderId="23" applyNumberFormat="0" applyFill="0" applyAlignment="0" applyProtection="0"/>
    <xf numFmtId="0" fontId="56" fillId="0" borderId="0" applyNumberFormat="0" applyProtection="0"/>
    <xf numFmtId="0" fontId="57" fillId="0" borderId="24" applyNumberFormat="0" applyFill="0" applyAlignment="0" applyProtection="0"/>
    <xf numFmtId="0" fontId="33" fillId="0" borderId="3" applyNumberFormat="0" applyFont="0" applyFill="0" applyAlignment="0" applyProtection="0"/>
    <xf numFmtId="0" fontId="33" fillId="0" borderId="25" applyNumberFormat="0" applyFont="0" applyFill="0" applyAlignment="0" applyProtection="0"/>
    <xf numFmtId="0" fontId="156" fillId="13" borderId="0" applyNumberFormat="0" applyBorder="0" applyAlignment="0" applyProtection="0"/>
    <xf numFmtId="0" fontId="33" fillId="0" borderId="0" applyFont="0" applyFill="0" applyBorder="0" applyAlignment="0" applyProtection="0"/>
    <xf numFmtId="0" fontId="6" fillId="0" borderId="0"/>
    <xf numFmtId="0" fontId="28" fillId="0" borderId="0" applyFont="0" applyFill="0" applyBorder="0" applyAlignment="0" applyProtection="0"/>
    <xf numFmtId="1" fontId="58" fillId="29" borderId="26" applyNumberFormat="0" applyBorder="0" applyAlignment="0">
      <alignment horizontal="center" vertical="top" wrapText="1"/>
      <protection hidden="1"/>
    </xf>
    <xf numFmtId="3" fontId="31" fillId="0" borderId="0" applyFont="0" applyBorder="0" applyAlignment="0" applyProtection="0"/>
    <xf numFmtId="188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>
      <alignment horizontal="right"/>
    </xf>
    <xf numFmtId="0" fontId="18" fillId="0" borderId="0"/>
    <xf numFmtId="0" fontId="6" fillId="30" borderId="27" applyFont="0" applyFill="0" applyBorder="0" applyAlignment="0" applyProtection="0">
      <alignment horizontal="center"/>
    </xf>
    <xf numFmtId="0" fontId="5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0" fillId="31" borderId="0" applyNumberFormat="0" applyFill="0" applyBorder="0" applyAlignment="0" applyProtection="0">
      <protection locked="0"/>
    </xf>
    <xf numFmtId="0" fontId="6" fillId="0" borderId="0" applyNumberFormat="0" applyFont="0" applyAlignment="0"/>
    <xf numFmtId="0" fontId="23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90" fontId="23" fillId="0" borderId="0" applyFont="0" applyFill="0" applyBorder="0" applyAlignment="0" applyProtection="0"/>
    <xf numFmtId="0" fontId="62" fillId="0" borderId="0" applyNumberFormat="0" applyFill="0" applyBorder="0" applyAlignment="0"/>
    <xf numFmtId="0" fontId="63" fillId="32" borderId="28" applyFill="0" applyBorder="0" applyProtection="0">
      <alignment horizontal="left"/>
    </xf>
    <xf numFmtId="0" fontId="64" fillId="0" borderId="0" applyNumberFormat="0" applyFill="0" applyBorder="0" applyAlignment="0" applyProtection="0"/>
    <xf numFmtId="1" fontId="65" fillId="17" borderId="29">
      <alignment horizontal="center"/>
    </xf>
    <xf numFmtId="0" fontId="66" fillId="0" borderId="0"/>
    <xf numFmtId="0" fontId="65" fillId="17" borderId="30">
      <alignment horizontal="center"/>
    </xf>
    <xf numFmtId="166" fontId="67" fillId="0" borderId="0">
      <alignment horizontal="right"/>
      <protection locked="0"/>
    </xf>
    <xf numFmtId="0" fontId="68" fillId="0" borderId="0" applyNumberFormat="0" applyFill="0" applyBorder="0" applyAlignment="0" applyProtection="0"/>
    <xf numFmtId="0" fontId="33" fillId="0" borderId="0" applyBorder="0" applyProtection="0"/>
    <xf numFmtId="0" fontId="9" fillId="0" borderId="0"/>
    <xf numFmtId="0" fontId="21" fillId="0" borderId="0" applyNumberFormat="0" applyFill="0" applyBorder="0" applyAlignment="0" applyProtection="0"/>
    <xf numFmtId="37" fontId="69" fillId="0" borderId="0"/>
    <xf numFmtId="0" fontId="70" fillId="0" borderId="3" applyNumberFormat="0" applyFill="0" applyAlignment="0" applyProtection="0"/>
    <xf numFmtId="0" fontId="9" fillId="31" borderId="31" applyNumberFormat="0" applyFill="0" applyBorder="0" applyAlignment="0" applyProtection="0">
      <protection locked="0"/>
    </xf>
    <xf numFmtId="164" fontId="71" fillId="0" borderId="19" applyAlignment="0" applyProtection="0"/>
    <xf numFmtId="0" fontId="28" fillId="0" borderId="2" applyNumberFormat="0" applyFont="0" applyFill="0" applyAlignment="0" applyProtection="0"/>
    <xf numFmtId="0" fontId="28" fillId="0" borderId="32" applyNumberFormat="0" applyFont="0" applyFill="0" applyAlignment="0" applyProtection="0"/>
    <xf numFmtId="0" fontId="15" fillId="0" borderId="3" applyNumberFormat="0" applyFont="0" applyFill="0" applyAlignment="0" applyProtection="0"/>
    <xf numFmtId="0" fontId="15" fillId="0" borderId="26" applyNumberFormat="0" applyFont="0" applyFill="0" applyAlignment="0" applyProtection="0"/>
    <xf numFmtId="0" fontId="15" fillId="0" borderId="31" applyNumberFormat="0" applyFont="0" applyFill="0" applyAlignment="0" applyProtection="0"/>
    <xf numFmtId="0" fontId="15" fillId="0" borderId="19" applyNumberFormat="0" applyFont="0" applyFill="0" applyAlignment="0" applyProtection="0"/>
    <xf numFmtId="37" fontId="72" fillId="0" borderId="22">
      <alignment horizontal="right" vertical="center"/>
    </xf>
    <xf numFmtId="37" fontId="69" fillId="0" borderId="22">
      <alignment horizontal="right" vertical="center"/>
    </xf>
    <xf numFmtId="191" fontId="33" fillId="0" borderId="2" applyNumberFormat="0" applyFont="0" applyFill="0" applyAlignment="0" applyProtection="0">
      <alignment horizontal="center"/>
    </xf>
    <xf numFmtId="0" fontId="9" fillId="0" borderId="33" applyFill="0" applyProtection="0">
      <alignment horizontal="right"/>
    </xf>
    <xf numFmtId="181" fontId="6" fillId="0" borderId="3" applyFill="0" applyAlignment="0" applyProtection="0">
      <alignment horizontal="center"/>
    </xf>
    <xf numFmtId="192" fontId="9" fillId="0" borderId="0" applyFont="0" applyFill="0" applyBorder="0" applyAlignment="0" applyProtection="0"/>
    <xf numFmtId="193" fontId="73" fillId="0" borderId="0" applyFill="0" applyBorder="0" applyAlignment="0" applyProtection="0"/>
    <xf numFmtId="0" fontId="6" fillId="0" borderId="0" applyFont="0" applyFill="0" applyBorder="0" applyProtection="0">
      <alignment horizontal="left"/>
    </xf>
    <xf numFmtId="0" fontId="6" fillId="0" borderId="0" applyFont="0" applyFill="0" applyBorder="0" applyProtection="0">
      <alignment horizontal="left"/>
    </xf>
    <xf numFmtId="0" fontId="6" fillId="0" borderId="0" applyFont="0" applyFill="0" applyBorder="0" applyProtection="0">
      <alignment horizontal="left"/>
    </xf>
    <xf numFmtId="0" fontId="41" fillId="0" borderId="0" applyFont="0" applyFill="0" applyBorder="0" applyAlignment="0" applyProtection="0"/>
    <xf numFmtId="0" fontId="74" fillId="0" borderId="0" applyNumberFormat="0" applyFill="0" applyBorder="0" applyAlignment="0" applyProtection="0"/>
    <xf numFmtId="0" fontId="9" fillId="0" borderId="0"/>
    <xf numFmtId="0" fontId="75" fillId="0" borderId="0"/>
    <xf numFmtId="0" fontId="21" fillId="0" borderId="2">
      <alignment horizontal="center"/>
    </xf>
    <xf numFmtId="0" fontId="9" fillId="0" borderId="0"/>
    <xf numFmtId="0" fontId="6" fillId="0" borderId="0"/>
    <xf numFmtId="0" fontId="23" fillId="0" borderId="0" applyFont="0" applyFill="0" applyBorder="0" applyAlignment="0" applyProtection="0"/>
    <xf numFmtId="0" fontId="6" fillId="0" borderId="0"/>
    <xf numFmtId="2" fontId="6" fillId="33" borderId="0" applyNumberFormat="0" applyFont="0" applyBorder="0" applyAlignment="0" applyProtection="0"/>
    <xf numFmtId="0" fontId="15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0" fontId="76" fillId="0" borderId="0" applyFill="0" applyBorder="0" applyAlignment="0"/>
    <xf numFmtId="0" fontId="76" fillId="0" borderId="0" applyFill="0" applyBorder="0" applyAlignment="0"/>
    <xf numFmtId="0" fontId="9" fillId="0" borderId="0" applyFill="0" applyBorder="0" applyAlignment="0"/>
    <xf numFmtId="0" fontId="77" fillId="0" borderId="0"/>
    <xf numFmtId="0" fontId="6" fillId="0" borderId="0"/>
    <xf numFmtId="0" fontId="23" fillId="0" borderId="0" applyNumberFormat="0" applyFill="0" applyBorder="0" applyAlignment="0" applyProtection="0"/>
    <xf numFmtId="0" fontId="6" fillId="0" borderId="0">
      <alignment horizontal="left"/>
    </xf>
    <xf numFmtId="194" fontId="28" fillId="34" borderId="0" applyNumberFormat="0" applyFont="0" applyBorder="0" applyAlignment="0"/>
    <xf numFmtId="0" fontId="28" fillId="0" borderId="0" applyFill="0" applyBorder="0" applyProtection="0"/>
    <xf numFmtId="0" fontId="9" fillId="0" borderId="0" applyFont="0" applyFill="0" applyBorder="0" applyAlignment="0" applyProtection="0"/>
    <xf numFmtId="0" fontId="78" fillId="0" borderId="0"/>
    <xf numFmtId="0" fontId="79" fillId="32" borderId="5"/>
    <xf numFmtId="0" fontId="23" fillId="0" borderId="0"/>
    <xf numFmtId="0" fontId="70" fillId="0" borderId="3" applyNumberFormat="0" applyFont="0" applyFill="0" applyProtection="0">
      <alignment horizontal="centerContinuous" vertical="center"/>
    </xf>
    <xf numFmtId="0" fontId="52" fillId="0" borderId="0" applyFill="0" applyBorder="0" applyProtection="0">
      <alignment horizontal="center"/>
      <protection locked="0"/>
    </xf>
    <xf numFmtId="167" fontId="9" fillId="0" borderId="16" applyFont="0" applyFill="0" applyBorder="0" applyProtection="0">
      <alignment horizontal="right"/>
    </xf>
    <xf numFmtId="0" fontId="80" fillId="0" borderId="0">
      <alignment horizontal="center" wrapText="1"/>
    </xf>
    <xf numFmtId="1" fontId="81" fillId="0" borderId="0"/>
    <xf numFmtId="0" fontId="33" fillId="0" borderId="11" applyFont="0" applyFill="0" applyAlignment="0" applyProtection="0"/>
    <xf numFmtId="0" fontId="157" fillId="35" borderId="34" applyNumberFormat="0" applyAlignment="0" applyProtection="0"/>
    <xf numFmtId="3" fontId="15" fillId="0" borderId="0"/>
    <xf numFmtId="0" fontId="82" fillId="0" borderId="0" applyProtection="0"/>
    <xf numFmtId="0" fontId="6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4" fillId="0" borderId="3" applyNumberFormat="0" applyFill="0" applyBorder="0" applyAlignment="0" applyProtection="0">
      <alignment horizontal="center"/>
    </xf>
    <xf numFmtId="0" fontId="85" fillId="0" borderId="3" applyNumberFormat="0" applyFill="0" applyProtection="0">
      <alignment horizontal="left" vertical="center"/>
    </xf>
    <xf numFmtId="0" fontId="9" fillId="0" borderId="0">
      <alignment horizontal="center" wrapText="1"/>
      <protection hidden="1"/>
    </xf>
    <xf numFmtId="0" fontId="17" fillId="0" borderId="3" applyNumberFormat="0" applyFill="0" applyBorder="0" applyProtection="0">
      <alignment horizontal="left" vertical="center"/>
    </xf>
    <xf numFmtId="0" fontId="17" fillId="0" borderId="3" applyNumberFormat="0" applyFill="0" applyBorder="0" applyProtection="0">
      <alignment horizontal="right" vertical="center"/>
    </xf>
    <xf numFmtId="0" fontId="86" fillId="0" borderId="0" applyNumberFormat="0" applyFill="0" applyBorder="0" applyAlignment="0" applyProtection="0">
      <alignment vertical="top"/>
      <protection locked="0"/>
    </xf>
    <xf numFmtId="0" fontId="63" fillId="36" borderId="5" applyNumberFormat="0" applyBorder="0" applyProtection="0">
      <alignment horizontal="center" vertical="center" wrapText="1"/>
    </xf>
    <xf numFmtId="0" fontId="6" fillId="0" borderId="0" applyFill="0" applyBorder="0" applyProtection="0">
      <alignment horizontal="center"/>
    </xf>
    <xf numFmtId="0" fontId="54" fillId="0" borderId="0" applyNumberFormat="0" applyFill="0" applyBorder="0" applyProtection="0">
      <alignment wrapText="1"/>
    </xf>
    <xf numFmtId="0" fontId="80" fillId="0" borderId="0" applyNumberFormat="0" applyFill="0" applyBorder="0" applyProtection="0">
      <alignment wrapText="1"/>
    </xf>
    <xf numFmtId="0" fontId="54" fillId="0" borderId="0" applyBorder="0">
      <alignment horizontal="right"/>
    </xf>
    <xf numFmtId="0" fontId="54" fillId="0" borderId="2" applyAlignment="0">
      <alignment horizontal="right"/>
    </xf>
    <xf numFmtId="0" fontId="47" fillId="0" borderId="0">
      <alignment horizontal="right"/>
    </xf>
    <xf numFmtId="0" fontId="23" fillId="0" borderId="0"/>
    <xf numFmtId="171" fontId="9" fillId="0" borderId="0" applyFont="0" applyFill="0" applyBorder="0" applyAlignment="0" applyProtection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169" fontId="80" fillId="0" borderId="19"/>
    <xf numFmtId="0" fontId="76" fillId="0" borderId="0" applyFont="0" applyFill="0" applyBorder="0" applyAlignment="0" applyProtection="0"/>
    <xf numFmtId="195" fontId="21" fillId="0" borderId="0" applyFont="0" applyFill="0" applyBorder="0" applyAlignment="0" applyProtection="0"/>
    <xf numFmtId="196" fontId="80" fillId="0" borderId="19"/>
    <xf numFmtId="196" fontId="88" fillId="0" borderId="0" applyFont="0" applyFill="0" applyBorder="0" applyAlignment="0" applyProtection="0"/>
    <xf numFmtId="39" fontId="23" fillId="0" borderId="0" applyFont="0" applyFill="0" applyBorder="0" applyAlignment="0" applyProtection="0"/>
    <xf numFmtId="0" fontId="6" fillId="0" borderId="19"/>
    <xf numFmtId="38" fontId="47" fillId="0" borderId="0"/>
    <xf numFmtId="0" fontId="23" fillId="0" borderId="0" applyFont="0" applyFill="0" applyBorder="0" applyAlignment="0" applyProtection="0"/>
    <xf numFmtId="0" fontId="33" fillId="0" borderId="0" applyFont="0" applyFill="0" applyBorder="0" applyAlignment="0" applyProtection="0">
      <alignment horizontal="right"/>
    </xf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>
      <alignment horizontal="right"/>
    </xf>
    <xf numFmtId="198" fontId="33" fillId="0" borderId="0" applyFont="0" applyFill="0" applyBorder="0" applyAlignment="0" applyProtection="0"/>
    <xf numFmtId="197" fontId="89" fillId="0" borderId="0"/>
    <xf numFmtId="0" fontId="33" fillId="0" borderId="0" applyFont="0" applyFill="0" applyBorder="0" applyAlignment="0" applyProtection="0"/>
    <xf numFmtId="40" fontId="9" fillId="0" borderId="0" applyFont="0" applyFill="0" applyBorder="0" applyProtection="0">
      <alignment horizontal="right"/>
    </xf>
    <xf numFmtId="0" fontId="6" fillId="0" borderId="0"/>
    <xf numFmtId="200" fontId="33" fillId="0" borderId="0" applyFont="0" applyFill="0" applyBorder="0" applyAlignment="0" applyProtection="0"/>
    <xf numFmtId="0" fontId="6" fillId="0" borderId="0"/>
    <xf numFmtId="3" fontId="90" fillId="0" borderId="0" applyFont="0" applyFill="0" applyBorder="0" applyAlignment="0" applyProtection="0"/>
    <xf numFmtId="0" fontId="91" fillId="0" borderId="0"/>
    <xf numFmtId="0" fontId="87" fillId="0" borderId="0"/>
    <xf numFmtId="0" fontId="92" fillId="0" borderId="0" applyFill="0" applyBorder="0" applyAlignment="0" applyProtection="0"/>
    <xf numFmtId="0" fontId="15" fillId="0" borderId="0" applyFont="0" applyFill="0" applyBorder="0" applyAlignment="0" applyProtection="0"/>
    <xf numFmtId="0" fontId="91" fillId="0" borderId="0"/>
    <xf numFmtId="0" fontId="87" fillId="0" borderId="0"/>
    <xf numFmtId="4" fontId="93" fillId="0" borderId="5" applyFont="0" applyFill="0" applyBorder="0" applyAlignment="0" applyProtection="0"/>
    <xf numFmtId="0" fontId="6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3" fillId="0" borderId="0">
      <alignment horizontal="right"/>
    </xf>
    <xf numFmtId="0" fontId="94" fillId="0" borderId="0"/>
    <xf numFmtId="0" fontId="95" fillId="37" borderId="0">
      <alignment horizontal="center" vertical="center" wrapText="1"/>
    </xf>
    <xf numFmtId="0" fontId="96" fillId="0" borderId="0" applyFill="0" applyBorder="0" applyAlignment="0" applyProtection="0">
      <protection locked="0"/>
    </xf>
    <xf numFmtId="0" fontId="82" fillId="0" borderId="0" applyFill="0" applyBorder="0">
      <alignment horizontal="left"/>
    </xf>
    <xf numFmtId="0" fontId="97" fillId="0" borderId="0" applyNumberFormat="0" applyAlignment="0">
      <alignment horizontal="left"/>
    </xf>
    <xf numFmtId="0" fontId="33" fillId="0" borderId="6" applyFont="0" applyFill="0" applyBorder="0" applyAlignment="0" applyProtection="0"/>
    <xf numFmtId="0" fontId="98" fillId="0" borderId="0">
      <alignment horizontal="left"/>
    </xf>
    <xf numFmtId="0" fontId="99" fillId="0" borderId="0"/>
    <xf numFmtId="0" fontId="100" fillId="0" borderId="0">
      <alignment horizontal="left"/>
    </xf>
    <xf numFmtId="0" fontId="6" fillId="1" borderId="0" applyFont="0" applyFill="0" applyBorder="0" applyAlignment="0" applyProtection="0">
      <alignment horizontal="right"/>
    </xf>
    <xf numFmtId="0" fontId="33" fillId="0" borderId="3"/>
    <xf numFmtId="165" fontId="29" fillId="0" borderId="0" applyFont="0" applyFill="0" applyBorder="0" applyAlignment="0" applyProtection="0"/>
    <xf numFmtId="0" fontId="23" fillId="0" borderId="0" applyFill="0" applyBorder="0">
      <alignment horizontal="right"/>
      <protection locked="0"/>
    </xf>
    <xf numFmtId="0" fontId="28" fillId="0" borderId="0" applyFont="0" applyFill="0" applyBorder="0" applyAlignment="0" applyProtection="0">
      <protection locked="0"/>
    </xf>
    <xf numFmtId="0" fontId="28" fillId="0" borderId="0" applyFont="0" applyFill="0" applyBorder="0" applyAlignment="0" applyProtection="0">
      <protection locked="0"/>
    </xf>
    <xf numFmtId="0" fontId="6" fillId="0" borderId="0" applyFont="0" applyFill="0" applyBorder="0" applyAlignment="0" applyProtection="0"/>
    <xf numFmtId="0" fontId="80" fillId="0" borderId="19"/>
    <xf numFmtId="0" fontId="9" fillId="0" borderId="0" applyFont="0" applyFill="0" applyBorder="0" applyAlignment="0" applyProtection="0"/>
    <xf numFmtId="0" fontId="101" fillId="0" borderId="0" applyFont="0" applyFill="0" applyBorder="0" applyAlignment="0" applyProtection="0"/>
    <xf numFmtId="0" fontId="80" fillId="0" borderId="19"/>
    <xf numFmtId="0" fontId="102" fillId="0" borderId="0" applyFont="0" applyFill="0" applyBorder="0" applyAlignment="0" applyProtection="0"/>
    <xf numFmtId="167" fontId="103" fillId="0" borderId="35">
      <protection locked="0"/>
    </xf>
    <xf numFmtId="170" fontId="80" fillId="0" borderId="19"/>
    <xf numFmtId="167" fontId="103" fillId="0" borderId="35">
      <protection locked="0"/>
    </xf>
    <xf numFmtId="0" fontId="23" fillId="0" borderId="0" applyFont="0" applyFill="0" applyBorder="0" applyAlignment="0" applyProtection="0"/>
    <xf numFmtId="166" fontId="9" fillId="0" borderId="0"/>
    <xf numFmtId="0" fontId="33" fillId="0" borderId="0" applyFont="0" applyFill="0" applyBorder="0" applyAlignment="0" applyProtection="0">
      <alignment horizontal="right"/>
    </xf>
    <xf numFmtId="0" fontId="44" fillId="0" borderId="7" applyBorder="0"/>
    <xf numFmtId="202" fontId="33" fillId="0" borderId="0"/>
    <xf numFmtId="0" fontId="33" fillId="0" borderId="0" applyFont="0" applyFill="0" applyBorder="0" applyAlignment="0" applyProtection="0">
      <alignment horizontal="right"/>
    </xf>
    <xf numFmtId="166" fontId="80" fillId="0" borderId="19"/>
    <xf numFmtId="203" fontId="104" fillId="0" borderId="0" applyFont="0" applyFill="0" applyBorder="0" applyAlignment="0" applyProtection="0"/>
    <xf numFmtId="204" fontId="33" fillId="0" borderId="0" applyFont="0" applyFill="0" applyBorder="0" applyAlignment="0" applyProtection="0">
      <alignment horizontal="right"/>
    </xf>
    <xf numFmtId="0" fontId="104" fillId="0" borderId="0" applyFont="0" applyFill="0" applyBorder="0" applyAlignment="0" applyProtection="0"/>
    <xf numFmtId="167" fontId="20" fillId="16" borderId="12">
      <alignment horizontal="right"/>
    </xf>
    <xf numFmtId="239" fontId="23" fillId="0" borderId="0" applyFont="0" applyFill="0" applyBorder="0" applyProtection="0">
      <alignment horizontal="right"/>
    </xf>
    <xf numFmtId="205" fontId="33" fillId="0" borderId="0" applyFont="0" applyFill="0" applyBorder="0" applyAlignment="0" applyProtection="0"/>
    <xf numFmtId="0" fontId="90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88" fillId="0" borderId="0"/>
    <xf numFmtId="0" fontId="33" fillId="0" borderId="0" applyFill="0" applyBorder="0" applyProtection="0">
      <alignment vertical="center"/>
    </xf>
    <xf numFmtId="0" fontId="15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33" fillId="0" borderId="0"/>
    <xf numFmtId="166" fontId="44" fillId="0" borderId="0" applyFill="0" applyBorder="0">
      <alignment horizontal="right"/>
    </xf>
    <xf numFmtId="0" fontId="33" fillId="31" borderId="0" applyFont="0" applyFill="0" applyBorder="0" applyAlignment="0" applyProtection="0">
      <alignment vertical="center"/>
      <protection locked="0"/>
    </xf>
    <xf numFmtId="0" fontId="33" fillId="31" borderId="0" applyFont="0" applyFill="0" applyBorder="0" applyAlignment="0" applyProtection="0">
      <alignment vertical="center"/>
      <protection locked="0"/>
    </xf>
    <xf numFmtId="0" fontId="105" fillId="31" borderId="0" applyFont="0" applyFill="0" applyBorder="0" applyAlignment="0" applyProtection="0">
      <alignment vertical="center"/>
      <protection locked="0"/>
    </xf>
    <xf numFmtId="0" fontId="33" fillId="31" borderId="0" applyFont="0" applyFill="0" applyBorder="0" applyAlignment="0" applyProtection="0">
      <alignment vertical="center"/>
      <protection locked="0"/>
    </xf>
    <xf numFmtId="0" fontId="33" fillId="31" borderId="0" applyFont="0" applyFill="0" applyBorder="0" applyAlignment="0" applyProtection="0">
      <alignment vertical="center"/>
      <protection locked="0"/>
    </xf>
    <xf numFmtId="0" fontId="6" fillId="16" borderId="31">
      <alignment horizontal="right"/>
    </xf>
    <xf numFmtId="0" fontId="6" fillId="16" borderId="31">
      <alignment horizontal="right"/>
    </xf>
    <xf numFmtId="0" fontId="6" fillId="16" borderId="31">
      <alignment horizontal="right"/>
    </xf>
    <xf numFmtId="0" fontId="6" fillId="16" borderId="31">
      <alignment horizontal="right"/>
    </xf>
    <xf numFmtId="0" fontId="41" fillId="0" borderId="0" applyFont="0" applyFill="0" applyBorder="0" applyAlignment="0" applyProtection="0"/>
    <xf numFmtId="0" fontId="106" fillId="0" borderId="0" applyNumberFormat="0">
      <alignment horizontal="right"/>
    </xf>
    <xf numFmtId="167" fontId="107" fillId="0" borderId="0" applyNumberFormat="0" applyFill="0" applyBorder="0" applyAlignment="0"/>
    <xf numFmtId="14" fontId="67" fillId="38" borderId="36"/>
    <xf numFmtId="194" fontId="28" fillId="0" borderId="0" applyFont="0" applyFill="0" applyBorder="0" applyProtection="0">
      <alignment horizontal="right"/>
    </xf>
    <xf numFmtId="0" fontId="6" fillId="0" borderId="0" applyFont="0" applyFill="0" applyBorder="0" applyAlignment="0" applyProtection="0"/>
    <xf numFmtId="15" fontId="9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Protection="0"/>
    <xf numFmtId="0" fontId="6" fillId="0" borderId="0" applyFont="0" applyFill="0" applyBorder="0" applyAlignment="0" applyProtection="0"/>
    <xf numFmtId="0" fontId="6" fillId="0" borderId="0" applyFont="0" applyFill="0" applyBorder="0" applyProtection="0"/>
    <xf numFmtId="0" fontId="6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7" fontId="9" fillId="0" borderId="0" applyFill="0" applyBorder="0">
      <alignment horizontal="right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4" fontId="9" fillId="0" borderId="0" applyFill="0" applyBorder="0" applyProtection="0">
      <alignment horizontal="center"/>
    </xf>
    <xf numFmtId="14" fontId="6" fillId="0" borderId="0" applyFont="0" applyFill="0" applyBorder="0" applyAlignment="0" applyProtection="0"/>
    <xf numFmtId="14" fontId="108" fillId="0" borderId="0" applyFill="0" applyBorder="0" applyAlignment="0"/>
    <xf numFmtId="0" fontId="33" fillId="0" borderId="0" applyFill="0" applyBorder="0" applyProtection="0">
      <alignment horizontal="center"/>
    </xf>
    <xf numFmtId="15" fontId="44" fillId="0" borderId="0" applyFont="0" applyFill="0" applyBorder="0" applyAlignment="0" applyProtection="0">
      <protection locked="0"/>
    </xf>
    <xf numFmtId="14" fontId="86" fillId="0" borderId="0">
      <alignment horizontal="right"/>
      <protection locked="0"/>
    </xf>
    <xf numFmtId="0" fontId="6" fillId="0" borderId="5" applyFont="0" applyFill="0" applyBorder="0" applyAlignment="0" applyProtection="0">
      <alignment horizontal="right"/>
    </xf>
    <xf numFmtId="14" fontId="21" fillId="0" borderId="0" applyFont="0" applyFill="0" applyBorder="0" applyAlignment="0" applyProtection="0"/>
    <xf numFmtId="14" fontId="9" fillId="0" borderId="0" applyFont="0" applyFill="0" applyBorder="0" applyAlignment="0" applyProtection="0">
      <alignment horizontal="center"/>
    </xf>
    <xf numFmtId="0" fontId="33" fillId="0" borderId="0" applyFont="0" applyFill="0" applyBorder="0" applyAlignment="0" applyProtection="0">
      <alignment horizontal="center"/>
    </xf>
    <xf numFmtId="206" fontId="33" fillId="0" borderId="19" applyFont="0" applyFill="0" applyBorder="0" applyAlignment="0" applyProtection="0">
      <alignment horizontal="center"/>
    </xf>
    <xf numFmtId="0" fontId="33" fillId="0" borderId="19" applyFont="0" applyFill="0" applyBorder="0" applyAlignment="0" applyProtection="0">
      <alignment horizontal="center"/>
    </xf>
    <xf numFmtId="0" fontId="21" fillId="0" borderId="0"/>
    <xf numFmtId="0" fontId="21" fillId="0" borderId="0"/>
    <xf numFmtId="168" fontId="109" fillId="0" borderId="0"/>
    <xf numFmtId="0" fontId="109" fillId="0" borderId="0"/>
    <xf numFmtId="14" fontId="41" fillId="0" borderId="3" applyBorder="0" applyAlignment="0">
      <alignment horizontal="center"/>
    </xf>
    <xf numFmtId="0" fontId="28" fillId="0" borderId="0"/>
    <xf numFmtId="0" fontId="18" fillId="0" borderId="0"/>
    <xf numFmtId="37" fontId="72" fillId="0" borderId="0"/>
    <xf numFmtId="0" fontId="6" fillId="0" borderId="0" applyFont="0" applyFill="0" applyBorder="0" applyAlignment="0" applyProtection="0"/>
    <xf numFmtId="171" fontId="9" fillId="0" borderId="0" applyFont="0" applyFill="0" applyBorder="0" applyAlignment="0" applyProtection="0"/>
    <xf numFmtId="0" fontId="110" fillId="0" borderId="0">
      <protection locked="0"/>
    </xf>
    <xf numFmtId="169" fontId="30" fillId="0" borderId="0"/>
    <xf numFmtId="0" fontId="28" fillId="0" borderId="0" applyProtection="0"/>
    <xf numFmtId="38" fontId="28" fillId="0" borderId="0" applyNumberFormat="0"/>
    <xf numFmtId="0" fontId="28" fillId="0" borderId="0" applyProtection="0"/>
    <xf numFmtId="167" fontId="28" fillId="0" borderId="0" applyFont="0" applyFill="0" applyBorder="0" applyAlignment="0" applyProtection="0"/>
    <xf numFmtId="0" fontId="87" fillId="0" borderId="0"/>
    <xf numFmtId="0" fontId="111" fillId="0" borderId="0" applyFill="0" applyBorder="0" applyProtection="0"/>
    <xf numFmtId="0" fontId="6" fillId="0" borderId="0"/>
    <xf numFmtId="165" fontId="28" fillId="0" borderId="0" applyFill="0" applyBorder="0" applyProtection="0"/>
    <xf numFmtId="0" fontId="44" fillId="0" borderId="0" applyBorder="0" applyProtection="0"/>
    <xf numFmtId="207" fontId="28" fillId="0" borderId="0"/>
    <xf numFmtId="207" fontId="88" fillId="0" borderId="0">
      <protection locked="0"/>
    </xf>
    <xf numFmtId="166" fontId="28" fillId="0" borderId="0"/>
    <xf numFmtId="168" fontId="23" fillId="0" borderId="0"/>
    <xf numFmtId="208" fontId="21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33" fillId="0" borderId="25" applyNumberFormat="0" applyFont="0" applyFill="0" applyAlignment="0" applyProtection="0"/>
    <xf numFmtId="168" fontId="112" fillId="0" borderId="0" applyFill="0" applyBorder="0" applyAlignment="0" applyProtection="0"/>
    <xf numFmtId="0" fontId="6" fillId="0" borderId="11" applyNumberFormat="0" applyFill="0" applyAlignment="0" applyProtection="0"/>
    <xf numFmtId="0" fontId="53" fillId="0" borderId="19" applyNumberFormat="0" applyBorder="0"/>
    <xf numFmtId="0" fontId="34" fillId="31" borderId="0">
      <alignment horizontal="right" vertical="center"/>
    </xf>
    <xf numFmtId="0" fontId="113" fillId="0" borderId="37" applyNumberFormat="0" applyAlignment="0" applyProtection="0">
      <alignment vertical="top"/>
    </xf>
    <xf numFmtId="0" fontId="9" fillId="0" borderId="0">
      <protection locked="0"/>
    </xf>
    <xf numFmtId="0" fontId="9" fillId="0" borderId="0">
      <protection locked="0"/>
    </xf>
    <xf numFmtId="0" fontId="76" fillId="0" borderId="0" applyFill="0" applyBorder="0" applyAlignment="0"/>
    <xf numFmtId="0" fontId="9" fillId="0" borderId="0" applyFill="0" applyBorder="0" applyAlignment="0"/>
    <xf numFmtId="0" fontId="76" fillId="0" borderId="0" applyFill="0" applyBorder="0" applyAlignment="0"/>
    <xf numFmtId="0" fontId="76" fillId="0" borderId="0" applyFill="0" applyBorder="0" applyAlignment="0"/>
    <xf numFmtId="0" fontId="9" fillId="0" borderId="0" applyFill="0" applyBorder="0" applyAlignment="0"/>
    <xf numFmtId="0" fontId="114" fillId="0" borderId="0" applyNumberFormat="0" applyAlignment="0">
      <alignment horizontal="left"/>
    </xf>
    <xf numFmtId="9" fontId="115" fillId="0" borderId="5" applyNumberFormat="0" applyBorder="0" applyAlignment="0">
      <protection locked="0"/>
    </xf>
    <xf numFmtId="0" fontId="6" fillId="39" borderId="0"/>
    <xf numFmtId="0" fontId="6" fillId="39" borderId="0"/>
    <xf numFmtId="0" fontId="6" fillId="39" borderId="0"/>
    <xf numFmtId="0" fontId="6" fillId="0" borderId="0"/>
    <xf numFmtId="0" fontId="6" fillId="39" borderId="0"/>
    <xf numFmtId="0" fontId="6" fillId="0" borderId="0" applyFont="0" applyFill="0" applyBorder="0" applyProtection="0">
      <alignment horizontal="left"/>
      <protection locked="0"/>
    </xf>
    <xf numFmtId="0" fontId="6" fillId="0" borderId="0"/>
    <xf numFmtId="0" fontId="6" fillId="0" borderId="0" applyFont="0" applyFill="0" applyBorder="0" applyProtection="0">
      <alignment horizontal="left"/>
      <protection locked="0"/>
    </xf>
    <xf numFmtId="167" fontId="116" fillId="0" borderId="0"/>
    <xf numFmtId="0" fontId="116" fillId="0" borderId="0"/>
    <xf numFmtId="0" fontId="116" fillId="0" borderId="0"/>
    <xf numFmtId="2" fontId="117" fillId="0" borderId="0"/>
    <xf numFmtId="209" fontId="14" fillId="0" borderId="0" applyFont="0" applyFill="0" applyBorder="0" applyAlignment="0" applyProtection="0"/>
    <xf numFmtId="210" fontId="118" fillId="0" borderId="0" applyFont="0" applyFill="0" applyBorder="0" applyAlignment="0" applyProtection="0"/>
    <xf numFmtId="240" fontId="9" fillId="0" borderId="0" applyFont="0" applyFill="0" applyBorder="0" applyAlignment="0" applyProtection="0"/>
    <xf numFmtId="0" fontId="158" fillId="0" borderId="0" applyNumberFormat="0" applyFill="0" applyBorder="0" applyAlignment="0" applyProtection="0"/>
    <xf numFmtId="0" fontId="6" fillId="40" borderId="19" applyNumberFormat="0" applyFont="0" applyBorder="0" applyAlignment="0" applyProtection="0">
      <alignment horizontal="right"/>
    </xf>
    <xf numFmtId="0" fontId="47" fillId="0" borderId="0" applyFill="0" applyBorder="0">
      <alignment horizontal="right" vertical="top"/>
    </xf>
    <xf numFmtId="0" fontId="110" fillId="0" borderId="0">
      <protection locked="0"/>
    </xf>
    <xf numFmtId="0" fontId="110" fillId="0" borderId="0">
      <protection locked="0"/>
    </xf>
    <xf numFmtId="0" fontId="110" fillId="0" borderId="0">
      <protection locked="0"/>
    </xf>
    <xf numFmtId="0" fontId="110" fillId="0" borderId="0">
      <protection locked="0"/>
    </xf>
    <xf numFmtId="0" fontId="110" fillId="0" borderId="0">
      <protection locked="0"/>
    </xf>
    <xf numFmtId="0" fontId="110" fillId="0" borderId="0">
      <protection locked="0"/>
    </xf>
    <xf numFmtId="0" fontId="110" fillId="0" borderId="0">
      <protection locked="0"/>
    </xf>
    <xf numFmtId="3" fontId="119" fillId="0" borderId="0" applyNumberFormat="0" applyFont="0" applyFill="0" applyBorder="0" applyAlignment="0" applyProtection="0">
      <alignment horizontal="left"/>
    </xf>
    <xf numFmtId="1" fontId="120" fillId="41" borderId="28" applyNumberFormat="0" applyBorder="0" applyAlignment="0">
      <alignment horizontal="centerContinuous" vertical="center"/>
      <protection locked="0"/>
    </xf>
    <xf numFmtId="0" fontId="110" fillId="0" borderId="0">
      <protection locked="0"/>
    </xf>
    <xf numFmtId="3" fontId="9" fillId="0" borderId="0" applyFont="0" applyFill="0" applyBorder="0" applyAlignment="0" applyProtection="0"/>
    <xf numFmtId="0" fontId="110" fillId="0" borderId="0">
      <protection locked="0"/>
    </xf>
    <xf numFmtId="2" fontId="90" fillId="0" borderId="0" applyFont="0" applyFill="0" applyBorder="0" applyAlignment="0" applyProtection="0"/>
    <xf numFmtId="241" fontId="6" fillId="0" borderId="0" applyFont="0" applyFill="0" applyBorder="0" applyProtection="0"/>
    <xf numFmtId="1" fontId="15" fillId="0" borderId="0" applyFont="0" applyFill="0" applyBorder="0" applyAlignment="0" applyProtection="0"/>
    <xf numFmtId="0" fontId="44" fillId="0" borderId="0" applyFill="0" applyBorder="0">
      <alignment horizontal="right"/>
    </xf>
    <xf numFmtId="0" fontId="121" fillId="0" borderId="0">
      <alignment horizontal="left"/>
    </xf>
    <xf numFmtId="0" fontId="122" fillId="0" borderId="0">
      <alignment horizontal="left"/>
    </xf>
    <xf numFmtId="0" fontId="123" fillId="0" borderId="0" applyFill="0" applyBorder="0" applyProtection="0">
      <alignment horizontal="left"/>
    </xf>
    <xf numFmtId="0" fontId="123" fillId="0" borderId="0" applyNumberFormat="0" applyFill="0" applyBorder="0" applyProtection="0">
      <alignment horizontal="left"/>
    </xf>
    <xf numFmtId="0" fontId="123" fillId="0" borderId="0">
      <alignment horizontal="left"/>
    </xf>
    <xf numFmtId="0" fontId="124" fillId="0" borderId="0" applyNumberFormat="0" applyFill="0" applyBorder="0" applyAlignment="0" applyProtection="0"/>
    <xf numFmtId="1" fontId="6" fillId="0" borderId="0" applyNumberFormat="0" applyBorder="0" applyAlignment="0" applyProtection="0"/>
    <xf numFmtId="0" fontId="18" fillId="0" borderId="0"/>
    <xf numFmtId="0" fontId="6" fillId="0" borderId="0"/>
    <xf numFmtId="0" fontId="125" fillId="0" borderId="0"/>
    <xf numFmtId="211" fontId="18" fillId="0" borderId="0"/>
    <xf numFmtId="169" fontId="126" fillId="0" borderId="0"/>
    <xf numFmtId="0" fontId="6" fillId="31" borderId="5" applyFont="0" applyBorder="0" applyAlignment="0" applyProtection="0">
      <alignment vertical="top"/>
    </xf>
    <xf numFmtId="0" fontId="9" fillId="0" borderId="0" applyBorder="0" applyProtection="0"/>
    <xf numFmtId="0" fontId="23" fillId="0" borderId="0" applyFont="0" applyFill="0" applyBorder="0" applyAlignment="0" applyProtection="0"/>
    <xf numFmtId="13" fontId="9" fillId="0" borderId="38" applyFont="0" applyFill="0" applyBorder="0">
      <alignment horizontal="left"/>
    </xf>
    <xf numFmtId="0" fontId="6" fillId="0" borderId="0" applyFont="0" applyFill="0" applyBorder="0" applyAlignment="0" applyProtection="0"/>
    <xf numFmtId="0" fontId="23" fillId="0" borderId="0" applyFont="0" applyFill="0" applyBorder="0" applyAlignment="0" applyProtection="0"/>
    <xf numFmtId="212" fontId="21" fillId="0" borderId="0" applyFont="0" applyBorder="0" applyProtection="0">
      <protection locked="0"/>
    </xf>
    <xf numFmtId="0" fontId="6" fillId="0" borderId="39"/>
    <xf numFmtId="0" fontId="6" fillId="16" borderId="31">
      <alignment horizontal="right"/>
    </xf>
    <xf numFmtId="0" fontId="6" fillId="16" borderId="31">
      <alignment horizontal="right"/>
    </xf>
    <xf numFmtId="0" fontId="6" fillId="16" borderId="31">
      <alignment horizontal="right"/>
    </xf>
    <xf numFmtId="49" fontId="6" fillId="0" borderId="0" applyFill="0" applyBorder="0"/>
    <xf numFmtId="49" fontId="9" fillId="0" borderId="0"/>
    <xf numFmtId="49" fontId="9" fillId="0" borderId="0" applyFill="0" applyBorder="0">
      <alignment horizontal="right" vertical="center"/>
    </xf>
    <xf numFmtId="49" fontId="9" fillId="0" borderId="0" applyFill="0" applyBorder="0">
      <alignment horizontal="right" vertical="center"/>
    </xf>
    <xf numFmtId="0" fontId="9" fillId="0" borderId="0">
      <alignment vertical="center"/>
    </xf>
    <xf numFmtId="0" fontId="28" fillId="0" borderId="0" applyFill="0" applyBorder="0" applyAlignment="0" applyProtection="0">
      <protection locked="0"/>
    </xf>
    <xf numFmtId="0" fontId="127" fillId="0" borderId="0" applyFont="0" applyFill="0" applyBorder="0" applyProtection="0">
      <alignment horizontal="center" wrapText="1"/>
    </xf>
    <xf numFmtId="0" fontId="6" fillId="0" borderId="0" applyFont="0" applyFill="0" applyBorder="0" applyProtection="0">
      <alignment horizontal="right"/>
    </xf>
    <xf numFmtId="0" fontId="128" fillId="0" borderId="0"/>
    <xf numFmtId="0" fontId="159" fillId="42" borderId="0" applyNumberFormat="0" applyBorder="0" applyAlignment="0" applyProtection="0"/>
    <xf numFmtId="37" fontId="129" fillId="0" borderId="40">
      <alignment horizontal="right" vertical="center"/>
    </xf>
    <xf numFmtId="37" fontId="27" fillId="0" borderId="41"/>
    <xf numFmtId="0" fontId="130" fillId="0" borderId="0"/>
    <xf numFmtId="38" fontId="6" fillId="16" borderId="0" applyNumberFormat="0" applyBorder="0" applyAlignment="0" applyProtection="0"/>
    <xf numFmtId="0" fontId="6" fillId="1" borderId="0" applyFont="0" applyFill="0" applyBorder="0" applyAlignment="0" applyProtection="0">
      <alignment horizontal="right"/>
    </xf>
    <xf numFmtId="0" fontId="23" fillId="0" borderId="26" applyFill="0" applyBorder="0" applyProtection="0">
      <alignment horizontal="left"/>
    </xf>
    <xf numFmtId="0" fontId="33" fillId="0" borderId="0" applyNumberFormat="0" applyAlignment="0"/>
    <xf numFmtId="0" fontId="6" fillId="0" borderId="0"/>
    <xf numFmtId="10" fontId="28" fillId="31" borderId="0" applyFill="0" applyAlignment="0">
      <alignment horizontal="right"/>
    </xf>
    <xf numFmtId="0" fontId="33" fillId="0" borderId="0" applyFill="0" applyBorder="0" applyAlignment="0" applyProtection="0"/>
    <xf numFmtId="0" fontId="33" fillId="0" borderId="0" applyAlignment="0">
      <alignment horizontal="left"/>
      <protection locked="0"/>
    </xf>
    <xf numFmtId="0" fontId="131" fillId="31" borderId="0" applyAlignment="0">
      <alignment horizontal="right"/>
    </xf>
    <xf numFmtId="0" fontId="6" fillId="17" borderId="29" applyNumberFormat="0" applyAlignment="0" applyProtection="0"/>
    <xf numFmtId="0" fontId="27" fillId="0" borderId="0" applyBorder="0">
      <alignment horizontal="left"/>
    </xf>
    <xf numFmtId="49" fontId="124" fillId="0" borderId="0">
      <alignment horizontal="right"/>
    </xf>
    <xf numFmtId="49" fontId="132" fillId="0" borderId="0">
      <alignment horizontal="right"/>
    </xf>
    <xf numFmtId="0" fontId="9" fillId="0" borderId="0">
      <alignment vertical="center"/>
    </xf>
    <xf numFmtId="0" fontId="9" fillId="10" borderId="5" applyNumberFormat="0" applyFont="0" applyBorder="0" applyAlignment="0" applyProtection="0"/>
    <xf numFmtId="0" fontId="9" fillId="43" borderId="5" applyNumberFormat="0" applyFont="0" applyAlignment="0"/>
    <xf numFmtId="0" fontId="33" fillId="0" borderId="0" applyFont="0" applyFill="0" applyBorder="0" applyAlignment="0" applyProtection="0">
      <alignment horizontal="right"/>
    </xf>
    <xf numFmtId="0" fontId="133" fillId="10" borderId="0" applyNumberFormat="0" applyFont="0" applyAlignment="0"/>
    <xf numFmtId="0" fontId="134" fillId="44" borderId="0" applyNumberFormat="0" applyBorder="0" applyProtection="0">
      <alignment horizontal="left" vertical="center"/>
    </xf>
    <xf numFmtId="0" fontId="135" fillId="0" borderId="0">
      <alignment horizontal="right"/>
    </xf>
    <xf numFmtId="0" fontId="136" fillId="1" borderId="0" applyNumberFormat="0" applyBorder="0" applyProtection="0">
      <alignment horizontal="left" vertical="center"/>
    </xf>
    <xf numFmtId="0" fontId="9" fillId="0" borderId="0" applyProtection="0">
      <alignment horizontal="right"/>
    </xf>
    <xf numFmtId="0" fontId="137" fillId="0" borderId="0">
      <alignment horizontal="left"/>
    </xf>
    <xf numFmtId="0" fontId="137" fillId="0" borderId="0">
      <alignment horizontal="left"/>
    </xf>
    <xf numFmtId="0" fontId="80" fillId="0" borderId="42" applyNumberFormat="0" applyAlignment="0" applyProtection="0">
      <alignment horizontal="left" vertical="center"/>
    </xf>
    <xf numFmtId="0" fontId="80" fillId="0" borderId="22">
      <alignment horizontal="left" vertical="center"/>
    </xf>
    <xf numFmtId="0" fontId="138" fillId="0" borderId="0">
      <alignment horizontal="center"/>
    </xf>
    <xf numFmtId="0" fontId="139" fillId="0" borderId="0"/>
    <xf numFmtId="0" fontId="9" fillId="0" borderId="0">
      <alignment horizontal="center"/>
    </xf>
    <xf numFmtId="0" fontId="140" fillId="0" borderId="26">
      <alignment horizontal="left" vertical="top"/>
    </xf>
    <xf numFmtId="0" fontId="141" fillId="0" borderId="0">
      <alignment horizontal="left"/>
    </xf>
    <xf numFmtId="0" fontId="140" fillId="0" borderId="26">
      <alignment horizontal="left" vertical="top"/>
    </xf>
    <xf numFmtId="0" fontId="9" fillId="0" borderId="0" applyProtection="0">
      <alignment horizontal="left"/>
    </xf>
    <xf numFmtId="0" fontId="17" fillId="0" borderId="0">
      <alignment horizontal="left"/>
    </xf>
    <xf numFmtId="0" fontId="9" fillId="0" borderId="0" applyProtection="0">
      <alignment horizontal="left"/>
    </xf>
    <xf numFmtId="0" fontId="160" fillId="0" borderId="0" applyNumberFormat="0" applyFill="0" applyBorder="0" applyAlignment="0" applyProtection="0"/>
    <xf numFmtId="184" fontId="14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213" fontId="28" fillId="0" borderId="0">
      <alignment horizontal="left"/>
    </xf>
    <xf numFmtId="0" fontId="9" fillId="0" borderId="0"/>
    <xf numFmtId="0" fontId="161" fillId="0" borderId="43" applyNumberFormat="0" applyFill="0" applyAlignment="0" applyProtection="0"/>
    <xf numFmtId="242" fontId="9" fillId="43" borderId="3" applyFont="0" applyFill="0" applyBorder="0" applyAlignment="0" applyProtection="0">
      <alignment horizontal="right"/>
    </xf>
    <xf numFmtId="214" fontId="14" fillId="0" borderId="0" applyFont="0" applyFill="0" applyBorder="0" applyAlignment="0" applyProtection="0"/>
    <xf numFmtId="215" fontId="33" fillId="0" borderId="0" applyFont="0" applyFill="0" applyBorder="0" applyProtection="0">
      <alignment horizontal="right"/>
    </xf>
    <xf numFmtId="216" fontId="101" fillId="0" borderId="0" applyFont="0" applyFill="0" applyBorder="0" applyAlignment="0" applyProtection="0"/>
    <xf numFmtId="217" fontId="101" fillId="0" borderId="0" applyFont="0" applyFill="0" applyBorder="0" applyAlignment="0" applyProtection="0"/>
    <xf numFmtId="0" fontId="33" fillId="0" borderId="0" applyFont="0" applyFill="0" applyBorder="0" applyAlignment="0" applyProtection="0">
      <alignment horizontal="right"/>
    </xf>
    <xf numFmtId="0" fontId="161" fillId="45" borderId="0" applyNumberFormat="0" applyBorder="0" applyAlignment="0" applyProtection="0"/>
    <xf numFmtId="213" fontId="143" fillId="0" borderId="0"/>
    <xf numFmtId="40" fontId="6" fillId="0" borderId="0" applyFont="0" applyFill="0" applyBorder="0" applyAlignment="0" applyProtection="0"/>
    <xf numFmtId="0" fontId="154" fillId="0" borderId="0"/>
    <xf numFmtId="0" fontId="9" fillId="0" borderId="0"/>
    <xf numFmtId="0" fontId="162" fillId="45" borderId="44" applyNumberFormat="0" applyFont="0" applyAlignment="0" applyProtection="0"/>
    <xf numFmtId="184" fontId="6" fillId="0" borderId="0"/>
    <xf numFmtId="184" fontId="11" fillId="0" borderId="0">
      <protection locked="0"/>
    </xf>
    <xf numFmtId="218" fontId="6" fillId="0" borderId="0" applyFill="0" applyBorder="0" applyProtection="0">
      <alignment horizontal="right" wrapText="1"/>
    </xf>
    <xf numFmtId="213" fontId="28" fillId="0" borderId="0"/>
    <xf numFmtId="219" fontId="6" fillId="0" borderId="0" applyFill="0" applyBorder="0" applyProtection="0">
      <alignment horizontal="right" wrapText="1"/>
    </xf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63" fillId="46" borderId="45" applyNumberFormat="0" applyAlignment="0" applyProtection="0"/>
    <xf numFmtId="0" fontId="144" fillId="0" borderId="0" applyFill="0" applyBorder="0" applyProtection="0">
      <alignment horizontal="left"/>
    </xf>
    <xf numFmtId="0" fontId="145" fillId="0" borderId="0" applyFill="0" applyBorder="0" applyProtection="0">
      <alignment horizontal="left"/>
    </xf>
    <xf numFmtId="1" fontId="9" fillId="0" borderId="0" applyProtection="0">
      <alignment horizontal="right" vertical="center"/>
    </xf>
    <xf numFmtId="0" fontId="164" fillId="0" borderId="3" applyNumberFormat="0">
      <alignment vertical="center"/>
    </xf>
    <xf numFmtId="220" fontId="9" fillId="0" borderId="0" applyFont="0" applyFill="0" applyBorder="0" applyAlignment="0" applyProtection="0"/>
    <xf numFmtId="221" fontId="47" fillId="0" borderId="0" applyFont="0" applyFill="0" applyBorder="0" applyAlignment="0" applyProtection="0">
      <alignment horizontal="right"/>
    </xf>
    <xf numFmtId="9" fontId="9" fillId="0" borderId="0" applyFont="0" applyFill="0" applyBorder="0" applyAlignment="0" applyProtection="0"/>
    <xf numFmtId="9" fontId="41" fillId="0" borderId="0" applyFont="0" applyFill="0" applyBorder="0" applyAlignment="0" applyProtection="0"/>
    <xf numFmtId="172" fontId="41" fillId="0" borderId="0" applyFont="0" applyFill="0" applyBorder="0" applyAlignment="0" applyProtection="0"/>
    <xf numFmtId="222" fontId="28" fillId="0" borderId="0" applyFont="0" applyFill="0" applyBorder="0" applyProtection="0">
      <alignment horizontal="right"/>
    </xf>
    <xf numFmtId="172" fontId="28" fillId="0" borderId="0"/>
    <xf numFmtId="172" fontId="88" fillId="0" borderId="0"/>
    <xf numFmtId="10" fontId="28" fillId="0" borderId="0"/>
    <xf numFmtId="10" fontId="88" fillId="0" borderId="0">
      <protection locked="0"/>
    </xf>
    <xf numFmtId="0" fontId="23" fillId="38" borderId="0" applyNumberFormat="0" applyFont="0" applyBorder="0" applyAlignment="0" applyProtection="0"/>
    <xf numFmtId="168" fontId="146" fillId="0" borderId="0" applyFill="0" applyBorder="0" applyAlignment="0" applyProtection="0"/>
    <xf numFmtId="0" fontId="147" fillId="0" borderId="0" applyNumberFormat="0" applyFill="0" applyBorder="0" applyProtection="0"/>
    <xf numFmtId="0" fontId="148" fillId="47" borderId="0" applyNumberFormat="0" applyBorder="0" applyProtection="0"/>
    <xf numFmtId="0" fontId="149" fillId="38" borderId="0" applyNumberFormat="0" applyBorder="0" applyProtection="0"/>
    <xf numFmtId="0" fontId="60" fillId="0" borderId="0" applyNumberFormat="0" applyFill="0" applyBorder="0" applyProtection="0"/>
    <xf numFmtId="0" fontId="149" fillId="0" borderId="0" applyNumberFormat="0" applyFill="0" applyBorder="0" applyProtection="0"/>
    <xf numFmtId="0" fontId="150" fillId="0" borderId="0" applyNumberFormat="0" applyFill="0" applyBorder="0" applyProtection="0"/>
    <xf numFmtId="0" fontId="149" fillId="0" borderId="0" applyNumberFormat="0" applyFill="0" applyBorder="0" applyProtection="0">
      <alignment wrapText="1"/>
    </xf>
    <xf numFmtId="0" fontId="151" fillId="0" borderId="0" applyNumberFormat="0" applyFill="0" applyBorder="0" applyProtection="0"/>
    <xf numFmtId="223" fontId="6" fillId="0" borderId="0" applyFill="0" applyBorder="0" applyProtection="0">
      <alignment horizontal="right" wrapText="1"/>
    </xf>
    <xf numFmtId="4" fontId="6" fillId="0" borderId="0" applyFill="0" applyBorder="0" applyProtection="0">
      <alignment wrapText="1"/>
    </xf>
    <xf numFmtId="0" fontId="6" fillId="0" borderId="0" applyNumberFormat="0" applyFill="0" applyBorder="0" applyProtection="0">
      <alignment horizontal="left" vertical="top" wrapText="1"/>
    </xf>
    <xf numFmtId="0" fontId="54" fillId="0" borderId="0" applyNumberFormat="0" applyFill="0" applyBorder="0" applyProtection="0">
      <alignment horizontal="left" vertical="top" wrapText="1"/>
    </xf>
    <xf numFmtId="224" fontId="152" fillId="0" borderId="0" applyFill="0" applyBorder="0" applyProtection="0">
      <alignment horizontal="center" wrapText="1"/>
    </xf>
    <xf numFmtId="225" fontId="152" fillId="0" borderId="0" applyFill="0" applyBorder="0" applyProtection="0">
      <alignment horizontal="right" wrapText="1"/>
    </xf>
    <xf numFmtId="226" fontId="152" fillId="0" borderId="0" applyFill="0" applyBorder="0" applyProtection="0">
      <alignment horizontal="right" wrapText="1"/>
    </xf>
    <xf numFmtId="227" fontId="152" fillId="0" borderId="0" applyFill="0" applyBorder="0" applyProtection="0">
      <alignment horizontal="right" wrapText="1"/>
    </xf>
    <xf numFmtId="37" fontId="152" fillId="0" borderId="0" applyFill="0" applyBorder="0" applyProtection="0">
      <alignment horizontal="center" wrapText="1"/>
    </xf>
    <xf numFmtId="228" fontId="152" fillId="0" borderId="0" applyFill="0" applyBorder="0" applyProtection="0">
      <alignment horizontal="right"/>
    </xf>
    <xf numFmtId="229" fontId="152" fillId="0" borderId="0" applyFill="0" applyBorder="0" applyProtection="0">
      <alignment horizontal="right"/>
    </xf>
    <xf numFmtId="14" fontId="152" fillId="0" borderId="0" applyFill="0" applyBorder="0" applyProtection="0">
      <alignment horizontal="right"/>
    </xf>
    <xf numFmtId="4" fontId="152" fillId="0" borderId="0" applyFill="0" applyBorder="0" applyProtection="0">
      <alignment wrapText="1"/>
    </xf>
    <xf numFmtId="0" fontId="54" fillId="0" borderId="46" applyNumberFormat="0" applyFill="0" applyProtection="0">
      <alignment wrapText="1"/>
    </xf>
    <xf numFmtId="0" fontId="27" fillId="0" borderId="0" applyNumberFormat="0" applyFill="0" applyBorder="0" applyProtection="0">
      <alignment wrapText="1"/>
    </xf>
    <xf numFmtId="0" fontId="54" fillId="0" borderId="46" applyNumberFormat="0" applyFill="0" applyProtection="0">
      <alignment horizontal="center" wrapText="1"/>
    </xf>
    <xf numFmtId="230" fontId="54" fillId="0" borderId="0" applyFill="0" applyBorder="0" applyProtection="0">
      <alignment horizontal="center" wrapText="1"/>
    </xf>
    <xf numFmtId="0" fontId="80" fillId="0" borderId="0" applyNumberFormat="0" applyFill="0" applyBorder="0" applyProtection="0">
      <alignment horizontal="justify" wrapText="1"/>
    </xf>
    <xf numFmtId="0" fontId="54" fillId="0" borderId="0" applyNumberFormat="0" applyFill="0" applyBorder="0" applyProtection="0">
      <alignment horizontal="centerContinuous" wrapText="1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Fill="0" applyBorder="0" applyProtection="0">
      <alignment horizontal="center" vertical="center"/>
    </xf>
    <xf numFmtId="0" fontId="9" fillId="0" borderId="0" applyBorder="0" applyProtection="0">
      <alignment vertical="center"/>
    </xf>
    <xf numFmtId="0" fontId="9" fillId="0" borderId="3" applyBorder="0" applyProtection="0">
      <alignment horizontal="right" vertical="center"/>
    </xf>
    <xf numFmtId="0" fontId="9" fillId="48" borderId="0" applyBorder="0" applyProtection="0">
      <alignment horizontal="centerContinuous" vertical="center"/>
    </xf>
    <xf numFmtId="0" fontId="9" fillId="49" borderId="3" applyBorder="0" applyProtection="0">
      <alignment horizontal="centerContinuous" vertical="center"/>
    </xf>
    <xf numFmtId="0" fontId="26" fillId="0" borderId="0" applyFill="0" applyBorder="0" applyProtection="0"/>
    <xf numFmtId="0" fontId="27" fillId="0" borderId="0" applyFill="0" applyBorder="0" applyProtection="0">
      <alignment horizontal="left"/>
    </xf>
    <xf numFmtId="0" fontId="131" fillId="0" borderId="0" applyFill="0" applyBorder="0" applyProtection="0">
      <alignment horizontal="left" vertical="top"/>
    </xf>
    <xf numFmtId="172" fontId="9" fillId="0" borderId="0" applyNumberFormat="0" applyFill="0" applyBorder="0">
      <alignment horizontal="left"/>
    </xf>
    <xf numFmtId="172" fontId="9" fillId="0" borderId="0" applyNumberFormat="0" applyFill="0" applyBorder="0">
      <alignment horizontal="right"/>
    </xf>
    <xf numFmtId="172" fontId="9" fillId="0" borderId="0" applyNumberFormat="0" applyFill="0" applyBorder="0">
      <alignment horizontal="right"/>
    </xf>
    <xf numFmtId="0" fontId="9" fillId="31" borderId="47" applyNumberFormat="0" applyFont="0" applyFill="0" applyAlignment="0" applyProtection="0">
      <protection locked="0"/>
    </xf>
    <xf numFmtId="0" fontId="9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>
      <alignment horizontal="center"/>
    </xf>
    <xf numFmtId="213" fontId="9" fillId="0" borderId="0">
      <alignment horizontal="centerContinuous"/>
    </xf>
    <xf numFmtId="213" fontId="9" fillId="0" borderId="48">
      <alignment horizontal="centerContinuous"/>
    </xf>
    <xf numFmtId="213" fontId="9" fillId="0" borderId="0">
      <alignment horizontal="centerContinuous"/>
      <protection locked="0"/>
    </xf>
    <xf numFmtId="213" fontId="9" fillId="0" borderId="0">
      <alignment horizontal="left"/>
    </xf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66" fillId="0" borderId="49" applyNumberFormat="0" applyFill="0" applyAlignment="0" applyProtection="0"/>
    <xf numFmtId="194" fontId="9" fillId="0" borderId="0">
      <alignment horizontal="left"/>
      <protection locked="0"/>
    </xf>
    <xf numFmtId="0" fontId="167" fillId="0" borderId="0" applyNumberFormat="0" applyFill="0" applyBorder="0" applyAlignment="0" applyProtection="0"/>
    <xf numFmtId="231" fontId="67" fillId="0" borderId="0" applyFont="0" applyFill="0" applyBorder="0" applyAlignment="0" applyProtection="0"/>
    <xf numFmtId="232" fontId="67" fillId="0" borderId="0" applyFont="0" applyFill="0" applyBorder="0" applyAlignment="0" applyProtection="0"/>
    <xf numFmtId="194" fontId="28" fillId="0" borderId="0" applyFont="0" applyFill="0" applyBorder="0" applyProtection="0">
      <alignment horizontal="right"/>
    </xf>
    <xf numFmtId="172" fontId="9" fillId="0" borderId="0" applyFont="0" applyFill="0" applyBorder="0" applyAlignment="0" applyProtection="0"/>
    <xf numFmtId="0" fontId="168" fillId="0" borderId="0"/>
    <xf numFmtId="175" fontId="169" fillId="0" borderId="0" applyFont="0" applyFill="0" applyBorder="0" applyAlignment="0" applyProtection="0"/>
    <xf numFmtId="176" fontId="169" fillId="0" borderId="0" applyFont="0" applyFill="0" applyBorder="0" applyAlignment="0" applyProtection="0"/>
    <xf numFmtId="177" fontId="169" fillId="0" borderId="0" applyFont="0" applyFill="0" applyBorder="0" applyAlignment="0" applyProtection="0"/>
    <xf numFmtId="178" fontId="169" fillId="0" borderId="0" applyFont="0" applyFill="0" applyBorder="0" applyAlignment="0" applyProtection="0"/>
    <xf numFmtId="15" fontId="168" fillId="0" borderId="11" applyBorder="0"/>
    <xf numFmtId="179" fontId="169" fillId="0" borderId="0" applyFont="0" applyFill="0" applyBorder="0" applyAlignment="0" applyProtection="0"/>
    <xf numFmtId="0" fontId="168" fillId="0" borderId="0"/>
    <xf numFmtId="0" fontId="168" fillId="0" borderId="50" applyBorder="0"/>
    <xf numFmtId="0" fontId="168" fillId="0" borderId="0" applyFont="0" applyFill="0" applyBorder="0" applyAlignment="0" applyProtection="0"/>
    <xf numFmtId="169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181" fontId="168" fillId="0" borderId="0" applyFont="0" applyFill="0" applyBorder="0" applyAlignment="0" applyProtection="0"/>
    <xf numFmtId="181" fontId="168" fillId="0" borderId="0" applyFont="0" applyFill="0" applyBorder="0" applyAlignment="0" applyProtection="0"/>
    <xf numFmtId="181" fontId="170" fillId="0" borderId="0" applyFont="0" applyFill="0" applyBorder="0" applyAlignment="0" applyProtection="0"/>
    <xf numFmtId="181" fontId="168" fillId="0" borderId="0" applyFont="0" applyFill="0" applyBorder="0" applyAlignment="0" applyProtection="0"/>
    <xf numFmtId="181" fontId="168" fillId="0" borderId="0" applyFont="0" applyFill="0" applyBorder="0" applyAlignment="0" applyProtection="0"/>
    <xf numFmtId="181" fontId="168" fillId="0" borderId="0" applyFont="0" applyFill="0" applyBorder="0" applyAlignment="0" applyProtection="0"/>
    <xf numFmtId="181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1" fillId="0" borderId="0"/>
    <xf numFmtId="0" fontId="168" fillId="0" borderId="0"/>
    <xf numFmtId="0" fontId="171" fillId="0" borderId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184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233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39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0" fillId="0" borderId="0" applyFont="0" applyFill="0" applyBorder="0" applyAlignment="0" applyProtection="0"/>
    <xf numFmtId="39" fontId="168" fillId="0" borderId="0" applyFont="0" applyFill="0" applyBorder="0" applyAlignment="0" applyProtection="0"/>
    <xf numFmtId="39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39" fontId="168" fillId="0" borderId="0" applyFont="0" applyFill="0" applyBorder="0" applyAlignment="0" applyProtection="0"/>
    <xf numFmtId="39" fontId="168" fillId="0" borderId="0" applyFont="0" applyFill="0" applyBorder="0" applyAlignment="0" applyProtection="0"/>
    <xf numFmtId="39" fontId="168" fillId="0" borderId="0" applyFont="0" applyFill="0" applyBorder="0" applyAlignment="0" applyProtection="0"/>
    <xf numFmtId="39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39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184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39" fontId="168" fillId="0" borderId="0" applyFont="0" applyFill="0" applyBorder="0" applyAlignment="0" applyProtection="0"/>
    <xf numFmtId="39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39" fontId="168" fillId="0" borderId="0" applyFont="0" applyFill="0" applyBorder="0" applyAlignment="0" applyProtection="0"/>
    <xf numFmtId="39" fontId="168" fillId="0" borderId="0" applyFont="0" applyFill="0" applyBorder="0" applyAlignment="0" applyProtection="0"/>
    <xf numFmtId="39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39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39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39" fontId="168" fillId="0" borderId="0" applyFont="0" applyFill="0" applyBorder="0" applyAlignment="0" applyProtection="0"/>
    <xf numFmtId="39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39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39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39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39" fontId="168" fillId="0" borderId="0" applyFont="0" applyFill="0" applyBorder="0" applyAlignment="0" applyProtection="0"/>
    <xf numFmtId="39" fontId="168" fillId="0" borderId="0" applyFont="0" applyFill="0" applyBorder="0" applyAlignment="0" applyProtection="0"/>
    <xf numFmtId="39" fontId="168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2" fillId="0" borderId="0" applyFont="0" applyFill="0" applyBorder="0" applyAlignment="0" applyProtection="0"/>
    <xf numFmtId="39" fontId="168" fillId="0" borderId="0" applyFont="0" applyFill="0" applyBorder="0" applyAlignment="0" applyProtection="0"/>
    <xf numFmtId="39" fontId="168" fillId="0" borderId="0" applyFont="0" applyFill="0" applyBorder="0" applyAlignment="0" applyProtection="0"/>
    <xf numFmtId="39" fontId="168" fillId="0" borderId="0" applyFont="0" applyFill="0" applyBorder="0" applyAlignment="0" applyProtection="0"/>
    <xf numFmtId="39" fontId="168" fillId="0" borderId="0" applyFont="0" applyFill="0" applyBorder="0" applyAlignment="0" applyProtection="0"/>
    <xf numFmtId="39" fontId="172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39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39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6" fillId="0" borderId="51" applyFont="0" applyFill="0" applyBorder="0" applyAlignment="0" applyProtection="0"/>
    <xf numFmtId="0" fontId="6" fillId="0" borderId="51" applyFont="0" applyFill="0" applyBorder="0" applyAlignment="0" applyProtection="0"/>
    <xf numFmtId="0" fontId="6" fillId="0" borderId="51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3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0" fontId="168" fillId="7" borderId="0" applyNumberFormat="0" applyFont="0" applyAlignment="0" applyProtection="0"/>
    <xf numFmtId="0" fontId="168" fillId="7" borderId="0" applyNumberFormat="0" applyFont="0" applyAlignment="0" applyProtection="0"/>
    <xf numFmtId="0" fontId="168" fillId="7" borderId="0" applyNumberFormat="0" applyFont="0" applyAlignment="0" applyProtection="0"/>
    <xf numFmtId="0" fontId="168" fillId="7" borderId="0" applyNumberFormat="0" applyFont="0" applyAlignment="0" applyProtection="0"/>
    <xf numFmtId="0" fontId="168" fillId="7" borderId="0" applyNumberFormat="0" applyFont="0" applyAlignment="0" applyProtection="0"/>
    <xf numFmtId="0" fontId="168" fillId="8" borderId="0" applyNumberFormat="0" applyFont="0" applyAlignment="0" applyProtection="0"/>
    <xf numFmtId="0" fontId="168" fillId="7" borderId="0" applyNumberFormat="0" applyFont="0" applyAlignment="0" applyProtection="0"/>
    <xf numFmtId="0" fontId="168" fillId="7" borderId="0" applyNumberFormat="0" applyFont="0" applyAlignment="0" applyProtection="0"/>
    <xf numFmtId="0" fontId="168" fillId="7" borderId="0" applyNumberFormat="0" applyFont="0" applyAlignment="0" applyProtection="0"/>
    <xf numFmtId="0" fontId="168" fillId="7" borderId="0" applyNumberFormat="0" applyFont="0" applyAlignment="0" applyProtection="0"/>
    <xf numFmtId="0" fontId="174" fillId="7" borderId="0" applyNumberFormat="0" applyFont="0" applyAlignment="0" applyProtection="0"/>
    <xf numFmtId="0" fontId="168" fillId="7" borderId="0" applyNumberFormat="0" applyFont="0" applyAlignment="0" applyProtection="0"/>
    <xf numFmtId="0" fontId="168" fillId="0" borderId="0"/>
    <xf numFmtId="0" fontId="168" fillId="7" borderId="0" applyNumberFormat="0" applyFont="0" applyAlignment="0" applyProtection="0"/>
    <xf numFmtId="0" fontId="168" fillId="7" borderId="0" applyNumberFormat="0" applyFont="0" applyAlignment="0" applyProtection="0"/>
    <xf numFmtId="0" fontId="168" fillId="7" borderId="0" applyNumberFormat="0" applyFont="0" applyAlignment="0" applyProtection="0"/>
    <xf numFmtId="0" fontId="168" fillId="7" borderId="0" applyNumberFormat="0" applyFont="0" applyAlignment="0" applyProtection="0"/>
    <xf numFmtId="0" fontId="168" fillId="7" borderId="0" applyNumberFormat="0" applyFont="0" applyAlignment="0" applyProtection="0"/>
    <xf numFmtId="0" fontId="168" fillId="7" borderId="0" applyNumberFormat="0" applyFont="0" applyAlignment="0" applyProtection="0"/>
    <xf numFmtId="0" fontId="168" fillId="7" borderId="0" applyNumberFormat="0" applyFont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234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5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Protection="0">
      <alignment horizontal="right"/>
    </xf>
    <xf numFmtId="0" fontId="168" fillId="0" borderId="0" applyFont="0" applyFill="0" applyBorder="0" applyAlignment="0" applyProtection="0"/>
    <xf numFmtId="0" fontId="168" fillId="0" borderId="0" applyFont="0" applyFill="0" applyBorder="0" applyProtection="0">
      <alignment horizontal="right"/>
    </xf>
    <xf numFmtId="0" fontId="168" fillId="0" borderId="0" applyFont="0" applyFill="0" applyBorder="0" applyProtection="0">
      <alignment horizontal="right"/>
    </xf>
    <xf numFmtId="0" fontId="170" fillId="0" borderId="0" applyFont="0" applyFill="0" applyBorder="0" applyProtection="0">
      <alignment horizontal="right"/>
    </xf>
    <xf numFmtId="0" fontId="168" fillId="0" borderId="0" applyFont="0" applyFill="0" applyBorder="0" applyAlignment="0" applyProtection="0"/>
    <xf numFmtId="0" fontId="168" fillId="0" borderId="0" applyFont="0" applyFill="0" applyBorder="0" applyProtection="0">
      <alignment horizontal="right"/>
    </xf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Protection="0">
      <alignment horizontal="right"/>
    </xf>
    <xf numFmtId="0" fontId="168" fillId="0" borderId="0" applyFont="0" applyFill="0" applyBorder="0" applyProtection="0">
      <alignment horizontal="right"/>
    </xf>
    <xf numFmtId="235" fontId="168" fillId="0" borderId="0" applyFont="0" applyFill="0" applyBorder="0" applyAlignment="0" applyProtection="0"/>
    <xf numFmtId="0" fontId="168" fillId="0" borderId="0" applyFont="0" applyFill="0" applyBorder="0" applyProtection="0">
      <alignment horizontal="right"/>
    </xf>
    <xf numFmtId="0" fontId="168" fillId="0" borderId="0" applyFont="0" applyFill="0" applyBorder="0" applyProtection="0">
      <alignment horizontal="right"/>
    </xf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Protection="0">
      <alignment horizontal="right"/>
    </xf>
    <xf numFmtId="0" fontId="168" fillId="0" borderId="0" applyFont="0" applyFill="0" applyBorder="0" applyProtection="0">
      <alignment horizontal="right"/>
    </xf>
    <xf numFmtId="0" fontId="168" fillId="0" borderId="0" applyFont="0" applyFill="0" applyBorder="0" applyAlignment="0" applyProtection="0"/>
    <xf numFmtId="0" fontId="168" fillId="0" borderId="0" applyFont="0" applyFill="0" applyBorder="0" applyProtection="0">
      <alignment horizontal="right"/>
    </xf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Protection="0">
      <alignment horizontal="left" indent="4"/>
    </xf>
    <xf numFmtId="0" fontId="168" fillId="0" borderId="0" applyFont="0" applyFill="0" applyBorder="0" applyProtection="0">
      <alignment horizontal="left" indent="4"/>
    </xf>
    <xf numFmtId="0" fontId="168" fillId="0" borderId="0" applyFont="0" applyFill="0" applyBorder="0" applyProtection="0">
      <alignment horizontal="right"/>
    </xf>
    <xf numFmtId="0" fontId="168" fillId="0" borderId="0" applyFont="0" applyFill="0" applyBorder="0" applyProtection="0">
      <alignment horizontal="right"/>
    </xf>
    <xf numFmtId="0" fontId="168" fillId="0" borderId="0" applyFont="0" applyFill="0" applyBorder="0" applyAlignment="0" applyProtection="0"/>
    <xf numFmtId="0" fontId="168" fillId="0" borderId="0" applyFont="0" applyFill="0" applyBorder="0" applyProtection="0">
      <alignment horizontal="right"/>
    </xf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Protection="0">
      <alignment horizontal="right"/>
    </xf>
    <xf numFmtId="0" fontId="168" fillId="0" borderId="0" applyFont="0" applyFill="0" applyBorder="0" applyAlignment="0" applyProtection="0"/>
    <xf numFmtId="0" fontId="168" fillId="0" borderId="0" applyFont="0" applyFill="0" applyBorder="0" applyProtection="0">
      <alignment horizontal="right"/>
    </xf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68" fillId="0" borderId="0" applyFont="0" applyFill="0" applyBorder="0" applyProtection="0">
      <alignment horizontal="right"/>
    </xf>
    <xf numFmtId="0" fontId="168" fillId="0" borderId="0" applyFont="0" applyFill="0" applyBorder="0" applyProtection="0">
      <alignment horizontal="right"/>
    </xf>
    <xf numFmtId="0" fontId="168" fillId="0" borderId="0" applyFont="0" applyFill="0" applyBorder="0" applyAlignment="0" applyProtection="0"/>
    <xf numFmtId="0" fontId="168" fillId="0" borderId="0" applyFont="0" applyFill="0" applyBorder="0" applyProtection="0">
      <alignment horizontal="right"/>
    </xf>
    <xf numFmtId="0" fontId="168" fillId="0" borderId="0" applyFont="0" applyFill="0" applyBorder="0" applyProtection="0">
      <alignment horizontal="right"/>
    </xf>
    <xf numFmtId="0" fontId="168" fillId="0" borderId="0" applyFont="0" applyFill="0" applyBorder="0" applyProtection="0">
      <alignment horizontal="right"/>
    </xf>
    <xf numFmtId="0" fontId="168" fillId="0" borderId="0" applyFont="0" applyFill="0" applyBorder="0" applyProtection="0">
      <alignment horizontal="right"/>
    </xf>
    <xf numFmtId="0" fontId="168" fillId="0" borderId="0" applyFont="0" applyFill="0" applyBorder="0" applyProtection="0">
      <alignment horizontal="right"/>
    </xf>
    <xf numFmtId="0" fontId="168" fillId="0" borderId="0" applyFont="0" applyFill="0" applyBorder="0" applyProtection="0">
      <alignment horizontal="right"/>
    </xf>
    <xf numFmtId="0" fontId="168" fillId="0" borderId="0" applyFont="0" applyFill="0" applyBorder="0" applyProtection="0">
      <alignment horizontal="right"/>
    </xf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236" fontId="168" fillId="0" borderId="0" applyFont="0" applyFill="0" applyBorder="0" applyAlignment="0" applyProtection="0"/>
    <xf numFmtId="0" fontId="168" fillId="0" borderId="0" applyFont="0" applyFill="0" applyBorder="0" applyProtection="0">
      <alignment horizontal="right"/>
    </xf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237" fontId="168" fillId="0" borderId="0" applyFont="0" applyFill="0" applyBorder="0" applyAlignment="0" applyProtection="0"/>
    <xf numFmtId="181" fontId="168" fillId="0" borderId="0" applyFont="0" applyFill="0" applyBorder="0" applyProtection="0">
      <alignment horizontal="right"/>
    </xf>
    <xf numFmtId="181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181" fontId="168" fillId="0" borderId="0" applyFont="0" applyFill="0" applyBorder="0" applyAlignment="0" applyProtection="0"/>
    <xf numFmtId="181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181" fontId="172" fillId="0" borderId="0" applyFont="0" applyFill="0" applyBorder="0" applyAlignment="0" applyProtection="0"/>
    <xf numFmtId="181" fontId="172" fillId="0" borderId="0" applyFont="0" applyFill="0" applyBorder="0" applyAlignment="0" applyProtection="0"/>
    <xf numFmtId="181" fontId="172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2" fillId="0" borderId="0" applyFont="0" applyFill="0" applyBorder="0" applyAlignment="0" applyProtection="0"/>
    <xf numFmtId="181" fontId="168" fillId="0" borderId="0" applyFont="0" applyFill="0" applyBorder="0" applyProtection="0">
      <alignment horizontal="right"/>
    </xf>
    <xf numFmtId="181" fontId="168" fillId="0" borderId="0" applyFont="0" applyFill="0" applyBorder="0" applyAlignment="0" applyProtection="0"/>
    <xf numFmtId="181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6" fillId="0" borderId="0" applyNumberFormat="0" applyFill="0" applyBorder="0" applyProtection="0">
      <alignment vertical="top"/>
    </xf>
    <xf numFmtId="0" fontId="176" fillId="0" borderId="0" applyNumberFormat="0" applyFill="0" applyBorder="0" applyProtection="0">
      <alignment vertical="top"/>
    </xf>
    <xf numFmtId="0" fontId="176" fillId="0" borderId="0" applyNumberFormat="0" applyFill="0" applyBorder="0" applyProtection="0">
      <alignment vertical="top"/>
    </xf>
    <xf numFmtId="0" fontId="176" fillId="0" borderId="0" applyNumberFormat="0" applyFill="0" applyBorder="0" applyProtection="0">
      <alignment vertical="top"/>
    </xf>
    <xf numFmtId="0" fontId="176" fillId="0" borderId="0" applyNumberFormat="0" applyFill="0" applyBorder="0" applyProtection="0">
      <alignment vertical="top"/>
    </xf>
    <xf numFmtId="0" fontId="176" fillId="0" borderId="0" applyNumberFormat="0" applyFill="0" applyBorder="0" applyProtection="0">
      <alignment vertical="top"/>
    </xf>
    <xf numFmtId="0" fontId="33" fillId="0" borderId="50" applyNumberFormat="0" applyFont="0" applyFill="0" applyAlignment="0" applyProtection="0"/>
    <xf numFmtId="0" fontId="176" fillId="0" borderId="0" applyNumberFormat="0" applyFill="0" applyBorder="0" applyProtection="0">
      <alignment vertical="top"/>
    </xf>
    <xf numFmtId="0" fontId="176" fillId="0" borderId="0" applyNumberFormat="0" applyFill="0" applyBorder="0" applyProtection="0">
      <alignment vertical="top"/>
    </xf>
    <xf numFmtId="0" fontId="176" fillId="0" borderId="0" applyNumberFormat="0" applyFill="0" applyBorder="0" applyProtection="0">
      <alignment vertical="top"/>
    </xf>
    <xf numFmtId="0" fontId="176" fillId="0" borderId="0" applyNumberFormat="0" applyFill="0" applyBorder="0" applyProtection="0">
      <alignment vertical="top"/>
    </xf>
    <xf numFmtId="0" fontId="176" fillId="0" borderId="0" applyNumberFormat="0" applyFill="0" applyBorder="0" applyProtection="0">
      <alignment vertical="top"/>
    </xf>
    <xf numFmtId="0" fontId="176" fillId="0" borderId="0" applyNumberFormat="0" applyFill="0" applyBorder="0" applyProtection="0">
      <alignment vertical="top"/>
    </xf>
    <xf numFmtId="0" fontId="177" fillId="0" borderId="13" applyNumberFormat="0" applyFill="0" applyAlignment="0" applyProtection="0"/>
    <xf numFmtId="0" fontId="177" fillId="0" borderId="13" applyNumberFormat="0" applyFill="0" applyAlignment="0" applyProtection="0"/>
    <xf numFmtId="0" fontId="177" fillId="0" borderId="13" applyNumberFormat="0" applyFill="0" applyAlignment="0" applyProtection="0"/>
    <xf numFmtId="0" fontId="177" fillId="0" borderId="13" applyNumberFormat="0" applyFill="0" applyAlignment="0" applyProtection="0"/>
    <xf numFmtId="0" fontId="168" fillId="0" borderId="0"/>
    <xf numFmtId="0" fontId="178" fillId="0" borderId="15" applyNumberFormat="0" applyFill="0" applyProtection="0">
      <alignment horizontal="center"/>
    </xf>
    <xf numFmtId="0" fontId="178" fillId="0" borderId="15" applyNumberFormat="0" applyFill="0" applyProtection="0">
      <alignment horizontal="center"/>
    </xf>
    <xf numFmtId="0" fontId="178" fillId="0" borderId="15" applyNumberFormat="0" applyFill="0" applyProtection="0">
      <alignment horizontal="center"/>
    </xf>
    <xf numFmtId="0" fontId="178" fillId="0" borderId="15" applyNumberFormat="0" applyFill="0" applyProtection="0">
      <alignment horizontal="center"/>
    </xf>
    <xf numFmtId="0" fontId="168" fillId="0" borderId="0"/>
    <xf numFmtId="0" fontId="168" fillId="0" borderId="16" applyNumberFormat="0" applyFont="0" applyFill="0" applyAlignment="0" applyProtection="0"/>
    <xf numFmtId="0" fontId="178" fillId="0" borderId="0" applyNumberFormat="0" applyFill="0" applyBorder="0" applyProtection="0">
      <alignment horizontal="left"/>
    </xf>
    <xf numFmtId="0" fontId="178" fillId="0" borderId="0" applyNumberFormat="0" applyFill="0" applyBorder="0" applyProtection="0">
      <alignment horizontal="left"/>
    </xf>
    <xf numFmtId="0" fontId="178" fillId="0" borderId="0" applyNumberFormat="0" applyFill="0" applyBorder="0" applyProtection="0">
      <alignment horizontal="left"/>
    </xf>
    <xf numFmtId="0" fontId="178" fillId="0" borderId="0" applyNumberFormat="0" applyFill="0" applyBorder="0" applyProtection="0">
      <alignment horizontal="left"/>
    </xf>
    <xf numFmtId="0" fontId="168" fillId="0" borderId="0"/>
    <xf numFmtId="0" fontId="179" fillId="0" borderId="0" applyNumberFormat="0" applyFill="0" applyBorder="0" applyProtection="0">
      <alignment horizontal="centerContinuous"/>
    </xf>
    <xf numFmtId="0" fontId="179" fillId="0" borderId="0" applyNumberFormat="0" applyFill="0" applyBorder="0" applyProtection="0">
      <alignment horizontal="centerContinuous"/>
    </xf>
    <xf numFmtId="0" fontId="179" fillId="0" borderId="0" applyNumberFormat="0" applyFill="0" applyBorder="0" applyProtection="0">
      <alignment horizontal="centerContinuous"/>
    </xf>
    <xf numFmtId="0" fontId="179" fillId="0" borderId="0" applyNumberFormat="0" applyFill="0" applyBorder="0" applyProtection="0">
      <alignment horizontal="centerContinuous"/>
    </xf>
    <xf numFmtId="0" fontId="168" fillId="0" borderId="0"/>
    <xf numFmtId="0" fontId="84" fillId="0" borderId="50" applyNumberFormat="0" applyFill="0" applyBorder="0" applyAlignment="0" applyProtection="0">
      <alignment horizontal="center"/>
    </xf>
    <xf numFmtId="0" fontId="168" fillId="0" borderId="0" applyFont="0" applyFill="0" applyBorder="0" applyAlignment="0" applyProtection="0"/>
    <xf numFmtId="0" fontId="180" fillId="0" borderId="0" applyFont="0" applyFill="0" applyBorder="0" applyAlignment="0" applyProtection="0"/>
    <xf numFmtId="0" fontId="180" fillId="0" borderId="0" applyFont="0" applyFill="0" applyBorder="0" applyAlignment="0" applyProtection="0"/>
    <xf numFmtId="9" fontId="168" fillId="10" borderId="0"/>
    <xf numFmtId="0" fontId="168" fillId="0" borderId="0"/>
    <xf numFmtId="0" fontId="168" fillId="0" borderId="0"/>
    <xf numFmtId="171" fontId="9" fillId="0" borderId="0" applyFont="0" applyFill="0" applyBorder="0" applyAlignment="0" applyProtection="0"/>
    <xf numFmtId="0" fontId="168" fillId="0" borderId="0">
      <alignment vertical="top"/>
    </xf>
    <xf numFmtId="0" fontId="168" fillId="0" borderId="0">
      <alignment vertical="top"/>
    </xf>
    <xf numFmtId="0" fontId="168" fillId="0" borderId="0">
      <alignment vertical="top"/>
    </xf>
    <xf numFmtId="0" fontId="168" fillId="0" borderId="0">
      <alignment vertical="top"/>
    </xf>
    <xf numFmtId="0" fontId="168" fillId="0" borderId="0">
      <alignment vertical="top"/>
    </xf>
    <xf numFmtId="0" fontId="168" fillId="0" borderId="0">
      <alignment vertical="top"/>
    </xf>
    <xf numFmtId="0" fontId="168" fillId="0" borderId="0">
      <alignment vertical="top"/>
    </xf>
    <xf numFmtId="0" fontId="168" fillId="0" borderId="0">
      <alignment vertical="top"/>
    </xf>
    <xf numFmtId="9" fontId="168" fillId="0" borderId="0"/>
    <xf numFmtId="38" fontId="174" fillId="0" borderId="17"/>
    <xf numFmtId="0" fontId="181" fillId="0" borderId="0"/>
    <xf numFmtId="0" fontId="181" fillId="0" borderId="0" applyNumberFormat="0" applyFill="0" applyBorder="0" applyAlignment="0" applyProtection="0"/>
    <xf numFmtId="0" fontId="175" fillId="0" borderId="0">
      <alignment horizontal="center" wrapText="1"/>
      <protection locked="0"/>
    </xf>
    <xf numFmtId="0" fontId="168" fillId="0" borderId="23" applyNumberFormat="0" applyFill="0" applyBorder="0" applyAlignment="0" applyProtection="0"/>
    <xf numFmtId="0" fontId="182" fillId="0" borderId="24" applyNumberFormat="0" applyFill="0" applyAlignment="0" applyProtection="0"/>
    <xf numFmtId="0" fontId="33" fillId="0" borderId="50" applyNumberFormat="0" applyFont="0" applyFill="0" applyAlignment="0" applyProtection="0"/>
    <xf numFmtId="0" fontId="175" fillId="0" borderId="0" applyFont="0" applyFill="0" applyBorder="0" applyAlignment="0" applyProtection="0"/>
    <xf numFmtId="0" fontId="172" fillId="0" borderId="0"/>
    <xf numFmtId="0" fontId="168" fillId="0" borderId="0" applyNumberFormat="0" applyFill="0" applyBorder="0" applyAlignment="0" applyProtection="0"/>
    <xf numFmtId="0" fontId="181" fillId="0" borderId="0" applyNumberFormat="0" applyFont="0" applyAlignment="0"/>
    <xf numFmtId="0" fontId="174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83" fillId="32" borderId="28" applyFill="0" applyBorder="0" applyProtection="0">
      <alignment horizontal="left"/>
    </xf>
    <xf numFmtId="0" fontId="184" fillId="17" borderId="30">
      <alignment horizontal="center"/>
    </xf>
    <xf numFmtId="166" fontId="185" fillId="0" borderId="0">
      <alignment horizontal="right"/>
      <protection locked="0"/>
    </xf>
    <xf numFmtId="0" fontId="168" fillId="0" borderId="0"/>
    <xf numFmtId="0" fontId="70" fillId="0" borderId="50" applyNumberFormat="0" applyFill="0" applyAlignment="0" applyProtection="0"/>
    <xf numFmtId="0" fontId="168" fillId="31" borderId="31" applyNumberFormat="0" applyFill="0" applyBorder="0" applyAlignment="0" applyProtection="0">
      <protection locked="0"/>
    </xf>
    <xf numFmtId="0" fontId="28" fillId="0" borderId="51" applyNumberFormat="0" applyFont="0" applyFill="0" applyAlignment="0" applyProtection="0"/>
    <xf numFmtId="39" fontId="168" fillId="0" borderId="0" applyFont="0" applyFill="0" applyBorder="0" applyAlignment="0" applyProtection="0"/>
    <xf numFmtId="0" fontId="15" fillId="0" borderId="50" applyNumberFormat="0" applyFont="0" applyFill="0" applyAlignment="0" applyProtection="0"/>
    <xf numFmtId="37" fontId="186" fillId="0" borderId="22">
      <alignment horizontal="right" vertical="center"/>
    </xf>
    <xf numFmtId="191" fontId="33" fillId="0" borderId="51" applyNumberFormat="0" applyFont="0" applyFill="0" applyAlignment="0" applyProtection="0">
      <alignment horizontal="center"/>
    </xf>
    <xf numFmtId="0" fontId="168" fillId="0" borderId="33" applyFill="0" applyProtection="0">
      <alignment horizontal="right"/>
    </xf>
    <xf numFmtId="181" fontId="6" fillId="0" borderId="50" applyFill="0" applyAlignment="0" applyProtection="0">
      <alignment horizontal="center"/>
    </xf>
    <xf numFmtId="192" fontId="168" fillId="0" borderId="0" applyFont="0" applyFill="0" applyBorder="0" applyAlignment="0" applyProtection="0"/>
    <xf numFmtId="0" fontId="187" fillId="0" borderId="0" applyNumberFormat="0" applyFill="0" applyBorder="0" applyAlignment="0" applyProtection="0"/>
    <xf numFmtId="0" fontId="21" fillId="0" borderId="51">
      <alignment horizontal="center"/>
    </xf>
    <xf numFmtId="0" fontId="168" fillId="0" borderId="0"/>
    <xf numFmtId="2" fontId="181" fillId="33" borderId="0" applyNumberFormat="0" applyFont="0" applyBorder="0" applyAlignment="0" applyProtection="0"/>
    <xf numFmtId="0" fontId="168" fillId="0" borderId="0" applyFill="0" applyBorder="0" applyAlignment="0"/>
    <xf numFmtId="0" fontId="168" fillId="0" borderId="0" applyFill="0" applyBorder="0" applyAlignment="0"/>
    <xf numFmtId="0" fontId="168" fillId="0" borderId="0" applyFill="0" applyBorder="0" applyAlignment="0"/>
    <xf numFmtId="0" fontId="168" fillId="0" borderId="0" applyFill="0" applyBorder="0" applyAlignment="0"/>
    <xf numFmtId="0" fontId="168" fillId="0" borderId="0" applyFill="0" applyBorder="0" applyAlignment="0"/>
    <xf numFmtId="0" fontId="188" fillId="0" borderId="0"/>
    <xf numFmtId="0" fontId="174" fillId="0" borderId="0" applyNumberFormat="0" applyFill="0" applyBorder="0" applyAlignment="0" applyProtection="0"/>
    <xf numFmtId="194" fontId="175" fillId="34" borderId="0" applyNumberFormat="0" applyFont="0" applyBorder="0" applyAlignment="0"/>
    <xf numFmtId="0" fontId="175" fillId="0" borderId="0" applyFill="0" applyBorder="0" applyProtection="0"/>
    <xf numFmtId="0" fontId="168" fillId="0" borderId="0" applyFont="0" applyFill="0" applyBorder="0" applyAlignment="0" applyProtection="0"/>
    <xf numFmtId="0" fontId="70" fillId="0" borderId="50" applyNumberFormat="0" applyFont="0" applyFill="0" applyProtection="0">
      <alignment horizontal="centerContinuous" vertical="center"/>
    </xf>
    <xf numFmtId="167" fontId="168" fillId="0" borderId="16" applyFont="0" applyFill="0" applyBorder="0" applyProtection="0">
      <alignment horizontal="right"/>
    </xf>
    <xf numFmtId="0" fontId="189" fillId="0" borderId="50" applyNumberFormat="0" applyFill="0" applyBorder="0" applyAlignment="0" applyProtection="0">
      <alignment horizontal="center"/>
    </xf>
    <xf numFmtId="0" fontId="168" fillId="0" borderId="0">
      <alignment horizontal="center" wrapText="1"/>
      <protection hidden="1"/>
    </xf>
    <xf numFmtId="0" fontId="17" fillId="0" borderId="50" applyNumberFormat="0" applyFill="0" applyBorder="0" applyProtection="0">
      <alignment horizontal="left" vertical="center"/>
    </xf>
    <xf numFmtId="0" fontId="17" fillId="0" borderId="50" applyNumberFormat="0" applyFill="0" applyBorder="0" applyProtection="0">
      <alignment horizontal="right" vertical="center"/>
    </xf>
    <xf numFmtId="0" fontId="183" fillId="36" borderId="5" applyNumberFormat="0" applyBorder="0" applyProtection="0">
      <alignment horizontal="center" vertical="center" wrapText="1"/>
    </xf>
    <xf numFmtId="0" fontId="192" fillId="0" borderId="0" applyNumberFormat="0" applyFill="0" applyBorder="0" applyProtection="0">
      <alignment wrapText="1"/>
    </xf>
    <xf numFmtId="0" fontId="193" fillId="0" borderId="0" applyNumberFormat="0" applyFill="0" applyBorder="0" applyProtection="0">
      <alignment wrapText="1"/>
    </xf>
    <xf numFmtId="0" fontId="54" fillId="0" borderId="51" applyAlignment="0">
      <alignment horizontal="right"/>
    </xf>
    <xf numFmtId="171" fontId="168" fillId="0" borderId="0" applyFont="0" applyFill="0" applyBorder="0" applyAlignment="0" applyProtection="0"/>
    <xf numFmtId="39" fontId="174" fillId="0" borderId="0" applyFont="0" applyFill="0" applyBorder="0" applyAlignment="0" applyProtection="0"/>
    <xf numFmtId="0" fontId="174" fillId="0" borderId="0" applyFont="0" applyFill="0" applyBorder="0" applyAlignment="0" applyProtection="0"/>
    <xf numFmtId="40" fontId="168" fillId="0" borderId="0" applyFont="0" applyFill="0" applyBorder="0" applyProtection="0">
      <alignment horizontal="right"/>
    </xf>
    <xf numFmtId="0" fontId="181" fillId="0" borderId="0"/>
    <xf numFmtId="3" fontId="194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95" fillId="37" borderId="0">
      <alignment horizontal="center" vertical="center" wrapText="1"/>
    </xf>
    <xf numFmtId="0" fontId="196" fillId="0" borderId="0" applyFill="0" applyBorder="0">
      <alignment horizontal="left"/>
    </xf>
    <xf numFmtId="0" fontId="33" fillId="0" borderId="50"/>
    <xf numFmtId="0" fontId="168" fillId="0" borderId="0" applyFont="0" applyFill="0" applyBorder="0" applyAlignment="0" applyProtection="0"/>
    <xf numFmtId="0" fontId="197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94" fillId="0" borderId="0" applyFont="0" applyFill="0" applyBorder="0" applyAlignment="0" applyProtection="0"/>
    <xf numFmtId="0" fontId="198" fillId="0" borderId="0"/>
    <xf numFmtId="0" fontId="199" fillId="31" borderId="0" applyFont="0" applyFill="0" applyBorder="0" applyAlignment="0" applyProtection="0">
      <alignment vertical="center"/>
      <protection locked="0"/>
    </xf>
    <xf numFmtId="0" fontId="180" fillId="0" borderId="0" applyFont="0" applyFill="0" applyBorder="0" applyAlignment="0" applyProtection="0"/>
    <xf numFmtId="167" fontId="200" fillId="0" borderId="0" applyNumberFormat="0" applyFill="0" applyBorder="0" applyAlignment="0"/>
    <xf numFmtId="194" fontId="175" fillId="0" borderId="0" applyFont="0" applyFill="0" applyBorder="0" applyProtection="0">
      <alignment horizontal="right"/>
    </xf>
    <xf numFmtId="15" fontId="168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4" fillId="0" borderId="0" applyFont="0" applyFill="0" applyBorder="0" applyAlignment="0" applyProtection="0"/>
    <xf numFmtId="17" fontId="168" fillId="0" borderId="0" applyFill="0" applyBorder="0">
      <alignment horizontal="right"/>
    </xf>
    <xf numFmtId="14" fontId="168" fillId="0" borderId="0" applyFill="0" applyBorder="0" applyProtection="0">
      <alignment horizontal="center"/>
    </xf>
    <xf numFmtId="14" fontId="181" fillId="0" borderId="0" applyFont="0" applyFill="0" applyBorder="0" applyAlignment="0" applyProtection="0"/>
    <xf numFmtId="14" fontId="190" fillId="0" borderId="0">
      <alignment horizontal="right"/>
      <protection locked="0"/>
    </xf>
    <xf numFmtId="14" fontId="168" fillId="0" borderId="0" applyFont="0" applyFill="0" applyBorder="0" applyAlignment="0" applyProtection="0">
      <alignment horizontal="center"/>
    </xf>
    <xf numFmtId="14" fontId="41" fillId="0" borderId="50" applyBorder="0" applyAlignment="0">
      <alignment horizontal="center"/>
    </xf>
    <xf numFmtId="0" fontId="175" fillId="0" borderId="0"/>
    <xf numFmtId="0" fontId="175" fillId="0" borderId="0" applyProtection="0"/>
    <xf numFmtId="38" fontId="175" fillId="0" borderId="0" applyNumberFormat="0"/>
    <xf numFmtId="167" fontId="175" fillId="0" borderId="0" applyFont="0" applyFill="0" applyBorder="0" applyAlignment="0" applyProtection="0"/>
    <xf numFmtId="0" fontId="201" fillId="0" borderId="0" applyFill="0" applyBorder="0" applyProtection="0"/>
    <xf numFmtId="165" fontId="175" fillId="0" borderId="0" applyFill="0" applyBorder="0" applyProtection="0"/>
    <xf numFmtId="207" fontId="175" fillId="0" borderId="0"/>
    <xf numFmtId="207" fontId="198" fillId="0" borderId="0">
      <protection locked="0"/>
    </xf>
    <xf numFmtId="166" fontId="175" fillId="0" borderId="0"/>
    <xf numFmtId="165" fontId="175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NumberFormat="0" applyFill="0" applyBorder="0" applyAlignment="0" applyProtection="0"/>
    <xf numFmtId="0" fontId="202" fillId="0" borderId="19" applyNumberFormat="0" applyBorder="0"/>
    <xf numFmtId="0" fontId="168" fillId="0" borderId="0">
      <protection locked="0"/>
    </xf>
    <xf numFmtId="0" fontId="168" fillId="0" borderId="0">
      <protection locked="0"/>
    </xf>
    <xf numFmtId="0" fontId="168" fillId="0" borderId="0" applyFill="0" applyBorder="0" applyAlignment="0"/>
    <xf numFmtId="0" fontId="168" fillId="0" borderId="0" applyFill="0" applyBorder="0" applyAlignment="0"/>
    <xf numFmtId="209" fontId="169" fillId="0" borderId="0" applyFont="0" applyFill="0" applyBorder="0" applyAlignment="0" applyProtection="0"/>
    <xf numFmtId="210" fontId="203" fillId="0" borderId="0" applyFont="0" applyFill="0" applyBorder="0" applyAlignment="0" applyProtection="0"/>
    <xf numFmtId="1" fontId="204" fillId="41" borderId="28" applyNumberFormat="0" applyBorder="0" applyAlignment="0">
      <alignment horizontal="centerContinuous" vertical="center"/>
      <protection locked="0"/>
    </xf>
    <xf numFmtId="3" fontId="205" fillId="0" borderId="0" applyFont="0" applyFill="0" applyBorder="0" applyAlignment="0" applyProtection="0"/>
    <xf numFmtId="2" fontId="194" fillId="0" borderId="0" applyFont="0" applyFill="0" applyBorder="0" applyAlignment="0" applyProtection="0"/>
    <xf numFmtId="241" fontId="181" fillId="0" borderId="0" applyFont="0" applyFill="0" applyBorder="0" applyProtection="0"/>
    <xf numFmtId="0" fontId="206" fillId="0" borderId="0" applyNumberFormat="0" applyFill="0" applyBorder="0" applyAlignment="0" applyProtection="0"/>
    <xf numFmtId="1" fontId="181" fillId="0" borderId="0" applyNumberFormat="0" applyBorder="0" applyAlignment="0" applyProtection="0"/>
    <xf numFmtId="0" fontId="168" fillId="0" borderId="0" applyBorder="0" applyProtection="0"/>
    <xf numFmtId="0" fontId="174" fillId="0" borderId="0" applyFont="0" applyFill="0" applyBorder="0" applyAlignment="0" applyProtection="0"/>
    <xf numFmtId="13" fontId="168" fillId="0" borderId="38" applyFont="0" applyFill="0" applyBorder="0">
      <alignment horizontal="left"/>
    </xf>
    <xf numFmtId="0" fontId="174" fillId="0" borderId="0" applyFont="0" applyFill="0" applyBorder="0" applyAlignment="0" applyProtection="0"/>
    <xf numFmtId="49" fontId="181" fillId="0" borderId="0" applyFill="0" applyBorder="0"/>
    <xf numFmtId="49" fontId="168" fillId="0" borderId="0" applyFill="0" applyBorder="0">
      <alignment horizontal="right" vertical="center"/>
    </xf>
    <xf numFmtId="49" fontId="168" fillId="0" borderId="0" applyFill="0" applyBorder="0">
      <alignment horizontal="right" vertical="center"/>
    </xf>
    <xf numFmtId="0" fontId="175" fillId="0" borderId="0" applyFill="0" applyBorder="0" applyAlignment="0" applyProtection="0">
      <protection locked="0"/>
    </xf>
    <xf numFmtId="37" fontId="207" fillId="0" borderId="40">
      <alignment horizontal="right" vertical="center"/>
    </xf>
    <xf numFmtId="0" fontId="174" fillId="0" borderId="26" applyFill="0" applyBorder="0" applyProtection="0">
      <alignment horizontal="left"/>
    </xf>
    <xf numFmtId="10" fontId="175" fillId="31" borderId="0" applyFill="0" applyAlignment="0">
      <alignment horizontal="right"/>
    </xf>
    <xf numFmtId="49" fontId="206" fillId="0" borderId="0">
      <alignment horizontal="right"/>
    </xf>
    <xf numFmtId="0" fontId="168" fillId="43" borderId="5" applyNumberFormat="0" applyFont="0" applyAlignment="0"/>
    <xf numFmtId="9" fontId="9" fillId="0" borderId="0" applyFont="0" applyFill="0" applyBorder="0" applyAlignment="0" applyProtection="0"/>
    <xf numFmtId="0" fontId="168" fillId="0" borderId="0" applyProtection="0">
      <alignment horizontal="right"/>
    </xf>
    <xf numFmtId="0" fontId="168" fillId="0" borderId="0">
      <alignment horizontal="center"/>
    </xf>
    <xf numFmtId="0" fontId="168" fillId="0" borderId="0" applyFont="0" applyFill="0" applyBorder="0" applyAlignment="0" applyProtection="0"/>
    <xf numFmtId="0" fontId="168" fillId="0" borderId="3" applyBorder="0"/>
    <xf numFmtId="0" fontId="168" fillId="0" borderId="0" applyProtection="0">
      <alignment horizontal="left"/>
    </xf>
    <xf numFmtId="0" fontId="168" fillId="0" borderId="0" applyProtection="0">
      <alignment horizontal="left"/>
    </xf>
    <xf numFmtId="0" fontId="168" fillId="0" borderId="0"/>
    <xf numFmtId="184" fontId="208" fillId="0" borderId="0" applyNumberFormat="0" applyFill="0" applyBorder="0" applyAlignment="0" applyProtection="0"/>
    <xf numFmtId="0" fontId="181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213" fontId="175" fillId="0" borderId="0">
      <alignment horizontal="left"/>
    </xf>
    <xf numFmtId="0" fontId="168" fillId="0" borderId="0"/>
    <xf numFmtId="242" fontId="9" fillId="43" borderId="50" applyFont="0" applyFill="0" applyBorder="0" applyAlignment="0" applyProtection="0">
      <alignment horizontal="right"/>
    </xf>
    <xf numFmtId="214" fontId="169" fillId="0" borderId="0" applyFont="0" applyFill="0" applyBorder="0" applyAlignment="0" applyProtection="0"/>
    <xf numFmtId="216" fontId="197" fillId="0" borderId="0" applyFont="0" applyFill="0" applyBorder="0" applyAlignment="0" applyProtection="0"/>
    <xf numFmtId="217" fontId="197" fillId="0" borderId="0" applyFont="0" applyFill="0" applyBorder="0" applyAlignment="0" applyProtection="0"/>
    <xf numFmtId="40" fontId="181" fillId="0" borderId="0" applyFont="0" applyFill="0" applyBorder="0" applyAlignment="0" applyProtection="0"/>
    <xf numFmtId="218" fontId="181" fillId="0" borderId="0" applyFill="0" applyBorder="0" applyProtection="0">
      <alignment horizontal="right" wrapText="1"/>
    </xf>
    <xf numFmtId="213" fontId="175" fillId="0" borderId="0"/>
    <xf numFmtId="219" fontId="181" fillId="0" borderId="0" applyFill="0" applyBorder="0" applyProtection="0">
      <alignment horizontal="right" wrapText="1"/>
    </xf>
    <xf numFmtId="0" fontId="181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NumberFormat="0" applyFill="0" applyBorder="0" applyAlignment="0" applyProtection="0"/>
    <xf numFmtId="1" fontId="168" fillId="0" borderId="0" applyProtection="0">
      <alignment horizontal="right" vertical="center"/>
    </xf>
    <xf numFmtId="9" fontId="168" fillId="0" borderId="0" applyFont="0" applyFill="0" applyBorder="0" applyAlignment="0" applyProtection="0"/>
    <xf numFmtId="9" fontId="180" fillId="0" borderId="0" applyFont="0" applyFill="0" applyBorder="0" applyAlignment="0" applyProtection="0"/>
    <xf numFmtId="172" fontId="180" fillId="0" borderId="0" applyFont="0" applyFill="0" applyBorder="0" applyAlignment="0" applyProtection="0"/>
    <xf numFmtId="222" fontId="175" fillId="0" borderId="0" applyFont="0" applyFill="0" applyBorder="0" applyProtection="0">
      <alignment horizontal="right"/>
    </xf>
    <xf numFmtId="172" fontId="175" fillId="0" borderId="0"/>
    <xf numFmtId="172" fontId="198" fillId="0" borderId="0"/>
    <xf numFmtId="10" fontId="175" fillId="0" borderId="0"/>
    <xf numFmtId="10" fontId="198" fillId="0" borderId="0">
      <protection locked="0"/>
    </xf>
    <xf numFmtId="0" fontId="209" fillId="0" borderId="0" applyNumberFormat="0" applyFill="0" applyBorder="0" applyProtection="0"/>
    <xf numFmtId="0" fontId="210" fillId="47" borderId="0" applyNumberFormat="0" applyBorder="0" applyProtection="0"/>
    <xf numFmtId="0" fontId="211" fillId="38" borderId="0" applyNumberFormat="0" applyBorder="0" applyProtection="0"/>
    <xf numFmtId="0" fontId="212" fillId="0" borderId="0" applyNumberFormat="0" applyFill="0" applyBorder="0" applyProtection="0"/>
    <xf numFmtId="0" fontId="211" fillId="0" borderId="0" applyNumberFormat="0" applyFill="0" applyBorder="0" applyProtection="0"/>
    <xf numFmtId="0" fontId="213" fillId="0" borderId="0" applyNumberFormat="0" applyFill="0" applyBorder="0" applyProtection="0"/>
    <xf numFmtId="0" fontId="211" fillId="0" borderId="0" applyNumberFormat="0" applyFill="0" applyBorder="0" applyProtection="0">
      <alignment wrapText="1"/>
    </xf>
    <xf numFmtId="0" fontId="214" fillId="0" borderId="0" applyNumberFormat="0" applyFill="0" applyBorder="0" applyProtection="0"/>
    <xf numFmtId="223" fontId="181" fillId="0" borderId="0" applyFill="0" applyBorder="0" applyProtection="0">
      <alignment horizontal="right" wrapText="1"/>
    </xf>
    <xf numFmtId="4" fontId="181" fillId="0" borderId="0" applyFill="0" applyBorder="0" applyProtection="0">
      <alignment wrapText="1"/>
    </xf>
    <xf numFmtId="0" fontId="181" fillId="0" borderId="0" applyNumberFormat="0" applyFill="0" applyBorder="0" applyProtection="0">
      <alignment horizontal="left" vertical="top" wrapText="1"/>
    </xf>
    <xf numFmtId="0" fontId="192" fillId="0" borderId="0" applyNumberFormat="0" applyFill="0" applyBorder="0" applyProtection="0">
      <alignment horizontal="left" vertical="top" wrapText="1"/>
    </xf>
    <xf numFmtId="224" fontId="215" fillId="0" borderId="0" applyFill="0" applyBorder="0" applyProtection="0">
      <alignment horizontal="center" wrapText="1"/>
    </xf>
    <xf numFmtId="225" fontId="215" fillId="0" borderId="0" applyFill="0" applyBorder="0" applyProtection="0">
      <alignment horizontal="right" wrapText="1"/>
    </xf>
    <xf numFmtId="226" fontId="215" fillId="0" borderId="0" applyFill="0" applyBorder="0" applyProtection="0">
      <alignment horizontal="right" wrapText="1"/>
    </xf>
    <xf numFmtId="227" fontId="215" fillId="0" borderId="0" applyFill="0" applyBorder="0" applyProtection="0">
      <alignment horizontal="right" wrapText="1"/>
    </xf>
    <xf numFmtId="37" fontId="215" fillId="0" borderId="0" applyFill="0" applyBorder="0" applyProtection="0">
      <alignment horizontal="center" wrapText="1"/>
    </xf>
    <xf numFmtId="228" fontId="215" fillId="0" borderId="0" applyFill="0" applyBorder="0" applyProtection="0">
      <alignment horizontal="right"/>
    </xf>
    <xf numFmtId="229" fontId="215" fillId="0" borderId="0" applyFill="0" applyBorder="0" applyProtection="0">
      <alignment horizontal="right"/>
    </xf>
    <xf numFmtId="14" fontId="215" fillId="0" borderId="0" applyFill="0" applyBorder="0" applyProtection="0">
      <alignment horizontal="right"/>
    </xf>
    <xf numFmtId="4" fontId="215" fillId="0" borderId="0" applyFill="0" applyBorder="0" applyProtection="0">
      <alignment wrapText="1"/>
    </xf>
    <xf numFmtId="0" fontId="192" fillId="0" borderId="46" applyNumberFormat="0" applyFill="0" applyProtection="0">
      <alignment wrapText="1"/>
    </xf>
    <xf numFmtId="0" fontId="191" fillId="0" borderId="0" applyNumberFormat="0" applyFill="0" applyBorder="0" applyProtection="0">
      <alignment wrapText="1"/>
    </xf>
    <xf numFmtId="0" fontId="192" fillId="0" borderId="46" applyNumberFormat="0" applyFill="0" applyProtection="0">
      <alignment horizontal="center" wrapText="1"/>
    </xf>
    <xf numFmtId="230" fontId="192" fillId="0" borderId="0" applyFill="0" applyBorder="0" applyProtection="0">
      <alignment horizontal="center" wrapText="1"/>
    </xf>
    <xf numFmtId="0" fontId="193" fillId="0" borderId="0" applyNumberFormat="0" applyFill="0" applyBorder="0" applyProtection="0">
      <alignment horizontal="justify" wrapText="1"/>
    </xf>
    <xf numFmtId="0" fontId="192" fillId="0" borderId="0" applyNumberFormat="0" applyFill="0" applyBorder="0" applyProtection="0">
      <alignment horizontal="centerContinuous" wrapText="1"/>
    </xf>
    <xf numFmtId="0" fontId="181" fillId="0" borderId="0" applyNumberFormat="0" applyFill="0" applyBorder="0" applyAlignment="0" applyProtection="0"/>
    <xf numFmtId="0" fontId="181" fillId="0" borderId="0" applyNumberFormat="0" applyFill="0" applyBorder="0" applyAlignment="0" applyProtection="0"/>
    <xf numFmtId="0" fontId="181" fillId="0" borderId="0" applyNumberFormat="0" applyFill="0" applyBorder="0" applyAlignment="0" applyProtection="0"/>
    <xf numFmtId="0" fontId="181" fillId="0" borderId="0" applyNumberFormat="0" applyFill="0" applyBorder="0" applyAlignment="0" applyProtection="0"/>
    <xf numFmtId="0" fontId="181" fillId="0" borderId="0" applyNumberFormat="0" applyFill="0" applyBorder="0" applyAlignment="0" applyProtection="0"/>
    <xf numFmtId="0" fontId="181" fillId="0" borderId="0" applyNumberFormat="0" applyFill="0" applyBorder="0" applyAlignment="0" applyProtection="0"/>
    <xf numFmtId="0" fontId="181" fillId="0" borderId="0" applyNumberFormat="0" applyFill="0" applyBorder="0" applyAlignment="0" applyProtection="0"/>
    <xf numFmtId="0" fontId="181" fillId="0" borderId="0" applyNumberFormat="0" applyFill="0" applyBorder="0" applyAlignment="0" applyProtection="0"/>
    <xf numFmtId="0" fontId="168" fillId="0" borderId="0" applyBorder="0" applyProtection="0">
      <alignment vertical="center"/>
    </xf>
    <xf numFmtId="0" fontId="168" fillId="0" borderId="50" applyBorder="0" applyProtection="0">
      <alignment horizontal="right" vertical="center"/>
    </xf>
    <xf numFmtId="0" fontId="168" fillId="48" borderId="0" applyBorder="0" applyProtection="0">
      <alignment horizontal="centerContinuous" vertical="center"/>
    </xf>
    <xf numFmtId="0" fontId="168" fillId="49" borderId="50" applyBorder="0" applyProtection="0">
      <alignment horizontal="centerContinuous" vertical="center"/>
    </xf>
    <xf numFmtId="178" fontId="169" fillId="0" borderId="0" applyFont="0" applyFill="0" applyBorder="0" applyAlignment="0" applyProtection="0"/>
    <xf numFmtId="177" fontId="169" fillId="0" borderId="0" applyFont="0" applyFill="0" applyBorder="0" applyAlignment="0" applyProtection="0"/>
    <xf numFmtId="172" fontId="168" fillId="0" borderId="0" applyNumberFormat="0" applyFill="0" applyBorder="0">
      <alignment horizontal="left"/>
    </xf>
    <xf numFmtId="172" fontId="168" fillId="0" borderId="0" applyNumberFormat="0" applyFill="0" applyBorder="0">
      <alignment horizontal="right"/>
    </xf>
    <xf numFmtId="172" fontId="168" fillId="0" borderId="0" applyNumberFormat="0" applyFill="0" applyBorder="0">
      <alignment horizontal="right"/>
    </xf>
    <xf numFmtId="0" fontId="168" fillId="31" borderId="47" applyNumberFormat="0" applyFont="0" applyFill="0" applyAlignment="0" applyProtection="0">
      <protection locked="0"/>
    </xf>
    <xf numFmtId="176" fontId="169" fillId="0" borderId="0" applyFont="0" applyFill="0" applyBorder="0" applyAlignment="0" applyProtection="0"/>
    <xf numFmtId="175" fontId="169" fillId="0" borderId="0" applyFont="0" applyFill="0" applyBorder="0" applyAlignment="0" applyProtection="0"/>
    <xf numFmtId="0" fontId="165" fillId="0" borderId="0" applyNumberFormat="0" applyFill="0" applyBorder="0" applyAlignment="0" applyProtection="0"/>
    <xf numFmtId="0" fontId="193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>
      <alignment horizontal="center"/>
    </xf>
    <xf numFmtId="213" fontId="168" fillId="0" borderId="0">
      <alignment horizontal="centerContinuous"/>
    </xf>
    <xf numFmtId="213" fontId="168" fillId="0" borderId="48">
      <alignment horizontal="centerContinuous"/>
    </xf>
    <xf numFmtId="213" fontId="168" fillId="0" borderId="0">
      <alignment horizontal="centerContinuous"/>
      <protection locked="0"/>
    </xf>
    <xf numFmtId="213" fontId="168" fillId="0" borderId="0">
      <alignment horizontal="left"/>
    </xf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194" fontId="168" fillId="0" borderId="0">
      <alignment horizontal="left"/>
      <protection locked="0"/>
    </xf>
    <xf numFmtId="0" fontId="168" fillId="0" borderId="0"/>
    <xf numFmtId="172" fontId="168" fillId="0" borderId="0" applyFont="0" applyFill="0" applyBorder="0" applyAlignment="0" applyProtection="0"/>
    <xf numFmtId="0" fontId="181" fillId="0" borderId="0" applyNumberFormat="0" applyFont="0" applyAlignment="0"/>
    <xf numFmtId="0" fontId="189" fillId="0" borderId="3" applyNumberFormat="0" applyFill="0" applyBorder="0" applyAlignment="0" applyProtection="0">
      <alignment horizontal="center"/>
    </xf>
    <xf numFmtId="171" fontId="168" fillId="0" borderId="0" applyFont="0" applyFill="0" applyBorder="0" applyAlignment="0" applyProtection="0"/>
    <xf numFmtId="3" fontId="194" fillId="0" borderId="0" applyFont="0" applyFill="0" applyBorder="0" applyAlignment="0" applyProtection="0"/>
    <xf numFmtId="194" fontId="175" fillId="0" borderId="0" applyFont="0" applyFill="0" applyBorder="0" applyProtection="0">
      <alignment horizontal="right"/>
    </xf>
    <xf numFmtId="167" fontId="175" fillId="0" borderId="0" applyFont="0" applyFill="0" applyBorder="0" applyAlignment="0" applyProtection="0"/>
    <xf numFmtId="209" fontId="169" fillId="0" borderId="0" applyFont="0" applyFill="0" applyBorder="0" applyAlignment="0" applyProtection="0"/>
    <xf numFmtId="210" fontId="203" fillId="0" borderId="0" applyFont="0" applyFill="0" applyBorder="0" applyAlignment="0" applyProtection="0"/>
    <xf numFmtId="2" fontId="194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5" fillId="0" borderId="0" applyFill="0" applyBorder="0" applyAlignment="0" applyProtection="0">
      <protection locked="0"/>
    </xf>
    <xf numFmtId="0" fontId="168" fillId="0" borderId="0">
      <alignment horizontal="center"/>
    </xf>
    <xf numFmtId="0" fontId="181" fillId="0" borderId="0" applyNumberFormat="0" applyFill="0" applyBorder="0" applyAlignment="0" applyProtection="0"/>
    <xf numFmtId="0" fontId="181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9" fontId="168" fillId="0" borderId="0" applyFont="0" applyFill="0" applyBorder="0" applyAlignment="0" applyProtection="0"/>
    <xf numFmtId="0" fontId="9" fillId="0" borderId="50" applyBorder="0"/>
    <xf numFmtId="0" fontId="168" fillId="0" borderId="3" applyBorder="0" applyProtection="0">
      <alignment horizontal="right" vertical="center"/>
    </xf>
    <xf numFmtId="0" fontId="168" fillId="49" borderId="3" applyBorder="0" applyProtection="0">
      <alignment horizontal="centerContinuous" vertical="center"/>
    </xf>
    <xf numFmtId="0" fontId="165" fillId="0" borderId="0" applyNumberFormat="0" applyFill="0" applyBorder="0" applyAlignment="0" applyProtection="0"/>
    <xf numFmtId="0" fontId="9" fillId="0" borderId="0"/>
    <xf numFmtId="0" fontId="9" fillId="0" borderId="50" applyBorder="0" applyProtection="0">
      <alignment horizontal="right" vertical="center"/>
    </xf>
    <xf numFmtId="0" fontId="9" fillId="49" borderId="50" applyBorder="0" applyProtection="0">
      <alignment horizontal="centerContinuous" vertical="center"/>
    </xf>
    <xf numFmtId="0" fontId="165" fillId="0" borderId="0" applyNumberFormat="0" applyFill="0" applyBorder="0" applyAlignment="0" applyProtection="0"/>
  </cellStyleXfs>
  <cellXfs count="192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0" borderId="0" xfId="0" applyFont="1"/>
    <xf numFmtId="0" fontId="3" fillId="2" borderId="0" xfId="0" applyFont="1" applyFill="1"/>
    <xf numFmtId="0" fontId="2" fillId="2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Fill="1"/>
    <xf numFmtId="0" fontId="2" fillId="0" borderId="2" xfId="0" applyFont="1" applyBorder="1"/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3" xfId="0" applyFont="1" applyBorder="1"/>
    <xf numFmtId="0" fontId="2" fillId="0" borderId="0" xfId="0" applyFont="1" applyFill="1" applyBorder="1"/>
    <xf numFmtId="0" fontId="4" fillId="4" borderId="0" xfId="0" applyFont="1" applyFill="1"/>
    <xf numFmtId="0" fontId="2" fillId="0" borderId="3" xfId="0" applyFont="1" applyBorder="1" applyAlignment="1">
      <alignment horizontal="right"/>
    </xf>
    <xf numFmtId="9" fontId="4" fillId="4" borderId="0" xfId="0" applyNumberFormat="1" applyFont="1" applyFill="1" applyAlignment="1">
      <alignment horizontal="right"/>
    </xf>
    <xf numFmtId="0" fontId="7" fillId="0" borderId="0" xfId="0" applyFont="1" applyAlignment="1">
      <alignment horizontal="right"/>
    </xf>
    <xf numFmtId="9" fontId="7" fillId="0" borderId="0" xfId="0" applyNumberFormat="1" applyFont="1"/>
    <xf numFmtId="9" fontId="7" fillId="0" borderId="0" xfId="0" applyNumberFormat="1" applyFont="1" applyAlignment="1">
      <alignment horizontal="right"/>
    </xf>
    <xf numFmtId="9" fontId="7" fillId="0" borderId="3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2" borderId="0" xfId="0" applyFont="1" applyFill="1" applyAlignment="1">
      <alignment horizontal="right"/>
    </xf>
    <xf numFmtId="0" fontId="2" fillId="0" borderId="0" xfId="0" applyNumberFormat="1" applyFont="1"/>
    <xf numFmtId="0" fontId="7" fillId="3" borderId="4" xfId="0" applyFont="1" applyFill="1" applyBorder="1"/>
    <xf numFmtId="0" fontId="7" fillId="3" borderId="1" xfId="0" applyFont="1" applyFill="1" applyBorder="1"/>
    <xf numFmtId="4" fontId="2" fillId="0" borderId="0" xfId="0" applyNumberFormat="1" applyFont="1"/>
    <xf numFmtId="0" fontId="2" fillId="0" borderId="0" xfId="0" applyFont="1" applyFill="1" applyBorder="1" applyAlignment="1">
      <alignment horizontal="right"/>
    </xf>
    <xf numFmtId="0" fontId="7" fillId="0" borderId="0" xfId="0" applyFont="1"/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3" fontId="7" fillId="0" borderId="0" xfId="0" applyNumberFormat="1" applyFont="1"/>
    <xf numFmtId="3" fontId="7" fillId="3" borderId="1" xfId="0" applyNumberFormat="1" applyFont="1" applyFill="1" applyBorder="1"/>
    <xf numFmtId="3" fontId="2" fillId="0" borderId="0" xfId="0" applyNumberFormat="1" applyFont="1"/>
    <xf numFmtId="44" fontId="7" fillId="0" borderId="0" xfId="0" applyNumberFormat="1" applyFont="1"/>
    <xf numFmtId="44" fontId="7" fillId="0" borderId="3" xfId="0" applyNumberFormat="1" applyFont="1" applyBorder="1"/>
    <xf numFmtId="0" fontId="2" fillId="0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2" fillId="0" borderId="0" xfId="0" applyFont="1" applyAlignment="1">
      <alignment horizontal="left" indent="1"/>
    </xf>
    <xf numFmtId="9" fontId="7" fillId="3" borderId="0" xfId="0" applyNumberFormat="1" applyFont="1" applyFill="1"/>
    <xf numFmtId="9" fontId="8" fillId="3" borderId="0" xfId="0" applyNumberFormat="1" applyFont="1" applyFill="1"/>
    <xf numFmtId="9" fontId="8" fillId="3" borderId="3" xfId="0" applyNumberFormat="1" applyFont="1" applyFill="1" applyBorder="1"/>
    <xf numFmtId="4" fontId="4" fillId="4" borderId="0" xfId="0" applyNumberFormat="1" applyFont="1" applyFill="1"/>
    <xf numFmtId="0" fontId="2" fillId="0" borderId="3" xfId="0" applyFont="1" applyBorder="1" applyAlignment="1">
      <alignment horizontal="left" indent="1"/>
    </xf>
    <xf numFmtId="0" fontId="4" fillId="0" borderId="0" xfId="0" applyFont="1" applyFill="1" applyAlignment="1">
      <alignment horizontal="left" indent="1"/>
    </xf>
    <xf numFmtId="0" fontId="4" fillId="0" borderId="0" xfId="0" applyFont="1" applyFill="1"/>
    <xf numFmtId="41" fontId="4" fillId="0" borderId="0" xfId="0" applyNumberFormat="1" applyFont="1" applyFill="1"/>
    <xf numFmtId="0" fontId="2" fillId="4" borderId="0" xfId="0" applyFont="1" applyFill="1"/>
    <xf numFmtId="0" fontId="4" fillId="0" borderId="0" xfId="0" applyFont="1" applyBorder="1"/>
    <xf numFmtId="0" fontId="2" fillId="0" borderId="0" xfId="0" applyFont="1" applyBorder="1"/>
    <xf numFmtId="3" fontId="2" fillId="0" borderId="0" xfId="0" applyNumberFormat="1" applyFont="1" applyAlignment="1">
      <alignment horizontal="left" indent="1"/>
    </xf>
    <xf numFmtId="4" fontId="2" fillId="0" borderId="0" xfId="0" applyNumberFormat="1" applyFont="1" applyAlignment="1">
      <alignment horizontal="left" indent="1"/>
    </xf>
    <xf numFmtId="0" fontId="5" fillId="0" borderId="0" xfId="0" applyFont="1" applyAlignment="1">
      <alignment horizontal="left" indent="2"/>
    </xf>
    <xf numFmtId="0" fontId="5" fillId="0" borderId="3" xfId="0" applyFont="1" applyBorder="1" applyAlignment="1">
      <alignment horizontal="left" indent="2"/>
    </xf>
    <xf numFmtId="10" fontId="5" fillId="0" borderId="0" xfId="0" applyNumberFormat="1" applyFont="1" applyAlignment="1">
      <alignment horizontal="right"/>
    </xf>
    <xf numFmtId="2" fontId="4" fillId="0" borderId="3" xfId="0" applyNumberFormat="1" applyFont="1" applyFill="1" applyBorder="1" applyAlignment="1">
      <alignment horizontal="left" indent="1"/>
    </xf>
    <xf numFmtId="2" fontId="4" fillId="0" borderId="3" xfId="0" applyNumberFormat="1" applyFont="1" applyFill="1" applyBorder="1"/>
    <xf numFmtId="42" fontId="4" fillId="4" borderId="0" xfId="0" applyNumberFormat="1" applyFont="1" applyFill="1"/>
    <xf numFmtId="2" fontId="2" fillId="0" borderId="3" xfId="0" applyNumberFormat="1" applyFont="1" applyBorder="1"/>
    <xf numFmtId="172" fontId="5" fillId="0" borderId="0" xfId="0" applyNumberFormat="1" applyFont="1"/>
    <xf numFmtId="4" fontId="2" fillId="0" borderId="0" xfId="0" applyNumberFormat="1" applyFont="1" applyFill="1" applyBorder="1"/>
    <xf numFmtId="3" fontId="2" fillId="0" borderId="0" xfId="0" applyNumberFormat="1" applyFont="1" applyFill="1" applyBorder="1"/>
    <xf numFmtId="9" fontId="8" fillId="0" borderId="0" xfId="0" applyNumberFormat="1" applyFont="1" applyFill="1" applyBorder="1"/>
    <xf numFmtId="9" fontId="7" fillId="0" borderId="0" xfId="0" applyNumberFormat="1" applyFont="1" applyFill="1" applyBorder="1"/>
    <xf numFmtId="0" fontId="0" fillId="0" borderId="0" xfId="0" applyFill="1" applyBorder="1"/>
    <xf numFmtId="4" fontId="5" fillId="0" borderId="0" xfId="0" applyNumberFormat="1" applyFont="1" applyFill="1" applyBorder="1"/>
    <xf numFmtId="9" fontId="5" fillId="0" borderId="0" xfId="0" applyNumberFormat="1" applyFont="1" applyFill="1" applyBorder="1"/>
    <xf numFmtId="4" fontId="4" fillId="0" borderId="0" xfId="0" applyNumberFormat="1" applyFont="1" applyFill="1" applyBorder="1"/>
    <xf numFmtId="0" fontId="4" fillId="0" borderId="0" xfId="0" applyFont="1" applyFill="1" applyBorder="1"/>
    <xf numFmtId="41" fontId="2" fillId="0" borderId="0" xfId="0" applyNumberFormat="1" applyFont="1"/>
    <xf numFmtId="43" fontId="2" fillId="0" borderId="0" xfId="0" applyNumberFormat="1" applyFont="1"/>
    <xf numFmtId="43" fontId="2" fillId="0" borderId="3" xfId="0" applyNumberFormat="1" applyFont="1" applyBorder="1"/>
    <xf numFmtId="41" fontId="4" fillId="0" borderId="0" xfId="0" applyNumberFormat="1" applyFont="1" applyFill="1" applyAlignment="1"/>
    <xf numFmtId="0" fontId="2" fillId="0" borderId="0" xfId="0" applyNumberFormat="1" applyFont="1" applyAlignment="1">
      <alignment horizontal="right"/>
    </xf>
    <xf numFmtId="168" fontId="4" fillId="4" borderId="0" xfId="0" applyNumberFormat="1" applyFont="1" applyFill="1"/>
    <xf numFmtId="9" fontId="2" fillId="0" borderId="0" xfId="0" applyNumberFormat="1" applyFont="1"/>
    <xf numFmtId="9" fontId="2" fillId="0" borderId="3" xfId="0" applyNumberFormat="1" applyFont="1" applyBorder="1"/>
    <xf numFmtId="0" fontId="4" fillId="0" borderId="0" xfId="0" applyFont="1" applyBorder="1" applyAlignment="1">
      <alignment horizontal="right"/>
    </xf>
    <xf numFmtId="173" fontId="2" fillId="0" borderId="0" xfId="0" applyNumberFormat="1" applyFont="1"/>
    <xf numFmtId="169" fontId="5" fillId="0" borderId="0" xfId="0" applyNumberFormat="1" applyFont="1"/>
    <xf numFmtId="173" fontId="2" fillId="0" borderId="3" xfId="0" applyNumberFormat="1" applyFont="1" applyBorder="1"/>
    <xf numFmtId="0" fontId="4" fillId="4" borderId="0" xfId="0" applyFont="1" applyFill="1" applyAlignment="1">
      <alignment horizontal="left"/>
    </xf>
    <xf numFmtId="0" fontId="5" fillId="0" borderId="0" xfId="0" applyFont="1" applyAlignment="1">
      <alignment horizontal="left" indent="1"/>
    </xf>
    <xf numFmtId="43" fontId="5" fillId="0" borderId="0" xfId="0" applyNumberFormat="1" applyFont="1"/>
    <xf numFmtId="174" fontId="4" fillId="4" borderId="0" xfId="0" applyNumberFormat="1" applyFont="1" applyFill="1"/>
    <xf numFmtId="14" fontId="7" fillId="3" borderId="0" xfId="0" applyNumberFormat="1" applyFont="1" applyFill="1" applyAlignment="1">
      <alignment horizontal="right"/>
    </xf>
    <xf numFmtId="0" fontId="7" fillId="3" borderId="0" xfId="0" applyFont="1" applyFill="1" applyAlignment="1">
      <alignment horizontal="right"/>
    </xf>
    <xf numFmtId="0" fontId="6" fillId="3" borderId="0" xfId="0" applyNumberFormat="1" applyFont="1" applyFill="1" applyAlignment="1">
      <alignment horizontal="right"/>
    </xf>
    <xf numFmtId="0" fontId="6" fillId="3" borderId="0" xfId="0" applyFont="1" applyFill="1" applyAlignment="1">
      <alignment horizontal="right"/>
    </xf>
    <xf numFmtId="9" fontId="5" fillId="0" borderId="0" xfId="0" applyNumberFormat="1" applyFont="1"/>
    <xf numFmtId="0" fontId="2" fillId="0" borderId="5" xfId="0" applyFont="1" applyBorder="1"/>
    <xf numFmtId="41" fontId="2" fillId="0" borderId="5" xfId="0" applyNumberFormat="1" applyFont="1" applyBorder="1"/>
    <xf numFmtId="9" fontId="2" fillId="0" borderId="5" xfId="0" applyNumberFormat="1" applyFont="1" applyBorder="1"/>
    <xf numFmtId="41" fontId="2" fillId="0" borderId="3" xfId="0" applyNumberFormat="1" applyFont="1" applyBorder="1"/>
    <xf numFmtId="0" fontId="7" fillId="3" borderId="5" xfId="0" applyFont="1" applyFill="1" applyBorder="1"/>
    <xf numFmtId="41" fontId="2" fillId="0" borderId="6" xfId="0" applyNumberFormat="1" applyFont="1" applyBorder="1"/>
    <xf numFmtId="41" fontId="2" fillId="0" borderId="7" xfId="0" applyNumberFormat="1" applyFont="1" applyBorder="1"/>
    <xf numFmtId="41" fontId="2" fillId="0" borderId="8" xfId="0" applyNumberFormat="1" applyFont="1" applyBorder="1"/>
    <xf numFmtId="0" fontId="2" fillId="0" borderId="9" xfId="0" applyFont="1" applyBorder="1"/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left"/>
    </xf>
    <xf numFmtId="0" fontId="4" fillId="4" borderId="10" xfId="0" applyFont="1" applyFill="1" applyBorder="1"/>
    <xf numFmtId="41" fontId="4" fillId="4" borderId="0" xfId="0" applyNumberFormat="1" applyFont="1" applyFill="1"/>
    <xf numFmtId="0" fontId="5" fillId="0" borderId="3" xfId="0" applyFont="1" applyBorder="1" applyAlignment="1">
      <alignment horizontal="left" indent="1"/>
    </xf>
    <xf numFmtId="9" fontId="5" fillId="0" borderId="3" xfId="0" applyNumberFormat="1" applyFont="1" applyBorder="1"/>
    <xf numFmtId="171" fontId="2" fillId="0" borderId="0" xfId="0" applyNumberFormat="1" applyFont="1"/>
    <xf numFmtId="171" fontId="2" fillId="0" borderId="3" xfId="0" applyNumberFormat="1" applyFont="1" applyBorder="1"/>
    <xf numFmtId="9" fontId="4" fillId="4" borderId="0" xfId="0" applyNumberFormat="1" applyFont="1" applyFill="1"/>
    <xf numFmtId="41" fontId="2" fillId="0" borderId="0" xfId="0" applyNumberFormat="1" applyFont="1" applyBorder="1"/>
    <xf numFmtId="41" fontId="7" fillId="3" borderId="0" xfId="0" applyNumberFormat="1" applyFont="1" applyFill="1"/>
    <xf numFmtId="41" fontId="7" fillId="3" borderId="3" xfId="0" applyNumberFormat="1" applyFont="1" applyFill="1" applyBorder="1"/>
    <xf numFmtId="243" fontId="7" fillId="3" borderId="0" xfId="0" applyNumberFormat="1" applyFont="1" applyFill="1"/>
    <xf numFmtId="243" fontId="7" fillId="3" borderId="0" xfId="0" applyNumberFormat="1" applyFont="1" applyFill="1" applyBorder="1"/>
    <xf numFmtId="0" fontId="7" fillId="3" borderId="0" xfId="0" applyFont="1" applyFill="1"/>
    <xf numFmtId="10" fontId="7" fillId="3" borderId="0" xfId="0" applyNumberFormat="1" applyFont="1" applyFill="1"/>
    <xf numFmtId="10" fontId="7" fillId="3" borderId="0" xfId="0" applyNumberFormat="1" applyFont="1" applyFill="1" applyAlignment="1">
      <alignment horizontal="right"/>
    </xf>
    <xf numFmtId="0" fontId="5" fillId="0" borderId="50" xfId="0" applyFont="1" applyBorder="1" applyAlignment="1">
      <alignment horizontal="left" indent="1"/>
    </xf>
    <xf numFmtId="0" fontId="2" fillId="0" borderId="50" xfId="0" applyFont="1" applyBorder="1"/>
    <xf numFmtId="10" fontId="5" fillId="0" borderId="50" xfId="0" applyNumberFormat="1" applyFont="1" applyBorder="1" applyAlignment="1">
      <alignment horizontal="right"/>
    </xf>
    <xf numFmtId="0" fontId="0" fillId="0" borderId="0" xfId="0" applyBorder="1"/>
    <xf numFmtId="0" fontId="2" fillId="0" borderId="50" xfId="0" applyFont="1" applyBorder="1" applyAlignment="1">
      <alignment horizontal="left" indent="1"/>
    </xf>
    <xf numFmtId="41" fontId="2" fillId="0" borderId="50" xfId="0" applyNumberFormat="1" applyFont="1" applyBorder="1"/>
    <xf numFmtId="41" fontId="4" fillId="0" borderId="0" xfId="0" applyNumberFormat="1" applyFont="1"/>
    <xf numFmtId="0" fontId="4" fillId="0" borderId="19" xfId="0" applyFont="1" applyBorder="1"/>
    <xf numFmtId="172" fontId="5" fillId="0" borderId="0" xfId="0" applyNumberFormat="1" applyFont="1" applyAlignment="1">
      <alignment horizontal="right"/>
    </xf>
    <xf numFmtId="10" fontId="2" fillId="0" borderId="0" xfId="0" applyNumberFormat="1" applyFont="1"/>
    <xf numFmtId="0" fontId="7" fillId="3" borderId="4" xfId="0" applyFont="1" applyFill="1" applyBorder="1" applyAlignment="1">
      <alignment horizontal="center"/>
    </xf>
    <xf numFmtId="0" fontId="218" fillId="0" borderId="0" xfId="0" applyFont="1" applyBorder="1"/>
    <xf numFmtId="0" fontId="4" fillId="0" borderId="0" xfId="0" applyFont="1" applyAlignment="1">
      <alignment horizontal="left" indent="1"/>
    </xf>
    <xf numFmtId="0" fontId="5" fillId="0" borderId="51" xfId="0" applyFont="1" applyBorder="1"/>
    <xf numFmtId="0" fontId="2" fillId="0" borderId="51" xfId="0" applyFont="1" applyBorder="1"/>
    <xf numFmtId="0" fontId="218" fillId="0" borderId="51" xfId="0" applyFont="1" applyBorder="1"/>
    <xf numFmtId="244" fontId="4" fillId="0" borderId="0" xfId="0" applyNumberFormat="1" applyFont="1"/>
    <xf numFmtId="42" fontId="2" fillId="0" borderId="0" xfId="0" applyNumberFormat="1" applyFont="1"/>
    <xf numFmtId="42" fontId="2" fillId="0" borderId="50" xfId="0" applyNumberFormat="1" applyFont="1" applyBorder="1"/>
    <xf numFmtId="0" fontId="4" fillId="4" borderId="19" xfId="0" applyFont="1" applyFill="1" applyBorder="1"/>
    <xf numFmtId="10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left"/>
    </xf>
    <xf numFmtId="0" fontId="218" fillId="0" borderId="0" xfId="0" applyFont="1" applyAlignment="1">
      <alignment horizontal="left"/>
    </xf>
    <xf numFmtId="42" fontId="4" fillId="4" borderId="0" xfId="0" applyNumberFormat="1" applyFont="1" applyFill="1" applyAlignment="1">
      <alignment horizontal="right"/>
    </xf>
    <xf numFmtId="245" fontId="2" fillId="0" borderId="0" xfId="0" applyNumberFormat="1" applyFont="1"/>
    <xf numFmtId="41" fontId="2" fillId="0" borderId="0" xfId="0" applyNumberFormat="1" applyFont="1" applyAlignment="1"/>
    <xf numFmtId="9" fontId="2" fillId="0" borderId="0" xfId="0" applyNumberFormat="1" applyFont="1" applyBorder="1"/>
    <xf numFmtId="41" fontId="2" fillId="50" borderId="50" xfId="0" applyNumberFormat="1" applyFont="1" applyFill="1" applyBorder="1"/>
    <xf numFmtId="0" fontId="4" fillId="4" borderId="0" xfId="0" applyFont="1" applyFill="1" applyBorder="1"/>
    <xf numFmtId="42" fontId="4" fillId="4" borderId="0" xfId="0" applyNumberFormat="1" applyFont="1" applyFill="1" applyBorder="1"/>
    <xf numFmtId="0" fontId="4" fillId="0" borderId="51" xfId="0" applyFont="1" applyBorder="1"/>
    <xf numFmtId="0" fontId="4" fillId="0" borderId="51" xfId="0" applyFont="1" applyBorder="1" applyAlignment="1">
      <alignment horizontal="right"/>
    </xf>
    <xf numFmtId="217" fontId="7" fillId="3" borderId="0" xfId="0" applyNumberFormat="1" applyFont="1" applyFill="1"/>
    <xf numFmtId="41" fontId="2" fillId="0" borderId="0" xfId="0" applyNumberFormat="1" applyFont="1" applyAlignment="1">
      <alignment horizontal="right"/>
    </xf>
    <xf numFmtId="0" fontId="2" fillId="50" borderId="50" xfId="0" applyFont="1" applyFill="1" applyBorder="1"/>
    <xf numFmtId="167" fontId="2" fillId="0" borderId="0" xfId="0" applyNumberFormat="1" applyFont="1"/>
    <xf numFmtId="246" fontId="2" fillId="0" borderId="2" xfId="0" applyNumberFormat="1" applyFont="1" applyBorder="1"/>
    <xf numFmtId="0" fontId="219" fillId="0" borderId="0" xfId="0" applyFont="1" applyAlignment="1">
      <alignment horizontal="right"/>
    </xf>
    <xf numFmtId="170" fontId="2" fillId="0" borderId="0" xfId="0" applyNumberFormat="1" applyFont="1"/>
    <xf numFmtId="10" fontId="5" fillId="0" borderId="50" xfId="0" applyNumberFormat="1" applyFont="1" applyBorder="1"/>
    <xf numFmtId="42" fontId="2" fillId="0" borderId="0" xfId="0" applyNumberFormat="1" applyFont="1" applyFill="1"/>
    <xf numFmtId="217" fontId="2" fillId="0" borderId="0" xfId="0" applyNumberFormat="1" applyFont="1" applyAlignment="1">
      <alignment horizontal="right"/>
    </xf>
    <xf numFmtId="247" fontId="2" fillId="0" borderId="0" xfId="0" applyNumberFormat="1" applyFont="1"/>
    <xf numFmtId="0" fontId="5" fillId="0" borderId="0" xfId="0" applyFont="1" applyFill="1"/>
    <xf numFmtId="0" fontId="5" fillId="0" borderId="0" xfId="0" applyNumberFormat="1" applyFont="1" applyFill="1"/>
    <xf numFmtId="8" fontId="2" fillId="0" borderId="0" xfId="0" applyNumberFormat="1" applyFont="1"/>
    <xf numFmtId="9" fontId="6" fillId="0" borderId="0" xfId="0" applyNumberFormat="1" applyFont="1" applyFill="1" applyBorder="1"/>
    <xf numFmtId="248" fontId="2" fillId="0" borderId="0" xfId="0" applyNumberFormat="1" applyFont="1" applyBorder="1"/>
    <xf numFmtId="0" fontId="2" fillId="0" borderId="28" xfId="0" applyFont="1" applyBorder="1"/>
    <xf numFmtId="0" fontId="2" fillId="0" borderId="19" xfId="0" applyFont="1" applyBorder="1"/>
    <xf numFmtId="217" fontId="2" fillId="0" borderId="19" xfId="0" applyNumberFormat="1" applyFont="1" applyBorder="1" applyAlignment="1">
      <alignment horizontal="right"/>
    </xf>
    <xf numFmtId="217" fontId="2" fillId="0" borderId="52" xfId="0" applyNumberFormat="1" applyFont="1" applyBorder="1" applyAlignment="1">
      <alignment horizontal="right"/>
    </xf>
    <xf numFmtId="0" fontId="2" fillId="0" borderId="26" xfId="0" applyFont="1" applyBorder="1"/>
    <xf numFmtId="4" fontId="2" fillId="0" borderId="0" xfId="0" applyNumberFormat="1" applyFont="1" applyBorder="1" applyAlignment="1">
      <alignment horizontal="right"/>
    </xf>
    <xf numFmtId="4" fontId="2" fillId="0" borderId="31" xfId="0" applyNumberFormat="1" applyFont="1" applyBorder="1" applyAlignment="1">
      <alignment horizontal="right"/>
    </xf>
    <xf numFmtId="217" fontId="2" fillId="0" borderId="50" xfId="0" applyNumberFormat="1" applyFont="1" applyBorder="1" applyAlignment="1">
      <alignment horizontal="right"/>
    </xf>
    <xf numFmtId="217" fontId="2" fillId="0" borderId="36" xfId="0" applyNumberFormat="1" applyFont="1" applyBorder="1" applyAlignment="1">
      <alignment horizontal="right"/>
    </xf>
    <xf numFmtId="9" fontId="6" fillId="0" borderId="50" xfId="0" applyNumberFormat="1" applyFont="1" applyFill="1" applyBorder="1"/>
    <xf numFmtId="248" fontId="2" fillId="0" borderId="19" xfId="0" applyNumberFormat="1" applyFont="1" applyBorder="1"/>
    <xf numFmtId="248" fontId="2" fillId="0" borderId="50" xfId="0" applyNumberFormat="1" applyFont="1" applyBorder="1"/>
    <xf numFmtId="0" fontId="4" fillId="0" borderId="0" xfId="0" applyFont="1" applyAlignment="1">
      <alignment horizontal="right"/>
    </xf>
    <xf numFmtId="0" fontId="220" fillId="0" borderId="0" xfId="0" applyFont="1"/>
    <xf numFmtId="172" fontId="2" fillId="0" borderId="50" xfId="0" applyNumberFormat="1" applyFont="1" applyBorder="1"/>
    <xf numFmtId="0" fontId="3" fillId="2" borderId="0" xfId="0" applyFont="1" applyFill="1" applyBorder="1"/>
    <xf numFmtId="0" fontId="2" fillId="2" borderId="0" xfId="0" applyFont="1" applyFill="1" applyBorder="1"/>
    <xf numFmtId="0" fontId="218" fillId="0" borderId="0" xfId="0" applyFont="1"/>
    <xf numFmtId="0" fontId="7" fillId="0" borderId="0" xfId="0" applyFont="1" applyFill="1"/>
    <xf numFmtId="217" fontId="2" fillId="0" borderId="5" xfId="0" applyNumberFormat="1" applyFont="1" applyBorder="1"/>
    <xf numFmtId="0" fontId="2" fillId="50" borderId="0" xfId="0" applyFont="1" applyFill="1"/>
    <xf numFmtId="41" fontId="6" fillId="0" borderId="0" xfId="0" applyNumberFormat="1" applyFont="1" applyFill="1"/>
    <xf numFmtId="41" fontId="6" fillId="0" borderId="50" xfId="0" applyNumberFormat="1" applyFont="1" applyFill="1" applyBorder="1"/>
    <xf numFmtId="41" fontId="2" fillId="0" borderId="53" xfId="0" applyNumberFormat="1" applyFont="1" applyBorder="1"/>
    <xf numFmtId="9" fontId="2" fillId="0" borderId="0" xfId="0" applyNumberFormat="1" applyFont="1" applyAlignment="1">
      <alignment horizontal="right"/>
    </xf>
    <xf numFmtId="0" fontId="4" fillId="0" borderId="22" xfId="0" applyFont="1" applyFill="1" applyBorder="1"/>
    <xf numFmtId="42" fontId="4" fillId="0" borderId="22" xfId="0" applyNumberFormat="1" applyFont="1" applyFill="1" applyBorder="1"/>
  </cellXfs>
  <cellStyles count="2111">
    <cellStyle name="_x000a_386grabber=M" xfId="4" xr:uid="{00000000-0005-0000-0000-000001000000}"/>
    <cellStyle name="_x000d__x000a_JournalTemplate=C:\COMFO\CTALK\JOURSTD.TPL_x000d__x000a_LbStateAddress=3 3 0 251 1 89 2 311_x000d__x000a_LbStateJou" xfId="5" xr:uid="{00000000-0005-0000-0000-000002000000}"/>
    <cellStyle name="_%(SignOnly)" xfId="60" xr:uid="{00000000-0005-0000-0000-00004C000000}"/>
    <cellStyle name="_%(SignOnly) 2" xfId="1415" xr:uid="{00000000-0005-0000-0000-00004D000000}"/>
    <cellStyle name="_%(SignOnly)_01 model" xfId="61" xr:uid="{00000000-0005-0000-0000-00004E000000}"/>
    <cellStyle name="_%(SignOnly)_01 model 2" xfId="1416" xr:uid="{00000000-0005-0000-0000-00004F000000}"/>
    <cellStyle name="_%(SignOnly)_02 Potential Partner Ability to Pay Analysis2" xfId="62" xr:uid="{00000000-0005-0000-0000-000050000000}"/>
    <cellStyle name="_%(SignOnly)_02 Potential Partner Ability to Pay Analysis2 2" xfId="1417" xr:uid="{00000000-0005-0000-0000-000051000000}"/>
    <cellStyle name="_%(SignOnly)_12 Merger Plans" xfId="63" xr:uid="{00000000-0005-0000-0000-000052000000}"/>
    <cellStyle name="_%(SignOnly)_12 Merger Plans 2" xfId="1418" xr:uid="{00000000-0005-0000-0000-000053000000}"/>
    <cellStyle name="_%(SignOnly)_AVP - prev. 06 financials" xfId="64" xr:uid="{00000000-0005-0000-0000-000054000000}"/>
    <cellStyle name="_%(SignOnly)_AVP - prev. 06 financials_BCE Model 1-8-07" xfId="65" xr:uid="{00000000-0005-0000-0000-000055000000}"/>
    <cellStyle name="_%(SignOnly)_bank_csc_Q2_2001_c1" xfId="66" xr:uid="{00000000-0005-0000-0000-000056000000}"/>
    <cellStyle name="_%(SignOnly)_bank_csc_Q2_2001_c1_BCE Model 1-8-07" xfId="67" xr:uid="{00000000-0005-0000-0000-000057000000}"/>
    <cellStyle name="_%(SignOnly)_FigTech Merger Model_02" xfId="68" xr:uid="{00000000-0005-0000-0000-000058000000}"/>
    <cellStyle name="_%(SignOnly)_FigTech Merger Model_02 2" xfId="1419" xr:uid="{00000000-0005-0000-0000-000059000000}"/>
    <cellStyle name="_%(SignOnly)_Football Field" xfId="69" xr:uid="{00000000-0005-0000-0000-00005A000000}"/>
    <cellStyle name="_%(SignOnly)_Football Field_BCE Model 1-8-07" xfId="70" xr:uid="{00000000-0005-0000-0000-00005B000000}"/>
    <cellStyle name="_%(SignOnly)_PNC_merger_plan_divestitures_05" xfId="71" xr:uid="{00000000-0005-0000-0000-00005C000000}"/>
    <cellStyle name="_%(SignOnly)_Summary Valuation Analysis" xfId="72" xr:uid="{00000000-0005-0000-0000-00005D000000}"/>
    <cellStyle name="_%(SignOnly)_Summary Valuation Analysis 2" xfId="1420" xr:uid="{00000000-0005-0000-0000-00005E000000}"/>
    <cellStyle name="_%(SignOnly)_Synergies" xfId="73" xr:uid="{00000000-0005-0000-0000-00005F000000}"/>
    <cellStyle name="_%(SignOnly)_Synergies 2" xfId="1421" xr:uid="{00000000-0005-0000-0000-000060000000}"/>
    <cellStyle name="_%(SignSpaceOnly)" xfId="74" xr:uid="{00000000-0005-0000-0000-000061000000}"/>
    <cellStyle name="_%(SignSpaceOnly) 2" xfId="1422" xr:uid="{00000000-0005-0000-0000-000062000000}"/>
    <cellStyle name="_%(SignSpaceOnly)_01 model" xfId="75" xr:uid="{00000000-0005-0000-0000-000063000000}"/>
    <cellStyle name="_%(SignSpaceOnly)_01 model 2" xfId="1423" xr:uid="{00000000-0005-0000-0000-000064000000}"/>
    <cellStyle name="_%(SignSpaceOnly)_02 Potential Partner Ability to Pay Analysis2" xfId="76" xr:uid="{00000000-0005-0000-0000-000065000000}"/>
    <cellStyle name="_%(SignSpaceOnly)_02 Potential Partner Ability to Pay Analysis2 2" xfId="1424" xr:uid="{00000000-0005-0000-0000-000066000000}"/>
    <cellStyle name="_%(SignSpaceOnly)_12 Merger Plans" xfId="77" xr:uid="{00000000-0005-0000-0000-000067000000}"/>
    <cellStyle name="_%(SignSpaceOnly)_12 Merger Plans 2" xfId="1425" xr:uid="{00000000-0005-0000-0000-000068000000}"/>
    <cellStyle name="_%(SignSpaceOnly)_AVP - prev. 06 financials" xfId="78" xr:uid="{00000000-0005-0000-0000-000069000000}"/>
    <cellStyle name="_%(SignSpaceOnly)_AVP - prev. 06 financials_BCE Model 1-8-07" xfId="79" xr:uid="{00000000-0005-0000-0000-00006A000000}"/>
    <cellStyle name="_%(SignSpaceOnly)_bank_csc_Q2_2001_c1" xfId="80" xr:uid="{00000000-0005-0000-0000-00006B000000}"/>
    <cellStyle name="_%(SignSpaceOnly)_bank_csc_Q2_2001_c1_BCE Model 1-8-07" xfId="81" xr:uid="{00000000-0005-0000-0000-00006C000000}"/>
    <cellStyle name="_%(SignSpaceOnly)_FigTech Merger Model_02" xfId="82" xr:uid="{00000000-0005-0000-0000-00006D000000}"/>
    <cellStyle name="_%(SignSpaceOnly)_FigTech Merger Model_02 2" xfId="1426" xr:uid="{00000000-0005-0000-0000-00006E000000}"/>
    <cellStyle name="_%(SignSpaceOnly)_Football Field" xfId="83" xr:uid="{00000000-0005-0000-0000-00006F000000}"/>
    <cellStyle name="_%(SignSpaceOnly)_Football Field_BCE Model 1-8-07" xfId="84" xr:uid="{00000000-0005-0000-0000-000070000000}"/>
    <cellStyle name="_%(SignSpaceOnly)_PNC_merger_plan_divestitures_05" xfId="85" xr:uid="{00000000-0005-0000-0000-000071000000}"/>
    <cellStyle name="_%(SignSpaceOnly)_Summary Valuation Analysis" xfId="86" xr:uid="{00000000-0005-0000-0000-000072000000}"/>
    <cellStyle name="_%(SignSpaceOnly)_Summary Valuation Analysis 2" xfId="1427" xr:uid="{00000000-0005-0000-0000-000073000000}"/>
    <cellStyle name="_%(SignSpaceOnly)_Synergies" xfId="87" xr:uid="{00000000-0005-0000-0000-000074000000}"/>
    <cellStyle name="_%(SignSpaceOnly)_Synergies 2" xfId="1428" xr:uid="{00000000-0005-0000-0000-000075000000}"/>
    <cellStyle name="_$accounting" xfId="56" xr:uid="{00000000-0005-0000-0000-000048000000}"/>
    <cellStyle name="_$accounting_BCE Model 1-8-07" xfId="57" xr:uid="{00000000-0005-0000-0000-000049000000}"/>
    <cellStyle name="_$accounting_PNC_merger_plan_divestitures_05" xfId="58" xr:uid="{00000000-0005-0000-0000-00004A000000}"/>
    <cellStyle name="_$accounting_PNC_merger_plan_divestitures_05_BCE Model 1-8-07" xfId="59" xr:uid="{00000000-0005-0000-0000-00004B000000}"/>
    <cellStyle name="_051129 DCF Summary" xfId="88" xr:uid="{00000000-0005-0000-0000-000076000000}"/>
    <cellStyle name="_101306 CanWest Excel BAck up v14" xfId="89" xr:uid="{00000000-0005-0000-0000-000077000000}"/>
    <cellStyle name="_101306 CanWest Excel BAck up v14 2" xfId="1429" xr:uid="{00000000-0005-0000-0000-000078000000}"/>
    <cellStyle name="_accounting" xfId="90" xr:uid="{00000000-0005-0000-0000-000079000000}"/>
    <cellStyle name="_accounting_BCE Model 1-8-07" xfId="91" xr:uid="{00000000-0005-0000-0000-00007A000000}"/>
    <cellStyle name="_accounting_monet_final_w_output" xfId="92" xr:uid="{00000000-0005-0000-0000-00007B000000}"/>
    <cellStyle name="_accounting_monet_final_w_output_BCE Model 1-8-07" xfId="93" xr:uid="{00000000-0005-0000-0000-00007C000000}"/>
    <cellStyle name="_Altman Model_6.18.07_DRIVERS" xfId="94" xr:uid="{00000000-0005-0000-0000-00007D000000}"/>
    <cellStyle name="_Altman Model_6.18.07_DRIVERS 2" xfId="1430" xr:uid="{00000000-0005-0000-0000-00007E000000}"/>
    <cellStyle name="_Barnet_LBO_05.18.05" xfId="95" xr:uid="{00000000-0005-0000-0000-00007F000000}"/>
    <cellStyle name="_Barnet_LBO_05.18.05_Bison LBO Analysis_Sponsor_02.07.07" xfId="96" xr:uid="{00000000-0005-0000-0000-000080000000}"/>
    <cellStyle name="_Barnet_LBO_05.18.05_Bison LBO Analysis_Sponsor_02.07.07_1" xfId="97" xr:uid="{00000000-0005-0000-0000-000081000000}"/>
    <cellStyle name="_BCE Model 1-8-07" xfId="98" xr:uid="{00000000-0005-0000-0000-000082000000}"/>
    <cellStyle name="_BCE Model 1-8-07 2" xfId="1431" xr:uid="{00000000-0005-0000-0000-000083000000}"/>
    <cellStyle name="_BU Rollup" xfId="99" xr:uid="{00000000-0005-0000-0000-000084000000}"/>
    <cellStyle name="_BU Rollup 2" xfId="1432" xr:uid="{00000000-0005-0000-0000-000085000000}"/>
    <cellStyle name="_Check of Synergy DCFs 11-01-04_v5" xfId="100" xr:uid="{00000000-0005-0000-0000-000086000000}"/>
    <cellStyle name="_Check of Synergy DCFs 11-01-04_v5 2" xfId="1433" xr:uid="{00000000-0005-0000-0000-000087000000}"/>
    <cellStyle name="_CKFR Model 11-30-06" xfId="101" xr:uid="{00000000-0005-0000-0000-000088000000}"/>
    <cellStyle name="_COMBO PAGESv.5" xfId="102" xr:uid="{00000000-0005-0000-0000-000089000000}"/>
    <cellStyle name="_Comma" xfId="103" xr:uid="{00000000-0005-0000-0000-00008A000000}"/>
    <cellStyle name="_Comma 2" xfId="1434" xr:uid="{00000000-0005-0000-0000-00008B000000}"/>
    <cellStyle name="_Comma_01 Fig Tech CSC 1Q03" xfId="106" xr:uid="{00000000-0005-0000-0000-00008E000000}"/>
    <cellStyle name="_Comma_01 Fig Tech CSC 1Q03 2" xfId="1435" xr:uid="{00000000-0005-0000-0000-00008F000000}"/>
    <cellStyle name="_Comma_01 Financial Model" xfId="107" xr:uid="{00000000-0005-0000-0000-000090000000}"/>
    <cellStyle name="_Comma_01 Financial Model 2" xfId="1436" xr:uid="{00000000-0005-0000-0000-000091000000}"/>
    <cellStyle name="_Comma_01 Template without numbers sent out" xfId="108" xr:uid="{00000000-0005-0000-0000-000092000000}"/>
    <cellStyle name="_Comma_01 Template without numbers sent out 2" xfId="1437" xr:uid="{00000000-0005-0000-0000-000093000000}"/>
    <cellStyle name="_Comma_02 Potential Partner Ability to Pay Analysis2" xfId="109" xr:uid="{00000000-0005-0000-0000-000094000000}"/>
    <cellStyle name="_Comma_02 Potential Partner Ability to Pay Analysis2 2" xfId="1438" xr:uid="{00000000-0005-0000-0000-000095000000}"/>
    <cellStyle name="_Comma_02 Quick Model_PQ Corporation" xfId="110" xr:uid="{00000000-0005-0000-0000-000096000000}"/>
    <cellStyle name="_Comma_02 Quick Model_PQ Corporation 2" xfId="1439" xr:uid="{00000000-0005-0000-0000-000097000000}"/>
    <cellStyle name="_Comma_101306 CanWest Excel BAck up v14" xfId="111" xr:uid="{00000000-0005-0000-0000-000098000000}"/>
    <cellStyle name="_Comma_101306 CanWest Excel BAck up v14 2" xfId="1440" xr:uid="{00000000-0005-0000-0000-000099000000}"/>
    <cellStyle name="_Comma_12 Merger Plans" xfId="112" xr:uid="{00000000-0005-0000-0000-00009A000000}"/>
    <cellStyle name="_Comma_12 Merger Plans 2" xfId="1441" xr:uid="{00000000-0005-0000-0000-00009B000000}"/>
    <cellStyle name="_Comma_20020403 Regional Data 04" xfId="113" xr:uid="{00000000-0005-0000-0000-00009C000000}"/>
    <cellStyle name="_Comma_20020403 Regional Data 04 2" xfId="1442" xr:uid="{00000000-0005-0000-0000-00009D000000}"/>
    <cellStyle name="_Comma_20020403 Regional Data 04 Final" xfId="114" xr:uid="{00000000-0005-0000-0000-00009E000000}"/>
    <cellStyle name="_Comma_20020403 Regional Data 04 Final 2" xfId="1443" xr:uid="{00000000-0005-0000-0000-00009F000000}"/>
    <cellStyle name="_Comma_20020403 Template for Exchange - Regional Data 01" xfId="115" xr:uid="{00000000-0005-0000-0000-0000A0000000}"/>
    <cellStyle name="_Comma_20020403 Template for Exchange - Regional Data 01 2" xfId="1444" xr:uid="{00000000-0005-0000-0000-0000A1000000}"/>
    <cellStyle name="_Comma_20020404 Capex 02 All" xfId="116" xr:uid="{00000000-0005-0000-0000-0000A2000000}"/>
    <cellStyle name="_Comma_20020404 Capex 02 All 2" xfId="1445" xr:uid="{00000000-0005-0000-0000-0000A3000000}"/>
    <cellStyle name="_Comma_accretion dilution analysis" xfId="117" xr:uid="{00000000-0005-0000-0000-0000A4000000}"/>
    <cellStyle name="_Comma_accretion dilution analysis 2" xfId="1446" xr:uid="{00000000-0005-0000-0000-0000A5000000}"/>
    <cellStyle name="_Comma_Accretion-(Dilution) Pearl" xfId="118" xr:uid="{00000000-0005-0000-0000-0000A6000000}"/>
    <cellStyle name="_Comma_Accretion-(Dilution) Pearl 2" xfId="1447" xr:uid="{00000000-0005-0000-0000-0000A7000000}"/>
    <cellStyle name="_Comma_Acquisition Ops 3" xfId="119" xr:uid="{00000000-0005-0000-0000-0000A8000000}"/>
    <cellStyle name="_Comma_Acquisition Ops 3 2" xfId="1448" xr:uid="{00000000-0005-0000-0000-0000A9000000}"/>
    <cellStyle name="_Comma_AVP" xfId="120" xr:uid="{00000000-0005-0000-0000-0000AA000000}"/>
    <cellStyle name="_Comma_AVP 2" xfId="1449" xr:uid="{00000000-0005-0000-0000-0000AB000000}"/>
    <cellStyle name="_Comma_BCE Model 1-8-07" xfId="121" xr:uid="{00000000-0005-0000-0000-0000AC000000}"/>
    <cellStyle name="_Comma_BCE Model 1-8-07 2" xfId="1450" xr:uid="{00000000-0005-0000-0000-0000AD000000}"/>
    <cellStyle name="_Comma_Book1" xfId="122" xr:uid="{00000000-0005-0000-0000-0000AE000000}"/>
    <cellStyle name="_Comma_Book1 2" xfId="1451" xr:uid="{00000000-0005-0000-0000-0000AF000000}"/>
    <cellStyle name="_Comma_Book2" xfId="123" xr:uid="{00000000-0005-0000-0000-0000B0000000}"/>
    <cellStyle name="_Comma_Book2 2" xfId="1452" xr:uid="{00000000-0005-0000-0000-0000B1000000}"/>
    <cellStyle name="_Comma_buyer_analysis" xfId="124" xr:uid="{00000000-0005-0000-0000-0000B2000000}"/>
    <cellStyle name="_Comma_buyer_analysis 2" xfId="1453" xr:uid="{00000000-0005-0000-0000-0000B3000000}"/>
    <cellStyle name="_Comma_Check of Synergy DCFs 11-01-04_v5" xfId="125" xr:uid="{00000000-0005-0000-0000-0000B4000000}"/>
    <cellStyle name="_Comma_Check of Synergy DCFs 11-01-04_v5 2" xfId="1454" xr:uid="{00000000-0005-0000-0000-0000B5000000}"/>
    <cellStyle name="_Comma_CKFR Model 11-30-06" xfId="126" xr:uid="{00000000-0005-0000-0000-0000B6000000}"/>
    <cellStyle name="_Comma_CKFR Model 11-30-06 2" xfId="1455" xr:uid="{00000000-0005-0000-0000-0000B7000000}"/>
    <cellStyle name="_Comma_Comparative Balance Sheets" xfId="127" xr:uid="{00000000-0005-0000-0000-0000B8000000}"/>
    <cellStyle name="_Comma_Comparative Balance Sheets 2" xfId="1456" xr:uid="{00000000-0005-0000-0000-0000B9000000}"/>
    <cellStyle name="_Comma_CSC with WACC" xfId="128" xr:uid="{00000000-0005-0000-0000-0000BA000000}"/>
    <cellStyle name="_Comma_CSC with WACC 2" xfId="1457" xr:uid="{00000000-0005-0000-0000-0000BB000000}"/>
    <cellStyle name="_Comma_Dave Model Final v 1" xfId="129" xr:uid="{00000000-0005-0000-0000-0000BC000000}"/>
    <cellStyle name="_Comma_Dave Model Final v 1 2" xfId="1458" xr:uid="{00000000-0005-0000-0000-0000BD000000}"/>
    <cellStyle name="_Comma_DCF Analysis" xfId="130" xr:uid="{00000000-0005-0000-0000-0000BE000000}"/>
    <cellStyle name="_Comma_DCF Analysis 2" xfId="1459" xr:uid="{00000000-0005-0000-0000-0000BF000000}"/>
    <cellStyle name="_Comma_DIS Go Private Analysis v23" xfId="131" xr:uid="{00000000-0005-0000-0000-0000C0000000}"/>
    <cellStyle name="_Comma_DIS Go Private Analysis v23 2" xfId="1460" xr:uid="{00000000-0005-0000-0000-0000C1000000}"/>
    <cellStyle name="_Comma_Eagle Ridge Cash Flow 01-10-02_GS" xfId="132" xr:uid="{00000000-0005-0000-0000-0000C2000000}"/>
    <cellStyle name="_Comma_Eagle Ridge Cash Flow 01-10-02_GS 2" xfId="1461" xr:uid="{00000000-0005-0000-0000-0000C3000000}"/>
    <cellStyle name="_Comma_Excel Inserts_v4" xfId="133" xr:uid="{00000000-0005-0000-0000-0000C4000000}"/>
    <cellStyle name="_Comma_Excel Inserts_v4 2" xfId="1462" xr:uid="{00000000-0005-0000-0000-0000C5000000}"/>
    <cellStyle name="_Comma_Final Canadian Bank Comp (sent to IBD)FORM" xfId="134" xr:uid="{00000000-0005-0000-0000-0000C6000000}"/>
    <cellStyle name="_Comma_Final Canadian Bank Comp (sent to IBD)FORM 2" xfId="1463" xr:uid="{00000000-0005-0000-0000-0000C7000000}"/>
    <cellStyle name="_Comma_Football Field" xfId="135" xr:uid="{00000000-0005-0000-0000-0000C8000000}"/>
    <cellStyle name="_Comma_Football Field 2" xfId="1464" xr:uid="{00000000-0005-0000-0000-0000C9000000}"/>
    <cellStyle name="_Comma_IBES_EPS_Estimates" xfId="136" xr:uid="{00000000-0005-0000-0000-0000CA000000}"/>
    <cellStyle name="_Comma_IBES_EPS_Estimates 2" xfId="1465" xr:uid="{00000000-0005-0000-0000-0000CB000000}"/>
    <cellStyle name="_Comma_Master_Telecom_Equipment_CSCb" xfId="137" xr:uid="{00000000-0005-0000-0000-0000CC000000}"/>
    <cellStyle name="_Comma_Master_Telecom_Equipment_CSCb 2" xfId="1466" xr:uid="{00000000-0005-0000-0000-0000CD000000}"/>
    <cellStyle name="_Comma_Merger Model - Exec" xfId="138" xr:uid="{00000000-0005-0000-0000-0000CE000000}"/>
    <cellStyle name="_Comma_Merger Model - Exec 2" xfId="1467" xr:uid="{00000000-0005-0000-0000-0000CF000000}"/>
    <cellStyle name="_Comma_merger plans" xfId="139" xr:uid="{00000000-0005-0000-0000-0000D0000000}"/>
    <cellStyle name="_Comma_merger plans 2" xfId="1468" xr:uid="{00000000-0005-0000-0000-0000D1000000}"/>
    <cellStyle name="_Comma_MotLion Projections may" xfId="140" xr:uid="{00000000-0005-0000-0000-0000D2000000}"/>
    <cellStyle name="_Comma_MotLion Projections may 2" xfId="1469" xr:uid="{00000000-0005-0000-0000-0000D3000000}"/>
    <cellStyle name="_Comma_Old Life CSC" xfId="141" xr:uid="{00000000-0005-0000-0000-0000D4000000}"/>
    <cellStyle name="_Comma_Old Life CSC 2" xfId="1470" xr:uid="{00000000-0005-0000-0000-0000D5000000}"/>
    <cellStyle name="_Comma_pace_merger plans" xfId="142" xr:uid="{00000000-0005-0000-0000-0000D6000000}"/>
    <cellStyle name="_Comma_pace_merger plans 2" xfId="1471" xr:uid="{00000000-0005-0000-0000-0000D7000000}"/>
    <cellStyle name="_Comma_Palm Model 10_05" xfId="143" xr:uid="{00000000-0005-0000-0000-0000D8000000}"/>
    <cellStyle name="_Comma_Palm Model 10_05 2" xfId="1472" xr:uid="{00000000-0005-0000-0000-0000D9000000}"/>
    <cellStyle name="_Comma_PNC_PF_2Q_update" xfId="144" xr:uid="{00000000-0005-0000-0000-0000DA000000}"/>
    <cellStyle name="_Comma_PNC_PF_2Q_update 2" xfId="1473" xr:uid="{00000000-0005-0000-0000-0000DB000000}"/>
    <cellStyle name="_Comma_Potential Strategic Partners" xfId="145" xr:uid="{00000000-0005-0000-0000-0000DC000000}"/>
    <cellStyle name="_Comma_Potential Strategic Partners 2" xfId="1474" xr:uid="{00000000-0005-0000-0000-0000DD000000}"/>
    <cellStyle name="_Comma_QVC LBO Model 2-12-03 v3" xfId="146" xr:uid="{00000000-0005-0000-0000-0000DE000000}"/>
    <cellStyle name="_Comma_QVC LBO Model 2-12-03 v3 2" xfId="1475" xr:uid="{00000000-0005-0000-0000-0000DF000000}"/>
    <cellStyle name="_Comma_RJB Long LBO LTM" xfId="147" xr:uid="{00000000-0005-0000-0000-0000E0000000}"/>
    <cellStyle name="_Comma_Summary Valuation Analysis" xfId="148" xr:uid="{00000000-0005-0000-0000-0000E1000000}"/>
    <cellStyle name="_Comma_Summary Valuation Analysis 2" xfId="1476" xr:uid="{00000000-0005-0000-0000-0000E2000000}"/>
    <cellStyle name="_Comma_Synergies" xfId="149" xr:uid="{00000000-0005-0000-0000-0000E3000000}"/>
    <cellStyle name="_Comma_Synergies 2" xfId="1477" xr:uid="{00000000-0005-0000-0000-0000E4000000}"/>
    <cellStyle name="_Comma_Troon Financials 8-1-02" xfId="150" xr:uid="{00000000-0005-0000-0000-0000E5000000}"/>
    <cellStyle name="_Comma_Troon Financials 8-1-02 2" xfId="1478" xr:uid="{00000000-0005-0000-0000-0000E6000000}"/>
    <cellStyle name="_Comma_Troon_EBITDA" xfId="151" xr:uid="{00000000-0005-0000-0000-0000E7000000}"/>
    <cellStyle name="_Comma_Troon_EBITDA 2" xfId="1479" xr:uid="{00000000-0005-0000-0000-0000E8000000}"/>
    <cellStyle name="_Comma_Valuation Overview - June 2001" xfId="152" xr:uid="{00000000-0005-0000-0000-0000E9000000}"/>
    <cellStyle name="_Comma_Valuation Overview - June 2001 2" xfId="1480" xr:uid="{00000000-0005-0000-0000-0000EA000000}"/>
    <cellStyle name="_Comma_Valuation_Troon dpak 8-5-02 v3" xfId="153" xr:uid="{00000000-0005-0000-0000-0000EB000000}"/>
    <cellStyle name="_Comma_Valuation_Troon dpak 8-5-02 v3 2" xfId="1481" xr:uid="{00000000-0005-0000-0000-0000EC000000}"/>
    <cellStyle name="_Comma[0]" xfId="104" xr:uid="{00000000-0005-0000-0000-00008C000000}"/>
    <cellStyle name="_Comma[0]_BCE Model 1-8-07" xfId="105" xr:uid="{00000000-0005-0000-0000-00008D000000}"/>
    <cellStyle name="_Currency" xfId="154" xr:uid="{00000000-0005-0000-0000-0000ED000000}"/>
    <cellStyle name="_Currency 2" xfId="1482" xr:uid="{00000000-0005-0000-0000-0000EE000000}"/>
    <cellStyle name="_Currency_01 Fig Tech CSC 1Q03" xfId="157" xr:uid="{00000000-0005-0000-0000-0000F1000000}"/>
    <cellStyle name="_Currency_01 Fig Tech CSC 1Q03 2" xfId="1483" xr:uid="{00000000-0005-0000-0000-0000F2000000}"/>
    <cellStyle name="_Currency_01 Financial Model" xfId="158" xr:uid="{00000000-0005-0000-0000-0000F3000000}"/>
    <cellStyle name="_Currency_01 Financial Model 2" xfId="1484" xr:uid="{00000000-0005-0000-0000-0000F4000000}"/>
    <cellStyle name="_Currency_01 Template without numbers sent out" xfId="159" xr:uid="{00000000-0005-0000-0000-0000F5000000}"/>
    <cellStyle name="_Currency_01 Template without numbers sent out 2" xfId="1485" xr:uid="{00000000-0005-0000-0000-0000F6000000}"/>
    <cellStyle name="_Currency_02 Financials" xfId="160" xr:uid="{00000000-0005-0000-0000-0000F7000000}"/>
    <cellStyle name="_Currency_02 Financials_BCE Model 1-8-07" xfId="161" xr:uid="{00000000-0005-0000-0000-0000F8000000}"/>
    <cellStyle name="_Currency_02 Potential Partner Ability to Pay Analysis2" xfId="162" xr:uid="{00000000-0005-0000-0000-0000F9000000}"/>
    <cellStyle name="_Currency_02 Potential Partner Ability to Pay Analysis2 2" xfId="1486" xr:uid="{00000000-0005-0000-0000-0000FA000000}"/>
    <cellStyle name="_Currency_02 Quick Model_PQ Corporation" xfId="163" xr:uid="{00000000-0005-0000-0000-0000FB000000}"/>
    <cellStyle name="_Currency_02 Quick Model_PQ Corporation 2" xfId="1487" xr:uid="{00000000-0005-0000-0000-0000FC000000}"/>
    <cellStyle name="_Currency_04 Financials" xfId="164" xr:uid="{00000000-0005-0000-0000-0000FD000000}"/>
    <cellStyle name="_Currency_04 Financials_BCE Model 1-8-07" xfId="165" xr:uid="{00000000-0005-0000-0000-0000FE000000}"/>
    <cellStyle name="_Currency_101306 CanWest Excel BAck up v14" xfId="166" xr:uid="{00000000-0005-0000-0000-0000FF000000}"/>
    <cellStyle name="_Currency_101306 CanWest Excel BAck up v14_BCE LBO Analysis (02_4_07) MASTER V6" xfId="167" xr:uid="{00000000-0005-0000-0000-000000010000}"/>
    <cellStyle name="_Currency_101306 CanWest Excel BAck up v14_Bison LBO Analysis_Sponsors_03.06.07_to Citi" xfId="168" xr:uid="{00000000-0005-0000-0000-000001010000}"/>
    <cellStyle name="_Currency_101306 CanWest Excel BAck up v14_Bison LBO Analysis_Sponsors_TO CITI FOR FORMAT (2)" xfId="169" xr:uid="{00000000-0005-0000-0000-000002010000}"/>
    <cellStyle name="_Currency_101306 CanWest Excel BAck up v14_Bison LBO Analysis_Sponsors_TO CITI FOR FORMAT (2)_1" xfId="170" xr:uid="{00000000-0005-0000-0000-000003010000}"/>
    <cellStyle name="_Currency_12 Merger Plans" xfId="171" xr:uid="{00000000-0005-0000-0000-000004010000}"/>
    <cellStyle name="_Currency_12 Merger Plans 2" xfId="1488" xr:uid="{00000000-0005-0000-0000-000005010000}"/>
    <cellStyle name="_Currency_20020403 Regional Data 04" xfId="172" xr:uid="{00000000-0005-0000-0000-000006010000}"/>
    <cellStyle name="_Currency_20020403 Regional Data 04 2" xfId="1489" xr:uid="{00000000-0005-0000-0000-000007010000}"/>
    <cellStyle name="_Currency_20020403 Regional Data 04 Final" xfId="173" xr:uid="{00000000-0005-0000-0000-000008010000}"/>
    <cellStyle name="_Currency_20020403 Regional Data 04 Final 2" xfId="1490" xr:uid="{00000000-0005-0000-0000-000009010000}"/>
    <cellStyle name="_Currency_20020403 Template for Exchange - Regional Data 01" xfId="174" xr:uid="{00000000-0005-0000-0000-00000A010000}"/>
    <cellStyle name="_Currency_20020403 Template for Exchange - Regional Data 01 2" xfId="1491" xr:uid="{00000000-0005-0000-0000-00000B010000}"/>
    <cellStyle name="_Currency_20020404 Capex 02 All" xfId="175" xr:uid="{00000000-0005-0000-0000-00000C010000}"/>
    <cellStyle name="_Currency_20020404 Capex 02 All 2" xfId="1492" xr:uid="{00000000-0005-0000-0000-00000D010000}"/>
    <cellStyle name="_Currency_accretion dilution analysis" xfId="176" xr:uid="{00000000-0005-0000-0000-00000E010000}"/>
    <cellStyle name="_Currency_accretion dilution analysis 2" xfId="1493" xr:uid="{00000000-0005-0000-0000-00000F010000}"/>
    <cellStyle name="_Currency_Accretion-(Dilution) Pearl" xfId="177" xr:uid="{00000000-0005-0000-0000-000010010000}"/>
    <cellStyle name="_Currency_Accretion-(Dilution) Pearl 2" xfId="1494" xr:uid="{00000000-0005-0000-0000-000011010000}"/>
    <cellStyle name="_Currency_Acquisition Ops 3" xfId="178" xr:uid="{00000000-0005-0000-0000-000012010000}"/>
    <cellStyle name="_Currency_Acquisition Ops 3 2" xfId="1495" xr:uid="{00000000-0005-0000-0000-000013010000}"/>
    <cellStyle name="_Currency_Alamosa Merger" xfId="179" xr:uid="{00000000-0005-0000-0000-000014010000}"/>
    <cellStyle name="_Currency_Alamosa Standalone6" xfId="180" xr:uid="{00000000-0005-0000-0000-000015010000}"/>
    <cellStyle name="_Currency_Alamosa Standalone8b" xfId="181" xr:uid="{00000000-0005-0000-0000-000016010000}"/>
    <cellStyle name="_Currency_AVP" xfId="182" xr:uid="{00000000-0005-0000-0000-000017010000}"/>
    <cellStyle name="_Currency_AVP - prev. 06 financials" xfId="183" xr:uid="{00000000-0005-0000-0000-000018010000}"/>
    <cellStyle name="_Currency_AVP - prev. 06 financials_BCE Model 1-8-07" xfId="184" xr:uid="{00000000-0005-0000-0000-000019010000}"/>
    <cellStyle name="_Currency_AVP 2" xfId="1496" xr:uid="{00000000-0005-0000-0000-00001A010000}"/>
    <cellStyle name="_Currency_AVP 3" xfId="1938" xr:uid="{00000000-0005-0000-0000-00001B010000}"/>
    <cellStyle name="_Currency_avp_Palm Model 10_05" xfId="185" xr:uid="{00000000-0005-0000-0000-00001C010000}"/>
    <cellStyle name="_Currency_avp_Palm Model 10_05 2" xfId="1497" xr:uid="{00000000-0005-0000-0000-00001D010000}"/>
    <cellStyle name="_Currency_bank_csc_Q2_2001_c1" xfId="186" xr:uid="{00000000-0005-0000-0000-00001E010000}"/>
    <cellStyle name="_Currency_bank_csc_Q2_2001_c1 2" xfId="1498" xr:uid="{00000000-0005-0000-0000-00001F010000}"/>
    <cellStyle name="_Currency_BCE Model 1-8-07" xfId="187" xr:uid="{00000000-0005-0000-0000-000020010000}"/>
    <cellStyle name="_Currency_BCE Model 1-8-07 2" xfId="1499" xr:uid="{00000000-0005-0000-0000-000021010000}"/>
    <cellStyle name="_Currency_Book1" xfId="188" xr:uid="{00000000-0005-0000-0000-000022010000}"/>
    <cellStyle name="_Currency_Book1 2" xfId="1500" xr:uid="{00000000-0005-0000-0000-000023010000}"/>
    <cellStyle name="_Currency_Book2" xfId="189" xr:uid="{00000000-0005-0000-0000-000024010000}"/>
    <cellStyle name="_Currency_Book2 2" xfId="1501" xr:uid="{00000000-0005-0000-0000-000025010000}"/>
    <cellStyle name="_Currency_Buyer List" xfId="190" xr:uid="{00000000-0005-0000-0000-000026010000}"/>
    <cellStyle name="_Currency_Buyer List_BCE Model 1-8-07" xfId="191" xr:uid="{00000000-0005-0000-0000-000027010000}"/>
    <cellStyle name="_Currency_buyer_analysis" xfId="192" xr:uid="{00000000-0005-0000-0000-000028010000}"/>
    <cellStyle name="_Currency_buyer_analysis 2" xfId="1502" xr:uid="{00000000-0005-0000-0000-000029010000}"/>
    <cellStyle name="_Currency_Check of Synergy DCFs 11-01-04_v5" xfId="193" xr:uid="{00000000-0005-0000-0000-00002A010000}"/>
    <cellStyle name="_Currency_Check of Synergy DCFs 11-01-04_v5 2" xfId="1503" xr:uid="{00000000-0005-0000-0000-00002B010000}"/>
    <cellStyle name="_Currency_CKFR Model 11-30-06" xfId="194" xr:uid="{00000000-0005-0000-0000-00002C010000}"/>
    <cellStyle name="_Currency_CKFR Model 11-30-06 2" xfId="1504" xr:uid="{00000000-0005-0000-0000-00002D010000}"/>
    <cellStyle name="_Currency_com_ic_universe_6" xfId="195" xr:uid="{00000000-0005-0000-0000-00002E010000}"/>
    <cellStyle name="_Currency_com_ic_universe_6 2" xfId="1505" xr:uid="{00000000-0005-0000-0000-00002F010000}"/>
    <cellStyle name="_Currency_Combo RW 125" xfId="196" xr:uid="{00000000-0005-0000-0000-000030010000}"/>
    <cellStyle name="_Currency_Comparative Balance Sheets" xfId="197" xr:uid="{00000000-0005-0000-0000-000031010000}"/>
    <cellStyle name="_Currency_Comparative Balance Sheets 2" xfId="1506" xr:uid="{00000000-0005-0000-0000-000032010000}"/>
    <cellStyle name="_Currency_CSC Update_Status of Companies_11_19" xfId="198" xr:uid="{00000000-0005-0000-0000-000033010000}"/>
    <cellStyle name="_Currency_CSC Update_Status of Companies_11_19 2" xfId="1507" xr:uid="{00000000-0005-0000-0000-000034010000}"/>
    <cellStyle name="_Currency_CSC with WACC" xfId="199" xr:uid="{00000000-0005-0000-0000-000035010000}"/>
    <cellStyle name="_Currency_CSC with WACC 2" xfId="1508" xr:uid="{00000000-0005-0000-0000-000036010000}"/>
    <cellStyle name="_Currency_CSC_Palm_Sum_of_Parts_4_20_01" xfId="200" xr:uid="{00000000-0005-0000-0000-000037010000}"/>
    <cellStyle name="_Currency_CSC_Palm_Sum_of_Parts_4_20_01_BCE Model 1-8-07" xfId="201" xr:uid="{00000000-0005-0000-0000-000038010000}"/>
    <cellStyle name="_Currency_CSC_Palm_Sum_of_Parts_5_23_01a" xfId="202" xr:uid="{00000000-0005-0000-0000-000039010000}"/>
    <cellStyle name="_Currency_CSC_Palm_Sum_of_Parts_5_23_01a_BCE Model 1-8-07" xfId="203" xr:uid="{00000000-0005-0000-0000-00003A010000}"/>
    <cellStyle name="_Currency_Dave Model Final v 1" xfId="204" xr:uid="{00000000-0005-0000-0000-00003B010000}"/>
    <cellStyle name="_Currency_Dave Model Final v 1 2" xfId="1509" xr:uid="{00000000-0005-0000-0000-00003C010000}"/>
    <cellStyle name="_Currency_DCF Analysis" xfId="205" xr:uid="{00000000-0005-0000-0000-00003D010000}"/>
    <cellStyle name="_Currency_DCF Analysis 2" xfId="1510" xr:uid="{00000000-0005-0000-0000-00003E010000}"/>
    <cellStyle name="_Currency_DIS Go Private Analysis v23" xfId="206" xr:uid="{00000000-0005-0000-0000-00003F010000}"/>
    <cellStyle name="_Currency_DIS Go Private Analysis v23 2" xfId="1511" xr:uid="{00000000-0005-0000-0000-000040010000}"/>
    <cellStyle name="_Currency_Eagle Ridge Cash Flow 01-10-02_GS" xfId="207" xr:uid="{00000000-0005-0000-0000-000041010000}"/>
    <cellStyle name="_Currency_Eagle Ridge Cash Flow 01-10-02_GS 2" xfId="1512" xr:uid="{00000000-0005-0000-0000-000042010000}"/>
    <cellStyle name="_Currency_Eutelsat and Capex Analysis" xfId="208" xr:uid="{00000000-0005-0000-0000-000043010000}"/>
    <cellStyle name="_Currency_Eutelsat and Capex Analysis 2" xfId="1513" xr:uid="{00000000-0005-0000-0000-000044010000}"/>
    <cellStyle name="_Currency_Excel Inserts_v4" xfId="209" xr:uid="{00000000-0005-0000-0000-000045010000}"/>
    <cellStyle name="_Currency_Excel Inserts_v4 2" xfId="1514" xr:uid="{00000000-0005-0000-0000-000046010000}"/>
    <cellStyle name="_Currency_Final Canadian Bank Comp (sent to IBD)FORM" xfId="210" xr:uid="{00000000-0005-0000-0000-000047010000}"/>
    <cellStyle name="_Currency_Final Canadian Bank Comp (sent to IBD)FORM 2" xfId="1515" xr:uid="{00000000-0005-0000-0000-000048010000}"/>
    <cellStyle name="_Currency_Football Field" xfId="211" xr:uid="{00000000-0005-0000-0000-000049010000}"/>
    <cellStyle name="_Currency_Football Field 2" xfId="1516" xr:uid="{00000000-0005-0000-0000-00004A010000}"/>
    <cellStyle name="_Currency_GQ" xfId="212" xr:uid="{00000000-0005-0000-0000-00004B010000}"/>
    <cellStyle name="_Currency_GQ 2" xfId="1517" xr:uid="{00000000-0005-0000-0000-00004C010000}"/>
    <cellStyle name="_Currency_GS Model" xfId="213" xr:uid="{00000000-0005-0000-0000-00004D010000}"/>
    <cellStyle name="_Currency_GS Model 2" xfId="1518" xr:uid="{00000000-0005-0000-0000-00004E010000}"/>
    <cellStyle name="_Currency_IBES_EPS_Estimates" xfId="214" xr:uid="{00000000-0005-0000-0000-00004F010000}"/>
    <cellStyle name="_Currency_IBES_EPS_Estimates 2" xfId="1519" xr:uid="{00000000-0005-0000-0000-000050010000}"/>
    <cellStyle name="_Currency_Master_Telecom_Equipment_CSCb" xfId="215" xr:uid="{00000000-0005-0000-0000-000051010000}"/>
    <cellStyle name="_Currency_Master_Telecom_Equipment_CSCb 2" xfId="1520" xr:uid="{00000000-0005-0000-0000-000052010000}"/>
    <cellStyle name="_Currency_Merger Model - Exec" xfId="216" xr:uid="{00000000-0005-0000-0000-000053010000}"/>
    <cellStyle name="_Currency_Merger Model - Exec 2" xfId="1521" xr:uid="{00000000-0005-0000-0000-000054010000}"/>
    <cellStyle name="_Currency_merger plans" xfId="217" xr:uid="{00000000-0005-0000-0000-000055010000}"/>
    <cellStyle name="_Currency_merger plans 2" xfId="1522" xr:uid="{00000000-0005-0000-0000-000056010000}"/>
    <cellStyle name="_Currency_monet2.4_temp" xfId="218" xr:uid="{00000000-0005-0000-0000-000057010000}"/>
    <cellStyle name="_Currency_monet2.4_temp 2" xfId="1523" xr:uid="{00000000-0005-0000-0000-000058010000}"/>
    <cellStyle name="_Currency_monet2.8" xfId="219" xr:uid="{00000000-0005-0000-0000-000059010000}"/>
    <cellStyle name="_Currency_monet2.8 2" xfId="1524" xr:uid="{00000000-0005-0000-0000-00005A010000}"/>
    <cellStyle name="_Currency_MotLion Projections may" xfId="220" xr:uid="{00000000-0005-0000-0000-00005B010000}"/>
    <cellStyle name="_Currency_MotLion Projections may 2" xfId="1525" xr:uid="{00000000-0005-0000-0000-00005C010000}"/>
    <cellStyle name="_Currency_Old Life CSC" xfId="221" xr:uid="{00000000-0005-0000-0000-00005D010000}"/>
    <cellStyle name="_Currency_Old Life CSC 2" xfId="1526" xr:uid="{00000000-0005-0000-0000-00005E010000}"/>
    <cellStyle name="_Currency_pace_merger plans" xfId="222" xr:uid="{00000000-0005-0000-0000-00005F010000}"/>
    <cellStyle name="_Currency_pace_merger plans 2" xfId="1527" xr:uid="{00000000-0005-0000-0000-000060010000}"/>
    <cellStyle name="_Currency_Palm Model 10_05" xfId="223" xr:uid="{00000000-0005-0000-0000-000061010000}"/>
    <cellStyle name="_Currency_Palm Model 10_05 2" xfId="1528" xr:uid="{00000000-0005-0000-0000-000062010000}"/>
    <cellStyle name="_Currency_pdf file" xfId="224" xr:uid="{00000000-0005-0000-0000-000063010000}"/>
    <cellStyle name="_Currency_pdf file 2" xfId="1529" xr:uid="{00000000-0005-0000-0000-000064010000}"/>
    <cellStyle name="_Currency_PNC_PF_2Q_update" xfId="225" xr:uid="{00000000-0005-0000-0000-000065010000}"/>
    <cellStyle name="_Currency_PNC_PF_2Q_update 2" xfId="1530" xr:uid="{00000000-0005-0000-0000-000066010000}"/>
    <cellStyle name="_Currency_Potential Strategic Partners" xfId="226" xr:uid="{00000000-0005-0000-0000-000067010000}"/>
    <cellStyle name="_Currency_Potential Strategic Partners 2" xfId="1531" xr:uid="{00000000-0005-0000-0000-000068010000}"/>
    <cellStyle name="_Currency_QVC LBO Model 2-12-03 v3" xfId="227" xr:uid="{00000000-0005-0000-0000-000069010000}"/>
    <cellStyle name="_Currency_QVC LBO Model 2-12-03 v3 2" xfId="1532" xr:uid="{00000000-0005-0000-0000-00006A010000}"/>
    <cellStyle name="_Currency_RJB Long LBO LTM" xfId="228" xr:uid="{00000000-0005-0000-0000-00006B010000}"/>
    <cellStyle name="_Currency_Roberts Standalone14 Quarterly 2" xfId="229" xr:uid="{00000000-0005-0000-0000-00006C010000}"/>
    <cellStyle name="_Currency_Sheet1" xfId="230" xr:uid="{00000000-0005-0000-0000-00006D010000}"/>
    <cellStyle name="_Currency_Sheet1_BCE LBO Analysis (02_4_07) MASTER V6" xfId="231" xr:uid="{00000000-0005-0000-0000-00006E010000}"/>
    <cellStyle name="_Currency_Sheet1_BCE Model 1-8-07" xfId="232" xr:uid="{00000000-0005-0000-0000-00006F010000}"/>
    <cellStyle name="_Currency_Sheet1_BCE Model 1-8-07 2" xfId="1533" xr:uid="{00000000-0005-0000-0000-000070010000}"/>
    <cellStyle name="_Currency_Sheet1_Bison LBO Analysis_Sponsors_03.06.07_to Citi" xfId="233" xr:uid="{00000000-0005-0000-0000-000071010000}"/>
    <cellStyle name="_Currency_Sheet1_Bison LBO Analysis_Sponsors_TO CITI FOR FORMAT (2)" xfId="234" xr:uid="{00000000-0005-0000-0000-000072010000}"/>
    <cellStyle name="_Currency_Sheet1_Bison LBO Analysis_Sponsors_TO CITI FOR FORMAT (2)_1" xfId="235" xr:uid="{00000000-0005-0000-0000-000073010000}"/>
    <cellStyle name="_Currency_Summary Sheets2" xfId="236" xr:uid="{00000000-0005-0000-0000-000074010000}"/>
    <cellStyle name="_Currency_Summary Valuation Analysis" xfId="237" xr:uid="{00000000-0005-0000-0000-000075010000}"/>
    <cellStyle name="_Currency_Summary Valuation Analysis 2" xfId="1534" xr:uid="{00000000-0005-0000-0000-000076010000}"/>
    <cellStyle name="_Currency_Synergies" xfId="238" xr:uid="{00000000-0005-0000-0000-000077010000}"/>
    <cellStyle name="_Currency_Synergies 2" xfId="1535" xr:uid="{00000000-0005-0000-0000-000078010000}"/>
    <cellStyle name="_Currency_Troon Financials 8-1-02" xfId="239" xr:uid="{00000000-0005-0000-0000-000079010000}"/>
    <cellStyle name="_Currency_Troon Financials 8-1-02 2" xfId="1536" xr:uid="{00000000-0005-0000-0000-00007A010000}"/>
    <cellStyle name="_Currency_Troon_EBITDA" xfId="240" xr:uid="{00000000-0005-0000-0000-00007B010000}"/>
    <cellStyle name="_Currency_Troon_EBITDA 2" xfId="1537" xr:uid="{00000000-0005-0000-0000-00007C010000}"/>
    <cellStyle name="_Currency_Valuation Overview - June 2001" xfId="241" xr:uid="{00000000-0005-0000-0000-00007D010000}"/>
    <cellStyle name="_Currency_Valuation Overview - June 2001 2" xfId="1538" xr:uid="{00000000-0005-0000-0000-00007E010000}"/>
    <cellStyle name="_Currency_Valuation_Troon dpak 8-5-02 v3" xfId="242" xr:uid="{00000000-0005-0000-0000-00007F010000}"/>
    <cellStyle name="_Currency_Valuation_Troon dpak 8-5-02 v3 2" xfId="1539" xr:uid="{00000000-0005-0000-0000-000080010000}"/>
    <cellStyle name="_Currency_VIA_Evans NOL Analysis" xfId="243" xr:uid="{00000000-0005-0000-0000-000081010000}"/>
    <cellStyle name="_Currency_WOW Standalone Quarterly 2" xfId="244" xr:uid="{00000000-0005-0000-0000-000082010000}"/>
    <cellStyle name="_Currency_xratio - historical mkt val" xfId="245" xr:uid="{00000000-0005-0000-0000-000083010000}"/>
    <cellStyle name="_Currency_xratio - historical mkt val 2" xfId="1540" xr:uid="{00000000-0005-0000-0000-000084010000}"/>
    <cellStyle name="_Currency(GBP)" xfId="155" xr:uid="{00000000-0005-0000-0000-0000EF000000}"/>
    <cellStyle name="_Currency(GBP)_BCE Model 1-8-07" xfId="156" xr:uid="{00000000-0005-0000-0000-0000F0000000}"/>
    <cellStyle name="_CurrencySpace" xfId="246" xr:uid="{00000000-0005-0000-0000-000085010000}"/>
    <cellStyle name="_CurrencySpace 2" xfId="1541" xr:uid="{00000000-0005-0000-0000-000086010000}"/>
    <cellStyle name="_CurrencySpace_01 Fig Tech CSC 1Q03" xfId="247" xr:uid="{00000000-0005-0000-0000-000087010000}"/>
    <cellStyle name="_CurrencySpace_01 Fig Tech CSC 1Q03 2" xfId="1542" xr:uid="{00000000-0005-0000-0000-000088010000}"/>
    <cellStyle name="_CurrencySpace_01 Financial Model" xfId="248" xr:uid="{00000000-0005-0000-0000-000089010000}"/>
    <cellStyle name="_CurrencySpace_01 Financial Model 2" xfId="1543" xr:uid="{00000000-0005-0000-0000-00008A010000}"/>
    <cellStyle name="_CurrencySpace_01 Template without numbers sent out" xfId="249" xr:uid="{00000000-0005-0000-0000-00008B010000}"/>
    <cellStyle name="_CurrencySpace_01 Template without numbers sent out 2" xfId="1544" xr:uid="{00000000-0005-0000-0000-00008C010000}"/>
    <cellStyle name="_CurrencySpace_02 Financials" xfId="250" xr:uid="{00000000-0005-0000-0000-00008D010000}"/>
    <cellStyle name="_CurrencySpace_02 Financials_BCE Model 1-8-07" xfId="251" xr:uid="{00000000-0005-0000-0000-00008E010000}"/>
    <cellStyle name="_CurrencySpace_02 Potential Partner Ability to Pay Analysis2" xfId="252" xr:uid="{00000000-0005-0000-0000-00008F010000}"/>
    <cellStyle name="_CurrencySpace_02 Potential Partner Ability to Pay Analysis2 2" xfId="1545" xr:uid="{00000000-0005-0000-0000-000090010000}"/>
    <cellStyle name="_CurrencySpace_02 Quick Model_PQ Corporation" xfId="253" xr:uid="{00000000-0005-0000-0000-000091010000}"/>
    <cellStyle name="_CurrencySpace_02 Quick Model_PQ Corporation 2" xfId="1546" xr:uid="{00000000-0005-0000-0000-000092010000}"/>
    <cellStyle name="_CurrencySpace_04 Financials" xfId="254" xr:uid="{00000000-0005-0000-0000-000093010000}"/>
    <cellStyle name="_CurrencySpace_04 Financials_BCE Model 1-8-07" xfId="255" xr:uid="{00000000-0005-0000-0000-000094010000}"/>
    <cellStyle name="_CurrencySpace_101306 CanWest Excel BAck up v14" xfId="256" xr:uid="{00000000-0005-0000-0000-000095010000}"/>
    <cellStyle name="_CurrencySpace_101306 CanWest Excel BAck up v14 2" xfId="1547" xr:uid="{00000000-0005-0000-0000-000096010000}"/>
    <cellStyle name="_CurrencySpace_12 Merger Plans" xfId="257" xr:uid="{00000000-0005-0000-0000-000097010000}"/>
    <cellStyle name="_CurrencySpace_12 Merger Plans 2" xfId="1548" xr:uid="{00000000-0005-0000-0000-000098010000}"/>
    <cellStyle name="_CurrencySpace_20020326Viper Numbers sent out" xfId="258" xr:uid="{00000000-0005-0000-0000-000099010000}"/>
    <cellStyle name="_CurrencySpace_20020326Viper Numbers sent out 2" xfId="1549" xr:uid="{00000000-0005-0000-0000-00009A010000}"/>
    <cellStyle name="_CurrencySpace_20020403 Regional Data 04" xfId="259" xr:uid="{00000000-0005-0000-0000-00009B010000}"/>
    <cellStyle name="_CurrencySpace_20020403 Regional Data 04 2" xfId="1550" xr:uid="{00000000-0005-0000-0000-00009C010000}"/>
    <cellStyle name="_CurrencySpace_20020403 Regional Data 04 Final" xfId="260" xr:uid="{00000000-0005-0000-0000-00009D010000}"/>
    <cellStyle name="_CurrencySpace_20020403 Regional Data 04 Final 2" xfId="1551" xr:uid="{00000000-0005-0000-0000-00009E010000}"/>
    <cellStyle name="_CurrencySpace_20020403 Template for Exchange - Regional Data 01" xfId="261" xr:uid="{00000000-0005-0000-0000-00009F010000}"/>
    <cellStyle name="_CurrencySpace_20020403 Template for Exchange - Regional Data 01 2" xfId="1552" xr:uid="{00000000-0005-0000-0000-0000A0010000}"/>
    <cellStyle name="_CurrencySpace_20020404 Capex 02 All" xfId="262" xr:uid="{00000000-0005-0000-0000-0000A1010000}"/>
    <cellStyle name="_CurrencySpace_20020404 Capex 02 All 2" xfId="1553" xr:uid="{00000000-0005-0000-0000-0000A2010000}"/>
    <cellStyle name="_CurrencySpace_20020405 Final Company Model" xfId="263" xr:uid="{00000000-0005-0000-0000-0000A3010000}"/>
    <cellStyle name="_CurrencySpace_20020405 Final Company Model 2" xfId="1554" xr:uid="{00000000-0005-0000-0000-0000A4010000}"/>
    <cellStyle name="_CurrencySpace_accretion dilution analysis" xfId="264" xr:uid="{00000000-0005-0000-0000-0000A5010000}"/>
    <cellStyle name="_CurrencySpace_accretion dilution analysis 2" xfId="1555" xr:uid="{00000000-0005-0000-0000-0000A6010000}"/>
    <cellStyle name="_CurrencySpace_Accretion-(Dilution) Pearl" xfId="265" xr:uid="{00000000-0005-0000-0000-0000A7010000}"/>
    <cellStyle name="_CurrencySpace_Accretion-(Dilution) Pearl 2" xfId="1556" xr:uid="{00000000-0005-0000-0000-0000A8010000}"/>
    <cellStyle name="_CurrencySpace_Acquisition Ops 3" xfId="266" xr:uid="{00000000-0005-0000-0000-0000A9010000}"/>
    <cellStyle name="_CurrencySpace_Acquisition Ops 3 2" xfId="1557" xr:uid="{00000000-0005-0000-0000-0000AA010000}"/>
    <cellStyle name="_CurrencySpace_April 2002 combined model - key factors only" xfId="267" xr:uid="{00000000-0005-0000-0000-0000AB010000}"/>
    <cellStyle name="_CurrencySpace_April 2002 combined model - key factors only (rec 5 apr)" xfId="268" xr:uid="{00000000-0005-0000-0000-0000AC010000}"/>
    <cellStyle name="_CurrencySpace_April 2002 combined model - key factors only (rec 5 apr) 2" xfId="1559" xr:uid="{00000000-0005-0000-0000-0000AD010000}"/>
    <cellStyle name="_CurrencySpace_April 2002 combined model - key factors only 2" xfId="1558" xr:uid="{00000000-0005-0000-0000-0000AE010000}"/>
    <cellStyle name="_CurrencySpace_April 2002 combined model - key factors only 3" xfId="1895" xr:uid="{00000000-0005-0000-0000-0000AF010000}"/>
    <cellStyle name="_CurrencySpace_AVP" xfId="269" xr:uid="{00000000-0005-0000-0000-0000B0010000}"/>
    <cellStyle name="_CurrencySpace_AVP 2" xfId="1560" xr:uid="{00000000-0005-0000-0000-0000B1010000}"/>
    <cellStyle name="_CurrencySpace_avp_Palm Model 10_05" xfId="270" xr:uid="{00000000-0005-0000-0000-0000B2010000}"/>
    <cellStyle name="_CurrencySpace_avp_Palm Model 10_05 2" xfId="1561" xr:uid="{00000000-0005-0000-0000-0000B3010000}"/>
    <cellStyle name="_CurrencySpace_BCE Model 1-8-07" xfId="271" xr:uid="{00000000-0005-0000-0000-0000B4010000}"/>
    <cellStyle name="_CurrencySpace_BCE Model 1-8-07 2" xfId="1562" xr:uid="{00000000-0005-0000-0000-0000B5010000}"/>
    <cellStyle name="_CurrencySpace_Book1" xfId="272" xr:uid="{00000000-0005-0000-0000-0000B6010000}"/>
    <cellStyle name="_CurrencySpace_Book1 2" xfId="1563" xr:uid="{00000000-0005-0000-0000-0000B7010000}"/>
    <cellStyle name="_CurrencySpace_Book1_Merger Plan 2-10-04 GSIBDv3" xfId="273" xr:uid="{00000000-0005-0000-0000-0000B8010000}"/>
    <cellStyle name="_CurrencySpace_Book1_Merger Plan 2-10-04 GSIBDv3 2" xfId="1564" xr:uid="{00000000-0005-0000-0000-0000B9010000}"/>
    <cellStyle name="_CurrencySpace_Book2" xfId="274" xr:uid="{00000000-0005-0000-0000-0000BA010000}"/>
    <cellStyle name="_CurrencySpace_Book2 2" xfId="1565" xr:uid="{00000000-0005-0000-0000-0000BB010000}"/>
    <cellStyle name="_CurrencySpace_buyer_analysis" xfId="275" xr:uid="{00000000-0005-0000-0000-0000BC010000}"/>
    <cellStyle name="_CurrencySpace_buyer_analysis 2" xfId="1566" xr:uid="{00000000-0005-0000-0000-0000BD010000}"/>
    <cellStyle name="_CurrencySpace_Check of Synergy DCFs 11-01-04_v5" xfId="276" xr:uid="{00000000-0005-0000-0000-0000BE010000}"/>
    <cellStyle name="_CurrencySpace_Check of Synergy DCFs 11-01-04_v5 2" xfId="1567" xr:uid="{00000000-0005-0000-0000-0000BF010000}"/>
    <cellStyle name="_CurrencySpace_CKFR Model 11-30-06" xfId="277" xr:uid="{00000000-0005-0000-0000-0000C0010000}"/>
    <cellStyle name="_CurrencySpace_CKFR Model 11-30-06 2" xfId="1568" xr:uid="{00000000-0005-0000-0000-0000C1010000}"/>
    <cellStyle name="_CurrencySpace_com_ic_universe_6" xfId="278" xr:uid="{00000000-0005-0000-0000-0000C2010000}"/>
    <cellStyle name="_CurrencySpace_com_ic_universe_6 2" xfId="1569" xr:uid="{00000000-0005-0000-0000-0000C3010000}"/>
    <cellStyle name="_CurrencySpace_Comparative Balance Sheets" xfId="279" xr:uid="{00000000-0005-0000-0000-0000C4010000}"/>
    <cellStyle name="_CurrencySpace_Comparative Balance Sheets 2" xfId="1570" xr:uid="{00000000-0005-0000-0000-0000C5010000}"/>
    <cellStyle name="_CurrencySpace_CSC Update_Status of Companies_11_19" xfId="280" xr:uid="{00000000-0005-0000-0000-0000C6010000}"/>
    <cellStyle name="_CurrencySpace_CSC Update_Status of Companies_11_19 2" xfId="1571" xr:uid="{00000000-0005-0000-0000-0000C7010000}"/>
    <cellStyle name="_CurrencySpace_CSC with WACC" xfId="281" xr:uid="{00000000-0005-0000-0000-0000C8010000}"/>
    <cellStyle name="_CurrencySpace_CSC with WACC 2" xfId="1572" xr:uid="{00000000-0005-0000-0000-0000C9010000}"/>
    <cellStyle name="_CurrencySpace_CSC_Palm_Sum_of_Parts_4_20_01" xfId="282" xr:uid="{00000000-0005-0000-0000-0000CA010000}"/>
    <cellStyle name="_CurrencySpace_CSC_Palm_Sum_of_Parts_5_23_01a" xfId="283" xr:uid="{00000000-0005-0000-0000-0000CB010000}"/>
    <cellStyle name="_CurrencySpace_Dave Model Final v 1" xfId="284" xr:uid="{00000000-0005-0000-0000-0000CC010000}"/>
    <cellStyle name="_CurrencySpace_Dave Model Final v 1 2" xfId="1573" xr:uid="{00000000-0005-0000-0000-0000CD010000}"/>
    <cellStyle name="_CurrencySpace_DCF Analysis" xfId="285" xr:uid="{00000000-0005-0000-0000-0000CE010000}"/>
    <cellStyle name="_CurrencySpace_DCF Analysis 2" xfId="1574" xr:uid="{00000000-0005-0000-0000-0000CF010000}"/>
    <cellStyle name="_CurrencySpace_DIS Go Private Analysis v23" xfId="286" xr:uid="{00000000-0005-0000-0000-0000D0010000}"/>
    <cellStyle name="_CurrencySpace_DIS Go Private Analysis v23 2" xfId="1575" xr:uid="{00000000-0005-0000-0000-0000D1010000}"/>
    <cellStyle name="_CurrencySpace_Eagle Ridge Cash Flow 01-10-02_GS" xfId="287" xr:uid="{00000000-0005-0000-0000-0000D2010000}"/>
    <cellStyle name="_CurrencySpace_Eagle Ridge Cash Flow 01-10-02_GS 2" xfId="1576" xr:uid="{00000000-0005-0000-0000-0000D3010000}"/>
    <cellStyle name="_CurrencySpace_Excel Inserts_v4" xfId="288" xr:uid="{00000000-0005-0000-0000-0000D4010000}"/>
    <cellStyle name="_CurrencySpace_Excel Inserts_v4 2" xfId="1577" xr:uid="{00000000-0005-0000-0000-0000D5010000}"/>
    <cellStyle name="_CurrencySpace_Final Canadian Bank Comp (sent to IBD)FORM" xfId="289" xr:uid="{00000000-0005-0000-0000-0000D6010000}"/>
    <cellStyle name="_CurrencySpace_Final Canadian Bank Comp (sent to IBD)FORM 2" xfId="1578" xr:uid="{00000000-0005-0000-0000-0000D7010000}"/>
    <cellStyle name="_CurrencySpace_Football Field" xfId="290" xr:uid="{00000000-0005-0000-0000-0000D8010000}"/>
    <cellStyle name="_CurrencySpace_Football Field 2" xfId="1579" xr:uid="{00000000-0005-0000-0000-0000D9010000}"/>
    <cellStyle name="_CurrencySpace_IBES_EPS_Estimates" xfId="291" xr:uid="{00000000-0005-0000-0000-0000DA010000}"/>
    <cellStyle name="_CurrencySpace_IBES_EPS_Estimates 2" xfId="1580" xr:uid="{00000000-0005-0000-0000-0000DB010000}"/>
    <cellStyle name="_CurrencySpace_Master_Telecom_Equipment_CSCb" xfId="292" xr:uid="{00000000-0005-0000-0000-0000DC010000}"/>
    <cellStyle name="_CurrencySpace_Master_Telecom_Equipment_CSCb 2" xfId="1581" xr:uid="{00000000-0005-0000-0000-0000DD010000}"/>
    <cellStyle name="_CurrencySpace_Merger Model - Exec" xfId="293" xr:uid="{00000000-0005-0000-0000-0000DE010000}"/>
    <cellStyle name="_CurrencySpace_Merger Model - Exec 2" xfId="1582" xr:uid="{00000000-0005-0000-0000-0000DF010000}"/>
    <cellStyle name="_CurrencySpace_merger plans" xfId="294" xr:uid="{00000000-0005-0000-0000-0000E0010000}"/>
    <cellStyle name="_CurrencySpace_merger plans 2" xfId="1583" xr:uid="{00000000-0005-0000-0000-0000E1010000}"/>
    <cellStyle name="_CurrencySpace_monet2.4" xfId="295" xr:uid="{00000000-0005-0000-0000-0000E2010000}"/>
    <cellStyle name="_CurrencySpace_monet2.4 2" xfId="1584" xr:uid="{00000000-0005-0000-0000-0000E3010000}"/>
    <cellStyle name="_CurrencySpace_monet2.4_temp" xfId="296" xr:uid="{00000000-0005-0000-0000-0000E4010000}"/>
    <cellStyle name="_CurrencySpace_monet2.4_temp 2" xfId="1585" xr:uid="{00000000-0005-0000-0000-0000E5010000}"/>
    <cellStyle name="_CurrencySpace_monet2.8" xfId="297" xr:uid="{00000000-0005-0000-0000-0000E6010000}"/>
    <cellStyle name="_CurrencySpace_monet2.8 2" xfId="1586" xr:uid="{00000000-0005-0000-0000-0000E7010000}"/>
    <cellStyle name="_CurrencySpace_MotLion Projections may" xfId="298" xr:uid="{00000000-0005-0000-0000-0000E8010000}"/>
    <cellStyle name="_CurrencySpace_MotLion Projections may 2" xfId="1587" xr:uid="{00000000-0005-0000-0000-0000E9010000}"/>
    <cellStyle name="_CurrencySpace_Old Life CSC" xfId="299" xr:uid="{00000000-0005-0000-0000-0000EA010000}"/>
    <cellStyle name="_CurrencySpace_Old Life CSC 2" xfId="1588" xr:uid="{00000000-0005-0000-0000-0000EB010000}"/>
    <cellStyle name="_CurrencySpace_pace_merger plans" xfId="300" xr:uid="{00000000-0005-0000-0000-0000EC010000}"/>
    <cellStyle name="_CurrencySpace_pace_merger plans 2" xfId="1589" xr:uid="{00000000-0005-0000-0000-0000ED010000}"/>
    <cellStyle name="_CurrencySpace_Palm Model 10_05" xfId="301" xr:uid="{00000000-0005-0000-0000-0000EE010000}"/>
    <cellStyle name="_CurrencySpace_Palm Model 10_05 2" xfId="1590" xr:uid="{00000000-0005-0000-0000-0000EF010000}"/>
    <cellStyle name="_CurrencySpace_pdf file" xfId="302" xr:uid="{00000000-0005-0000-0000-0000F0010000}"/>
    <cellStyle name="_CurrencySpace_pdf file 2" xfId="1591" xr:uid="{00000000-0005-0000-0000-0000F1010000}"/>
    <cellStyle name="_CurrencySpace_PNC_PF_2Q_update" xfId="303" xr:uid="{00000000-0005-0000-0000-0000F2010000}"/>
    <cellStyle name="_CurrencySpace_PNC_PF_2Q_update 2" xfId="1592" xr:uid="{00000000-0005-0000-0000-0000F3010000}"/>
    <cellStyle name="_CurrencySpace_Potential Strategic Partners" xfId="304" xr:uid="{00000000-0005-0000-0000-0000F4010000}"/>
    <cellStyle name="_CurrencySpace_Potential Strategic Partners 2" xfId="1593" xr:uid="{00000000-0005-0000-0000-0000F5010000}"/>
    <cellStyle name="_CurrencySpace_QVC LBO Model 2-12-03 v3" xfId="305" xr:uid="{00000000-0005-0000-0000-0000F6010000}"/>
    <cellStyle name="_CurrencySpace_QVC LBO Model 2-12-03 v3 2" xfId="1594" xr:uid="{00000000-0005-0000-0000-0000F7010000}"/>
    <cellStyle name="_CurrencySpace_RJB Long LBO LTM" xfId="306" xr:uid="{00000000-0005-0000-0000-0000F8010000}"/>
    <cellStyle name="_CurrencySpace_Stallion Analysis_a" xfId="307" xr:uid="{00000000-0005-0000-0000-0000F9010000}"/>
    <cellStyle name="_CurrencySpace_Stallion Analysis_a 2" xfId="1595" xr:uid="{00000000-0005-0000-0000-0000FA010000}"/>
    <cellStyle name="_CurrencySpace_Summary Valuation Analysis" xfId="308" xr:uid="{00000000-0005-0000-0000-0000FB010000}"/>
    <cellStyle name="_CurrencySpace_Summary Valuation Analysis 2" xfId="1596" xr:uid="{00000000-0005-0000-0000-0000FC010000}"/>
    <cellStyle name="_CurrencySpace_Synergies" xfId="309" xr:uid="{00000000-0005-0000-0000-0000FD010000}"/>
    <cellStyle name="_CurrencySpace_Synergies 2" xfId="1597" xr:uid="{00000000-0005-0000-0000-0000FE010000}"/>
    <cellStyle name="_CurrencySpace_Troon Financials 8-1-02" xfId="310" xr:uid="{00000000-0005-0000-0000-0000FF010000}"/>
    <cellStyle name="_CurrencySpace_Troon Financials 8-1-02 2" xfId="1598" xr:uid="{00000000-0005-0000-0000-000000020000}"/>
    <cellStyle name="_CurrencySpace_Troon_EBITDA" xfId="311" xr:uid="{00000000-0005-0000-0000-000001020000}"/>
    <cellStyle name="_CurrencySpace_Troon_EBITDA 2" xfId="1599" xr:uid="{00000000-0005-0000-0000-000002020000}"/>
    <cellStyle name="_CurrencySpace_Valuation Overview - June 2001" xfId="312" xr:uid="{00000000-0005-0000-0000-000003020000}"/>
    <cellStyle name="_CurrencySpace_Valuation Overview - June 2001 2" xfId="1600" xr:uid="{00000000-0005-0000-0000-000004020000}"/>
    <cellStyle name="_CurrencySpace_Valuation_Troon dpak 8-5-02 v3" xfId="313" xr:uid="{00000000-0005-0000-0000-000005020000}"/>
    <cellStyle name="_CurrencySpace_Valuation_Troon dpak 8-5-02 v3 2" xfId="1601" xr:uid="{00000000-0005-0000-0000-000006020000}"/>
    <cellStyle name="_date" xfId="314" xr:uid="{00000000-0005-0000-0000-000007020000}"/>
    <cellStyle name="_Dave Model Final v 1" xfId="315" xr:uid="{00000000-0005-0000-0000-000008020000}"/>
    <cellStyle name="_Dave Model Final v 1 2" xfId="1602" xr:uid="{00000000-0005-0000-0000-000009020000}"/>
    <cellStyle name="_DIS Go Private Analysis v23" xfId="316" xr:uid="{00000000-0005-0000-0000-00000A020000}"/>
    <cellStyle name="_DIS Go Private Analysis v23 2" xfId="1603" xr:uid="{00000000-0005-0000-0000-00000B020000}"/>
    <cellStyle name="_Dollar" xfId="317" xr:uid="{00000000-0005-0000-0000-00000C020000}"/>
    <cellStyle name="_Dollar 2" xfId="1604" xr:uid="{00000000-0005-0000-0000-00000D020000}"/>
    <cellStyle name="_Euro" xfId="318" xr:uid="{00000000-0005-0000-0000-00000E020000}"/>
    <cellStyle name="_Euro 2" xfId="1605" xr:uid="{00000000-0005-0000-0000-00000F020000}"/>
    <cellStyle name="_Euro_accretion dilution analysis" xfId="319" xr:uid="{00000000-0005-0000-0000-000010020000}"/>
    <cellStyle name="_Euro_accretion dilution analysis 2" xfId="1606" xr:uid="{00000000-0005-0000-0000-000011020000}"/>
    <cellStyle name="_Euro_CSC_Palm_Sum_of_Parts_5_23_01a" xfId="320" xr:uid="{00000000-0005-0000-0000-000012020000}"/>
    <cellStyle name="_Euro_Financials Layout dpak 9-26-01 v1" xfId="321" xr:uid="{00000000-0005-0000-0000-000013020000}"/>
    <cellStyle name="_Euro_IBES_EPS_Estimates" xfId="322" xr:uid="{00000000-0005-0000-0000-000014020000}"/>
    <cellStyle name="_Euro_IBES_EPS_Estimates 2" xfId="1607" xr:uid="{00000000-0005-0000-0000-000015020000}"/>
    <cellStyle name="_Euro_Palm Model 10_05" xfId="323" xr:uid="{00000000-0005-0000-0000-000016020000}"/>
    <cellStyle name="_Euro_Palm Model 10_05 2" xfId="1608" xr:uid="{00000000-0005-0000-0000-000017020000}"/>
    <cellStyle name="_Euro_Potential Strategic Partners" xfId="324" xr:uid="{00000000-0005-0000-0000-000018020000}"/>
    <cellStyle name="_Euro_Potential Strategic Partners 2" xfId="1609" xr:uid="{00000000-0005-0000-0000-000019020000}"/>
    <cellStyle name="_Euro_Simple Merger Plans" xfId="325" xr:uid="{00000000-0005-0000-0000-00001A020000}"/>
    <cellStyle name="_Euro_Simple Merger Plans 2" xfId="1610" xr:uid="{00000000-0005-0000-0000-00001B020000}"/>
    <cellStyle name="_Excel Inserts_v4" xfId="326" xr:uid="{00000000-0005-0000-0000-00001C020000}"/>
    <cellStyle name="_Excel Inserts_v4 2" xfId="1611" xr:uid="{00000000-0005-0000-0000-00001D020000}"/>
    <cellStyle name="_GBP" xfId="327" xr:uid="{00000000-0005-0000-0000-00001E020000}"/>
    <cellStyle name="_GBP 2" xfId="1612" xr:uid="{00000000-0005-0000-0000-00001F020000}"/>
    <cellStyle name="_GBP_BCE Model 1-8-07" xfId="328" xr:uid="{00000000-0005-0000-0000-000020020000}"/>
    <cellStyle name="_GBP_BCE Model 1-8-07 2" xfId="1613" xr:uid="{00000000-0005-0000-0000-000021020000}"/>
    <cellStyle name="_GBP_BCE Model 1-8-07_Bison LBO Analysis_Sponsor_02.07.07" xfId="329" xr:uid="{00000000-0005-0000-0000-000022020000}"/>
    <cellStyle name="_GBP_BCE Model 1-8-07_Bison LBO Analysis_Sponsor_02.07.07 2" xfId="1614" xr:uid="{00000000-0005-0000-0000-000023020000}"/>
    <cellStyle name="_GS Equity Research Driver Comparison" xfId="330" xr:uid="{00000000-0005-0000-0000-000024020000}"/>
    <cellStyle name="_GS Equity Research Driver Comparison 2" xfId="1615" xr:uid="{00000000-0005-0000-0000-000025020000}"/>
    <cellStyle name="_GS Model" xfId="331" xr:uid="{00000000-0005-0000-0000-000026020000}"/>
    <cellStyle name="_GS Model of VSTR" xfId="332" xr:uid="{00000000-0005-0000-0000-000027020000}"/>
    <cellStyle name="_GS Model of VSTR 2" xfId="1616" xr:uid="{00000000-0005-0000-0000-000028020000}"/>
    <cellStyle name="_Heading" xfId="333" xr:uid="{00000000-0005-0000-0000-000029020000}"/>
    <cellStyle name="_Heading_01 Selected Financials_Salt Business" xfId="334" xr:uid="{00000000-0005-0000-0000-00002A020000}"/>
    <cellStyle name="_Heading_01 Selected Financials_Salt Business 2" xfId="1617" xr:uid="{00000000-0005-0000-0000-00002B020000}"/>
    <cellStyle name="_Heading_02 Quick Model_PQ Corporation" xfId="335" xr:uid="{00000000-0005-0000-0000-00002C020000}"/>
    <cellStyle name="_Heading_02 Quick Model_PQ Corporation 2" xfId="1618" xr:uid="{00000000-0005-0000-0000-00002D020000}"/>
    <cellStyle name="_Heading_06 Analysis at Various Prices" xfId="336" xr:uid="{00000000-0005-0000-0000-00002E020000}"/>
    <cellStyle name="_Heading_06 Analysis at Various Prices 2" xfId="1619" xr:uid="{00000000-0005-0000-0000-00002F020000}"/>
    <cellStyle name="_Heading_Dave Model Final v 1" xfId="337" xr:uid="{00000000-0005-0000-0000-000030020000}"/>
    <cellStyle name="_Heading_Dave Model Final v 1 2" xfId="1620" xr:uid="{00000000-0005-0000-0000-000031020000}"/>
    <cellStyle name="_Heading_Final Canadian Bank Comp (sent to IBD)FORM" xfId="338" xr:uid="{00000000-0005-0000-0000-000032020000}"/>
    <cellStyle name="_Heading_Final Canadian Bank Comp (sent to IBD)FORM 2" xfId="1621" xr:uid="{00000000-0005-0000-0000-000033020000}"/>
    <cellStyle name="_Heading_lbo_long_model" xfId="339" xr:uid="{00000000-0005-0000-0000-000034020000}"/>
    <cellStyle name="_Heading_lbo_long_model 2" xfId="1622" xr:uid="{00000000-0005-0000-0000-000035020000}"/>
    <cellStyle name="_Heading_MAXF historical financials" xfId="340" xr:uid="{00000000-0005-0000-0000-000036020000}"/>
    <cellStyle name="_Heading_MAXF historical financials 2" xfId="1623" xr:uid="{00000000-0005-0000-0000-000037020000}"/>
    <cellStyle name="_Heading_PL Consolidated (2003)" xfId="341" xr:uid="{00000000-0005-0000-0000-000038020000}"/>
    <cellStyle name="_Heading_PL Consolidated (2003) 2" xfId="1624" xr:uid="{00000000-0005-0000-0000-000039020000}"/>
    <cellStyle name="_Heading_prestemp" xfId="342" xr:uid="{00000000-0005-0000-0000-00003A020000}"/>
    <cellStyle name="_Heading_prestemp 2" xfId="1625" xr:uid="{00000000-0005-0000-0000-00003B020000}"/>
    <cellStyle name="_Heading_Summary Financials 04" xfId="343" xr:uid="{00000000-0005-0000-0000-00003C020000}"/>
    <cellStyle name="_Headline" xfId="344" xr:uid="{00000000-0005-0000-0000-00003D020000}"/>
    <cellStyle name="_Highlight" xfId="345" xr:uid="{00000000-0005-0000-0000-00003E020000}"/>
    <cellStyle name="_Highlight 2" xfId="1626" xr:uid="{00000000-0005-0000-0000-00003F020000}"/>
    <cellStyle name="_Highlight_accretion dilution analysis" xfId="346" xr:uid="{00000000-0005-0000-0000-000040020000}"/>
    <cellStyle name="_Highlight_accretion dilution analysis 2" xfId="1627" xr:uid="{00000000-0005-0000-0000-000041020000}"/>
    <cellStyle name="_Highlight_Advance Summary 04" xfId="347" xr:uid="{00000000-0005-0000-0000-000042020000}"/>
    <cellStyle name="_Highlight_Advance Summary 04 2" xfId="1628" xr:uid="{00000000-0005-0000-0000-000043020000}"/>
    <cellStyle name="_Highlight_Assumptions" xfId="348" xr:uid="{00000000-0005-0000-0000-000044020000}"/>
    <cellStyle name="_Highlight_Assumptions 2" xfId="1629" xr:uid="{00000000-0005-0000-0000-000045020000}"/>
    <cellStyle name="_Highlight_CSC_Palm_Sum_of_Parts_5_23_01a" xfId="349" xr:uid="{00000000-0005-0000-0000-000046020000}"/>
    <cellStyle name="_Highlight_Data Dailies Strategic Plan-CT" xfId="350" xr:uid="{00000000-0005-0000-0000-000047020000}"/>
    <cellStyle name="_Highlight_Data Dailies Strategic Plan-CT 2" xfId="1630" xr:uid="{00000000-0005-0000-0000-000048020000}"/>
    <cellStyle name="_Highlight_Dave Model Final v 1" xfId="351" xr:uid="{00000000-0005-0000-0000-000049020000}"/>
    <cellStyle name="_Highlight_Dave Model Final v 1 2" xfId="1631" xr:uid="{00000000-0005-0000-0000-00004A020000}"/>
    <cellStyle name="_Highlight_Expenses_V6" xfId="352" xr:uid="{00000000-0005-0000-0000-00004B020000}"/>
    <cellStyle name="_Highlight_Expenses_V6 2" xfId="1632" xr:uid="{00000000-0005-0000-0000-00004C020000}"/>
    <cellStyle name="_Highlight_Final-Consolidated-Dave-10" xfId="353" xr:uid="{00000000-0005-0000-0000-00004D020000}"/>
    <cellStyle name="_Highlight_Final-Consolidated-Dave-10 2" xfId="1633" xr:uid="{00000000-0005-0000-0000-00004E020000}"/>
    <cellStyle name="_Highlight_Financials Layout dpak 9-26-01 v1" xfId="354" xr:uid="{00000000-0005-0000-0000-00004F020000}"/>
    <cellStyle name="_Highlight_GS Long Form Model3 7-23-02 TROON v34" xfId="355" xr:uid="{00000000-0005-0000-0000-000050020000}"/>
    <cellStyle name="_Highlight_Historical Financials" xfId="356" xr:uid="{00000000-0005-0000-0000-000051020000}"/>
    <cellStyle name="_Highlight_Historical Financials 2" xfId="1634" xr:uid="{00000000-0005-0000-0000-000052020000}"/>
    <cellStyle name="_Highlight_IBES_EPS_Estimates" xfId="357" xr:uid="{00000000-0005-0000-0000-000053020000}"/>
    <cellStyle name="_Highlight_IBES_EPS_Estimates 2" xfId="1635" xr:uid="{00000000-0005-0000-0000-000054020000}"/>
    <cellStyle name="_Highlight_Lease Expiration Model" xfId="358" xr:uid="{00000000-0005-0000-0000-000055020000}"/>
    <cellStyle name="_Highlight_Lease Expiration Model 2" xfId="1636" xr:uid="{00000000-0005-0000-0000-000056020000}"/>
    <cellStyle name="_Highlight_ModelDrivers1" xfId="359" xr:uid="{00000000-0005-0000-0000-000057020000}"/>
    <cellStyle name="_Highlight_ModelDrivers1 2" xfId="1637" xr:uid="{00000000-0005-0000-0000-000058020000}"/>
    <cellStyle name="_Highlight_Original Masters2002 Base Case Model 2-12-03 v1" xfId="360" xr:uid="{00000000-0005-0000-0000-000059020000}"/>
    <cellStyle name="_Highlight_Palm Model 10_05" xfId="361" xr:uid="{00000000-0005-0000-0000-00005A020000}"/>
    <cellStyle name="_Highlight_Palm Model 10_05 2" xfId="1638" xr:uid="{00000000-0005-0000-0000-00005B020000}"/>
    <cellStyle name="_Highlight_PFOwnership" xfId="362" xr:uid="{00000000-0005-0000-0000-00005C020000}"/>
    <cellStyle name="_Highlight_PFOwnership 2" xfId="1639" xr:uid="{00000000-0005-0000-0000-00005D020000}"/>
    <cellStyle name="_Highlight_Potential Strategic Partners" xfId="363" xr:uid="{00000000-0005-0000-0000-00005E020000}"/>
    <cellStyle name="_Highlight_Potential Strategic Partners 2" xfId="1640" xr:uid="{00000000-0005-0000-0000-00005F020000}"/>
    <cellStyle name="_Highlight_Prospective Asset Sales v42" xfId="364" xr:uid="{00000000-0005-0000-0000-000060020000}"/>
    <cellStyle name="_Highlight_Prospective Asset Sales v42 2" xfId="1641" xr:uid="{00000000-0005-0000-0000-000061020000}"/>
    <cellStyle name="_Highlight_Simple Merger Plans" xfId="365" xr:uid="{00000000-0005-0000-0000-000062020000}"/>
    <cellStyle name="_Highlight_Simple Merger Plans 2" xfId="1642" xr:uid="{00000000-0005-0000-0000-000063020000}"/>
    <cellStyle name="_Highlight_Sony TR" xfId="366" xr:uid="{00000000-0005-0000-0000-000064020000}"/>
    <cellStyle name="_Highlight_Sony TR 2" xfId="1643" xr:uid="{00000000-0005-0000-0000-000065020000}"/>
    <cellStyle name="_Highlight_Troon DCF Model 8-13-02 v1" xfId="367" xr:uid="{00000000-0005-0000-0000-000066020000}"/>
    <cellStyle name="_Highlight_Troon DCF Model 8-13-02 v1 2" xfId="1644" xr:uid="{00000000-0005-0000-0000-000067020000}"/>
    <cellStyle name="_Highlight_Updated LIBOR Curve from Marius Jungerhans 8-16-02" xfId="368" xr:uid="{00000000-0005-0000-0000-000068020000}"/>
    <cellStyle name="_Highlight_Updated LIBOR Curve from Marius Jungerhans 8-16-02 2" xfId="1645" xr:uid="{00000000-0005-0000-0000-000069020000}"/>
    <cellStyle name="_Inputs" xfId="369" xr:uid="{00000000-0005-0000-0000-00006A020000}"/>
    <cellStyle name="_Merger Plan 2-10-04 GSIBDv3" xfId="370" xr:uid="{00000000-0005-0000-0000-00006B020000}"/>
    <cellStyle name="_Merger Plan 2-10-04 GSIBDv3 2" xfId="1646" xr:uid="{00000000-0005-0000-0000-00006C020000}"/>
    <cellStyle name="_Month" xfId="371" xr:uid="{00000000-0005-0000-0000-00006D020000}"/>
    <cellStyle name="_Month_BCE Model 1-8-07" xfId="372" xr:uid="{00000000-0005-0000-0000-00006E020000}"/>
    <cellStyle name="_MS BCE Model" xfId="373" xr:uid="{00000000-0005-0000-0000-00006F020000}"/>
    <cellStyle name="_MS BCE Model 2" xfId="1647" xr:uid="{00000000-0005-0000-0000-000070020000}"/>
    <cellStyle name="_Multiple" xfId="374" xr:uid="{00000000-0005-0000-0000-000071020000}"/>
    <cellStyle name="_Multiple 2" xfId="1648" xr:uid="{00000000-0005-0000-0000-000072020000}"/>
    <cellStyle name="_Multiple_01 Fig Tech CSC 1Q03" xfId="375" xr:uid="{00000000-0005-0000-0000-000073020000}"/>
    <cellStyle name="_Multiple_01 Fig Tech CSC 1Q03 2" xfId="1649" xr:uid="{00000000-0005-0000-0000-000074020000}"/>
    <cellStyle name="_Multiple_01 Financial Model" xfId="376" xr:uid="{00000000-0005-0000-0000-000075020000}"/>
    <cellStyle name="_Multiple_01 Financial Model 2" xfId="1650" xr:uid="{00000000-0005-0000-0000-000076020000}"/>
    <cellStyle name="_Multiple_01 Selected Financials_Salt Business" xfId="377" xr:uid="{00000000-0005-0000-0000-000077020000}"/>
    <cellStyle name="_Multiple_01 Selected Financials_Salt Business 2" xfId="1651" xr:uid="{00000000-0005-0000-0000-000078020000}"/>
    <cellStyle name="_Multiple_01 Template without numbers sent out" xfId="378" xr:uid="{00000000-0005-0000-0000-000079020000}"/>
    <cellStyle name="_Multiple_01 Template without numbers sent out 2" xfId="1652" xr:uid="{00000000-0005-0000-0000-00007A020000}"/>
    <cellStyle name="_Multiple_02 Potential Partner Ability to Pay Analysis2" xfId="379" xr:uid="{00000000-0005-0000-0000-00007B020000}"/>
    <cellStyle name="_Multiple_02 Potential Partner Ability to Pay Analysis2 2" xfId="1653" xr:uid="{00000000-0005-0000-0000-00007C020000}"/>
    <cellStyle name="_Multiple_02 Quick Model_PQ Corporation" xfId="380" xr:uid="{00000000-0005-0000-0000-00007D020000}"/>
    <cellStyle name="_Multiple_02 Quick Model_PQ Corporation 2" xfId="1654" xr:uid="{00000000-0005-0000-0000-00007E020000}"/>
    <cellStyle name="_Multiple_06 Analysis at Various Prices" xfId="381" xr:uid="{00000000-0005-0000-0000-00007F020000}"/>
    <cellStyle name="_Multiple_06 Analysis at Various Prices 2" xfId="1655" xr:uid="{00000000-0005-0000-0000-000080020000}"/>
    <cellStyle name="_Multiple_101306 CanWest Excel BAck up v14" xfId="382" xr:uid="{00000000-0005-0000-0000-000081020000}"/>
    <cellStyle name="_Multiple_12 Merger Plans" xfId="383" xr:uid="{00000000-0005-0000-0000-000082020000}"/>
    <cellStyle name="_Multiple_12 Merger Plans 2" xfId="1656" xr:uid="{00000000-0005-0000-0000-000083020000}"/>
    <cellStyle name="_Multiple_20020403 Regional Data 04" xfId="384" xr:uid="{00000000-0005-0000-0000-000084020000}"/>
    <cellStyle name="_Multiple_20020403 Regional Data 04 2" xfId="1657" xr:uid="{00000000-0005-0000-0000-000085020000}"/>
    <cellStyle name="_Multiple_20020403 Regional Data 04 Final" xfId="385" xr:uid="{00000000-0005-0000-0000-000086020000}"/>
    <cellStyle name="_Multiple_20020403 Regional Data 04 Final 2" xfId="1658" xr:uid="{00000000-0005-0000-0000-000087020000}"/>
    <cellStyle name="_Multiple_20020403 Template for Exchange - Regional Data 01" xfId="386" xr:uid="{00000000-0005-0000-0000-000088020000}"/>
    <cellStyle name="_Multiple_20020403 Template for Exchange - Regional Data 01 2" xfId="1659" xr:uid="{00000000-0005-0000-0000-000089020000}"/>
    <cellStyle name="_Multiple_20020404 Capex 02 All" xfId="387" xr:uid="{00000000-0005-0000-0000-00008A020000}"/>
    <cellStyle name="_Multiple_20020404 Capex 02 All 2" xfId="1660" xr:uid="{00000000-0005-0000-0000-00008B020000}"/>
    <cellStyle name="_Multiple_accretion dilution analysis" xfId="388" xr:uid="{00000000-0005-0000-0000-00008C020000}"/>
    <cellStyle name="_Multiple_accretion dilution analysis 2" xfId="1661" xr:uid="{00000000-0005-0000-0000-00008D020000}"/>
    <cellStyle name="_Multiple_Accretion-(Dilution) Pearl" xfId="389" xr:uid="{00000000-0005-0000-0000-00008E020000}"/>
    <cellStyle name="_Multiple_Accretion-(Dilution) Pearl 2" xfId="1662" xr:uid="{00000000-0005-0000-0000-00008F020000}"/>
    <cellStyle name="_Multiple_Acquisition Ops 3" xfId="390" xr:uid="{00000000-0005-0000-0000-000090020000}"/>
    <cellStyle name="_Multiple_Acquisition Ops 3 2" xfId="1663" xr:uid="{00000000-0005-0000-0000-000091020000}"/>
    <cellStyle name="_Multiple_Appliances Metrics for Leverage Finance" xfId="391" xr:uid="{00000000-0005-0000-0000-000092020000}"/>
    <cellStyle name="_Multiple_Appliances Metrics for Leverage Finance 2" xfId="1664" xr:uid="{00000000-0005-0000-0000-000093020000}"/>
    <cellStyle name="_Multiple_Asset_Management_CSC_Updated_06_26_2002" xfId="392" xr:uid="{00000000-0005-0000-0000-000094020000}"/>
    <cellStyle name="_Multiple_Asset_Management_CSC_Updated_06_26_2002_BCE Model 1-8-07" xfId="393" xr:uid="{00000000-0005-0000-0000-000095020000}"/>
    <cellStyle name="_Multiple_AVP" xfId="394" xr:uid="{00000000-0005-0000-0000-000096020000}"/>
    <cellStyle name="_Multiple_AVP - prev. 06 financials" xfId="395" xr:uid="{00000000-0005-0000-0000-000097020000}"/>
    <cellStyle name="_Multiple_AVP - prev. 06 financials_BCE Model 1-8-07" xfId="396" xr:uid="{00000000-0005-0000-0000-000098020000}"/>
    <cellStyle name="_Multiple_AVP_BCE Model 1-8-07" xfId="397" xr:uid="{00000000-0005-0000-0000-000099020000}"/>
    <cellStyle name="_Multiple_avp_Merger Plan 2-10-04 GSIBDv3" xfId="398" xr:uid="{00000000-0005-0000-0000-00009A020000}"/>
    <cellStyle name="_Multiple_avp_Merger Plan 2-10-04 GSIBDv3 2" xfId="1665" xr:uid="{00000000-0005-0000-0000-00009B020000}"/>
    <cellStyle name="_Multiple_avp_Palm Model 10_05" xfId="399" xr:uid="{00000000-0005-0000-0000-00009C020000}"/>
    <cellStyle name="_Multiple_avp_Palm Model 10_05 2" xfId="1666" xr:uid="{00000000-0005-0000-0000-00009D020000}"/>
    <cellStyle name="_Multiple_Bank &amp; Thrift Buyer Merger Plan(AutoPrice2000)" xfId="400" xr:uid="{00000000-0005-0000-0000-00009E020000}"/>
    <cellStyle name="_Multiple_Bank &amp; Thrift Buyer Merger Plan(AutoPrice2000) 2" xfId="1667" xr:uid="{00000000-0005-0000-0000-00009F020000}"/>
    <cellStyle name="_Multiple_bank_csc_Q1_2001" xfId="401" xr:uid="{00000000-0005-0000-0000-0000A0020000}"/>
    <cellStyle name="_Multiple_bank_csc_Q1_2001_BCE Model 1-8-07" xfId="402" xr:uid="{00000000-0005-0000-0000-0000A1020000}"/>
    <cellStyle name="_Multiple_bank_csc_Q2_2001" xfId="403" xr:uid="{00000000-0005-0000-0000-0000A2020000}"/>
    <cellStyle name="_Multiple_bank_csc_Q2_2001 2" xfId="1668" xr:uid="{00000000-0005-0000-0000-0000A3020000}"/>
    <cellStyle name="_Multiple_bank_csc_Q2_2001_c1" xfId="404" xr:uid="{00000000-0005-0000-0000-0000A4020000}"/>
    <cellStyle name="_Multiple_bank_csc_Q2_2001_c1 2" xfId="1669" xr:uid="{00000000-0005-0000-0000-0000A5020000}"/>
    <cellStyle name="_Multiple_BCE Model 1-8-07" xfId="405" xr:uid="{00000000-0005-0000-0000-0000A6020000}"/>
    <cellStyle name="_Multiple_BCE Model 1-8-07 2" xfId="1670" xr:uid="{00000000-0005-0000-0000-0000A7020000}"/>
    <cellStyle name="_Multiple_Book1" xfId="406" xr:uid="{00000000-0005-0000-0000-0000A8020000}"/>
    <cellStyle name="_Multiple_Book1 2" xfId="1671" xr:uid="{00000000-0005-0000-0000-0000A9020000}"/>
    <cellStyle name="_Multiple_Book1_1" xfId="407" xr:uid="{00000000-0005-0000-0000-0000AA020000}"/>
    <cellStyle name="_Multiple_Book1_1 2" xfId="1672" xr:uid="{00000000-0005-0000-0000-0000AB020000}"/>
    <cellStyle name="_Multiple_Book1_Merger Plan 2-10-04 GSIBDv3" xfId="408" xr:uid="{00000000-0005-0000-0000-0000AC020000}"/>
    <cellStyle name="_Multiple_Book1_Merger Plan 2-10-04 GSIBDv3_BCE Model 1-8-07" xfId="409" xr:uid="{00000000-0005-0000-0000-0000AD020000}"/>
    <cellStyle name="_Multiple_Book2" xfId="410" xr:uid="{00000000-0005-0000-0000-0000AE020000}"/>
    <cellStyle name="_Multiple_Book2 2" xfId="1673" xr:uid="{00000000-0005-0000-0000-0000AF020000}"/>
    <cellStyle name="_Multiple_Borders Model 11-11-03 mezz v6" xfId="411" xr:uid="{00000000-0005-0000-0000-0000B0020000}"/>
    <cellStyle name="_Multiple_Borders Model 11-11-03 mezz v6 2" xfId="1674" xr:uid="{00000000-0005-0000-0000-0000B1020000}"/>
    <cellStyle name="_Multiple_buyer_analysis" xfId="412" xr:uid="{00000000-0005-0000-0000-0000B2020000}"/>
    <cellStyle name="_Multiple_buyer_analysis 2" xfId="1675" xr:uid="{00000000-0005-0000-0000-0000B3020000}"/>
    <cellStyle name="_Multiple_Check of Synergy DCFs 11-01-04_v5" xfId="413" xr:uid="{00000000-0005-0000-0000-0000B4020000}"/>
    <cellStyle name="_Multiple_Check of Synergy DCFs 11-01-04_v5 2" xfId="1676" xr:uid="{00000000-0005-0000-0000-0000B5020000}"/>
    <cellStyle name="_Multiple_CKFR Model 11-30-06" xfId="414" xr:uid="{00000000-0005-0000-0000-0000B6020000}"/>
    <cellStyle name="_Multiple_CKFR Model 11-30-06_BCE Model 1-8-07" xfId="415" xr:uid="{00000000-0005-0000-0000-0000B7020000}"/>
    <cellStyle name="_Multiple_com_ic_universe_6" xfId="416" xr:uid="{00000000-0005-0000-0000-0000B8020000}"/>
    <cellStyle name="_Multiple_com_ic_universe_6 2" xfId="1677" xr:uid="{00000000-0005-0000-0000-0000B9020000}"/>
    <cellStyle name="_Multiple_Comparative Balance Sheets" xfId="417" xr:uid="{00000000-0005-0000-0000-0000BA020000}"/>
    <cellStyle name="_Multiple_Comparative Balance Sheets_BCE Model 1-8-07" xfId="418" xr:uid="{00000000-0005-0000-0000-0000BB020000}"/>
    <cellStyle name="_Multiple_Cross Dock Projections v3" xfId="419" xr:uid="{00000000-0005-0000-0000-0000BC020000}"/>
    <cellStyle name="_Multiple_Cross Dock Projections v3 2" xfId="1678" xr:uid="{00000000-0005-0000-0000-0000BD020000}"/>
    <cellStyle name="_Multiple_csc" xfId="420" xr:uid="{00000000-0005-0000-0000-0000BE020000}"/>
    <cellStyle name="_Multiple_CSC Update_Status of Companies_11_19" xfId="421" xr:uid="{00000000-0005-0000-0000-0000BF020000}"/>
    <cellStyle name="_Multiple_CSC Update_Status of Companies_11_19 2" xfId="1679" xr:uid="{00000000-0005-0000-0000-0000C0020000}"/>
    <cellStyle name="_Multiple_CSC with WACC" xfId="422" xr:uid="{00000000-0005-0000-0000-0000C1020000}"/>
    <cellStyle name="_Multiple_CSC with WACC 2" xfId="1680" xr:uid="{00000000-0005-0000-0000-0000C2020000}"/>
    <cellStyle name="_Multiple_csc_BCE Model 1-8-07" xfId="423" xr:uid="{00000000-0005-0000-0000-0000C3020000}"/>
    <cellStyle name="_Multiple_CSC_Palm_Sum_of_Parts_4_20_01" xfId="424" xr:uid="{00000000-0005-0000-0000-0000C4020000}"/>
    <cellStyle name="_Multiple_CSC_Palm_Sum_of_Parts_5_23_01a" xfId="425" xr:uid="{00000000-0005-0000-0000-0000C5020000}"/>
    <cellStyle name="_Multiple_Dave Model Final v 1" xfId="426" xr:uid="{00000000-0005-0000-0000-0000C6020000}"/>
    <cellStyle name="_Multiple_Dave Model Final v 1 2" xfId="1681" xr:uid="{00000000-0005-0000-0000-0000C7020000}"/>
    <cellStyle name="_Multiple_DCF Analysis" xfId="427" xr:uid="{00000000-0005-0000-0000-0000C8020000}"/>
    <cellStyle name="_Multiple_DCF Analysis 2" xfId="1682" xr:uid="{00000000-0005-0000-0000-0000C9020000}"/>
    <cellStyle name="_Multiple_DIS Go Private Analysis v23" xfId="428" xr:uid="{00000000-0005-0000-0000-0000CA020000}"/>
    <cellStyle name="_Multiple_DIS Go Private Analysis v23 2" xfId="1683" xr:uid="{00000000-0005-0000-0000-0000CB020000}"/>
    <cellStyle name="_Multiple_discussion" xfId="429" xr:uid="{00000000-0005-0000-0000-0000CC020000}"/>
    <cellStyle name="_Multiple_discussion 2" xfId="1684" xr:uid="{00000000-0005-0000-0000-0000CD020000}"/>
    <cellStyle name="_Multiple_Eagle Ridge Cash Flow 01-10-02_GS" xfId="430" xr:uid="{00000000-0005-0000-0000-0000CE020000}"/>
    <cellStyle name="_Multiple_Eagle Ridge Cash Flow 01-10-02_GS 2" xfId="1685" xr:uid="{00000000-0005-0000-0000-0000CF020000}"/>
    <cellStyle name="_Multiple_Eutelsat and Capex Analysis" xfId="431" xr:uid="{00000000-0005-0000-0000-0000D0020000}"/>
    <cellStyle name="_Multiple_Eutelsat and Capex Analysis 2" xfId="1686" xr:uid="{00000000-0005-0000-0000-0000D1020000}"/>
    <cellStyle name="_Multiple_Excel Inserts_v4" xfId="432" xr:uid="{00000000-0005-0000-0000-0000D2020000}"/>
    <cellStyle name="_Multiple_Excel Inserts_v4 2" xfId="1687" xr:uid="{00000000-0005-0000-0000-0000D3020000}"/>
    <cellStyle name="_Multiple_Final Canadian Bank Comp (sent to IBD)FORM" xfId="433" xr:uid="{00000000-0005-0000-0000-0000D4020000}"/>
    <cellStyle name="_Multiple_Final Canadian Bank Comp (sent to IBD)FORM 2" xfId="1688" xr:uid="{00000000-0005-0000-0000-0000D5020000}"/>
    <cellStyle name="_Multiple_Financial Buildup 6-18-03 v7" xfId="434" xr:uid="{00000000-0005-0000-0000-0000D6020000}"/>
    <cellStyle name="_Multiple_Financial Buildup 6-18-03 v7 2" xfId="1689" xr:uid="{00000000-0005-0000-0000-0000D7020000}"/>
    <cellStyle name="_Multiple_Financials" xfId="435" xr:uid="{00000000-0005-0000-0000-0000D8020000}"/>
    <cellStyle name="_Multiple_Financials 2" xfId="1690" xr:uid="{00000000-0005-0000-0000-0000D9020000}"/>
    <cellStyle name="_Multiple_Financials_3" xfId="436" xr:uid="{00000000-0005-0000-0000-0000DA020000}"/>
    <cellStyle name="_Multiple_Financials_3 2" xfId="1691" xr:uid="{00000000-0005-0000-0000-0000DB020000}"/>
    <cellStyle name="_Multiple_Football Field" xfId="437" xr:uid="{00000000-0005-0000-0000-0000DC020000}"/>
    <cellStyle name="_Multiple_Football Field 2" xfId="1692" xr:uid="{00000000-0005-0000-0000-0000DD020000}"/>
    <cellStyle name="_Multiple_GS Model" xfId="438" xr:uid="{00000000-0005-0000-0000-0000DE020000}"/>
    <cellStyle name="_Multiple_GS Model 2" xfId="1693" xr:uid="{00000000-0005-0000-0000-0000DF020000}"/>
    <cellStyle name="_Multiple_IBES_EPS_Estimates" xfId="439" xr:uid="{00000000-0005-0000-0000-0000E0020000}"/>
    <cellStyle name="_Multiple_IBES_EPS_Estimates 2" xfId="1694" xr:uid="{00000000-0005-0000-0000-0000E1020000}"/>
    <cellStyle name="_Multiple_march_21_meeting" xfId="440" xr:uid="{00000000-0005-0000-0000-0000E2020000}"/>
    <cellStyle name="_Multiple_march_21_meeting 2" xfId="1695" xr:uid="{00000000-0005-0000-0000-0000E3020000}"/>
    <cellStyle name="_Multiple_Master_Telecom_Equipment_CSCb" xfId="441" xr:uid="{00000000-0005-0000-0000-0000E4020000}"/>
    <cellStyle name="_Multiple_Master_Telecom_Equipment_CSCb 2" xfId="1696" xr:uid="{00000000-0005-0000-0000-0000E5020000}"/>
    <cellStyle name="_Multiple_Merger Model - Exec" xfId="442" xr:uid="{00000000-0005-0000-0000-0000E6020000}"/>
    <cellStyle name="_Multiple_Merger Model - Exec 2" xfId="1697" xr:uid="{00000000-0005-0000-0000-0000E7020000}"/>
    <cellStyle name="_Multiple_Merger model_new" xfId="443" xr:uid="{00000000-0005-0000-0000-0000E8020000}"/>
    <cellStyle name="_Multiple_Merger model_new_ability to pay" xfId="444" xr:uid="{00000000-0005-0000-0000-0000E9020000}"/>
    <cellStyle name="_Multiple_Merger Plan 2-10-04 GSIBDv3" xfId="445" xr:uid="{00000000-0005-0000-0000-0000EA020000}"/>
    <cellStyle name="_Multiple_Merger Plan 2-10-04 GSIBDv3 2" xfId="1698" xr:uid="{00000000-0005-0000-0000-0000EB020000}"/>
    <cellStyle name="_Multiple_merger plans" xfId="446" xr:uid="{00000000-0005-0000-0000-0000EC020000}"/>
    <cellStyle name="_Multiple_merger plans 2" xfId="1699" xr:uid="{00000000-0005-0000-0000-0000ED020000}"/>
    <cellStyle name="_Multiple_model_bk" xfId="447" xr:uid="{00000000-0005-0000-0000-0000EE020000}"/>
    <cellStyle name="_Multiple_model_bk_BCE Model 1-8-07" xfId="448" xr:uid="{00000000-0005-0000-0000-0000EF020000}"/>
    <cellStyle name="_Multiple_monet_final_w_output" xfId="449" xr:uid="{00000000-0005-0000-0000-0000F0020000}"/>
    <cellStyle name="_Multiple_monet_final_w_output 2" xfId="1700" xr:uid="{00000000-0005-0000-0000-0000F1020000}"/>
    <cellStyle name="_Multiple_monet2.4" xfId="450" xr:uid="{00000000-0005-0000-0000-0000F2020000}"/>
    <cellStyle name="_Multiple_monet2.4_BCE Model 1-8-07" xfId="451" xr:uid="{00000000-0005-0000-0000-0000F3020000}"/>
    <cellStyle name="_Multiple_monet2.4_temp" xfId="452" xr:uid="{00000000-0005-0000-0000-0000F4020000}"/>
    <cellStyle name="_Multiple_monet2.4_temp_BCE Model 1-8-07" xfId="453" xr:uid="{00000000-0005-0000-0000-0000F5020000}"/>
    <cellStyle name="_Multiple_monet2.8" xfId="454" xr:uid="{00000000-0005-0000-0000-0000F6020000}"/>
    <cellStyle name="_Multiple_monet2.8_BCE Model 1-8-07" xfId="455" xr:uid="{00000000-0005-0000-0000-0000F7020000}"/>
    <cellStyle name="_Multiple_MotLion Projections may" xfId="456" xr:uid="{00000000-0005-0000-0000-0000F8020000}"/>
    <cellStyle name="_Multiple_MotLion Projections may 2" xfId="1701" xr:uid="{00000000-0005-0000-0000-0000F9020000}"/>
    <cellStyle name="_Multiple_Neptune Ammortization Analysis 8-6-03" xfId="457" xr:uid="{00000000-0005-0000-0000-0000FA020000}"/>
    <cellStyle name="_Multiple_Neptune Ammortization Analysis 8-6-03 2" xfId="1702" xr:uid="{00000000-0005-0000-0000-0000FB020000}"/>
    <cellStyle name="_Multiple_Old Life CSC" xfId="458" xr:uid="{00000000-0005-0000-0000-0000FC020000}"/>
    <cellStyle name="_Multiple_Old Life CSC 2" xfId="1703" xr:uid="{00000000-0005-0000-0000-0000FD020000}"/>
    <cellStyle name="_Multiple_Other Category Breaidown 7-26-03 v1" xfId="459" xr:uid="{00000000-0005-0000-0000-0000FE020000}"/>
    <cellStyle name="_Multiple_Other Category Breaidown 7-26-03 v1 2" xfId="1704" xr:uid="{00000000-0005-0000-0000-0000FF020000}"/>
    <cellStyle name="_Multiple_pace_merger plans" xfId="460" xr:uid="{00000000-0005-0000-0000-000000030000}"/>
    <cellStyle name="_Multiple_pace_merger plans 2" xfId="1705" xr:uid="{00000000-0005-0000-0000-000001030000}"/>
    <cellStyle name="_Multiple_Palm Model 10_05" xfId="461" xr:uid="{00000000-0005-0000-0000-000002030000}"/>
    <cellStyle name="_Multiple_Palm Model 10_05 2" xfId="1706" xr:uid="{00000000-0005-0000-0000-000003030000}"/>
    <cellStyle name="_Multiple_pdf file" xfId="462" xr:uid="{00000000-0005-0000-0000-000004030000}"/>
    <cellStyle name="_Multiple_pdf file 2" xfId="1707" xr:uid="{00000000-0005-0000-0000-000005030000}"/>
    <cellStyle name="_Multiple_PNC_PF_2Q_update" xfId="463" xr:uid="{00000000-0005-0000-0000-000006030000}"/>
    <cellStyle name="_Multiple_PNC_PF_2Q_update 2" xfId="1708" xr:uid="{00000000-0005-0000-0000-000007030000}"/>
    <cellStyle name="_Multiple_Potential Strategic Partners" xfId="464" xr:uid="{00000000-0005-0000-0000-000008030000}"/>
    <cellStyle name="_Multiple_Potential Strategic Partners 2" xfId="1709" xr:uid="{00000000-0005-0000-0000-000009030000}"/>
    <cellStyle name="_Multiple_Projections--Management (Data Room)v6" xfId="465" xr:uid="{00000000-0005-0000-0000-00000A030000}"/>
    <cellStyle name="_Multiple_Projections--Management (Data Room)v6 2" xfId="1710" xr:uid="{00000000-0005-0000-0000-00000B030000}"/>
    <cellStyle name="_Multiple_QVC LBO Model 2-12-03 v3" xfId="466" xr:uid="{00000000-0005-0000-0000-00000C030000}"/>
    <cellStyle name="_Multiple_QVC LBO Model 2-12-03 v3 2" xfId="1711" xr:uid="{00000000-0005-0000-0000-00000D030000}"/>
    <cellStyle name="_Multiple_RJB Long LBO LTM" xfId="467" xr:uid="{00000000-0005-0000-0000-00000E030000}"/>
    <cellStyle name="_Multiple_Sources and Uses FINAL dpakedit v2" xfId="468" xr:uid="{00000000-0005-0000-0000-00000F030000}"/>
    <cellStyle name="_Multiple_Sources and Uses FINAL dpakedit v2 2" xfId="1712" xr:uid="{00000000-0005-0000-0000-000010030000}"/>
    <cellStyle name="_Multiple_Summary Valuation Analysis" xfId="469" xr:uid="{00000000-0005-0000-0000-000011030000}"/>
    <cellStyle name="_Multiple_Summary Valuation Analysis 2" xfId="1713" xr:uid="{00000000-0005-0000-0000-000012030000}"/>
    <cellStyle name="_Multiple_Synergies" xfId="470" xr:uid="{00000000-0005-0000-0000-000013030000}"/>
    <cellStyle name="_Multiple_Synergies 2" xfId="1714" xr:uid="{00000000-0005-0000-0000-000014030000}"/>
    <cellStyle name="_Multiple_Troon DCF Model 8-13-02 v1" xfId="471" xr:uid="{00000000-0005-0000-0000-000015030000}"/>
    <cellStyle name="_Multiple_Troon DCF Model 8-13-02 v1_BCE Model 1-8-07" xfId="472" xr:uid="{00000000-0005-0000-0000-000016030000}"/>
    <cellStyle name="_Multiple_Troon Financials 8-1-02" xfId="473" xr:uid="{00000000-0005-0000-0000-000017030000}"/>
    <cellStyle name="_Multiple_Troon Financials 8-1-02 2" xfId="1715" xr:uid="{00000000-0005-0000-0000-000018030000}"/>
    <cellStyle name="_Multiple_Troon LLC FS dpakedit 8-7-02" xfId="474" xr:uid="{00000000-0005-0000-0000-000019030000}"/>
    <cellStyle name="_Multiple_Troon LLC FS dpakedit 8-7-02 2" xfId="1716" xr:uid="{00000000-0005-0000-0000-00001A030000}"/>
    <cellStyle name="_Multiple_Troon LLC FS dpakedit 8-7-02 v3" xfId="475" xr:uid="{00000000-0005-0000-0000-00001B030000}"/>
    <cellStyle name="_Multiple_Troon LLC FS dpakedit 8-7-02 v3 2" xfId="1717" xr:uid="{00000000-0005-0000-0000-00001C030000}"/>
    <cellStyle name="_Multiple_Troon LLC FS dpakedit 8-7-02 v4" xfId="476" xr:uid="{00000000-0005-0000-0000-00001D030000}"/>
    <cellStyle name="_Multiple_Troon LLC FS dpakedit 8-7-02 v4 2" xfId="1718" xr:uid="{00000000-0005-0000-0000-00001E030000}"/>
    <cellStyle name="_Multiple_Troon_EBITDA" xfId="477" xr:uid="{00000000-0005-0000-0000-00001F030000}"/>
    <cellStyle name="_Multiple_Troon_EBITDA 2" xfId="1719" xr:uid="{00000000-0005-0000-0000-000020030000}"/>
    <cellStyle name="_Multiple_Valuation Overview - June 2001" xfId="478" xr:uid="{00000000-0005-0000-0000-000021030000}"/>
    <cellStyle name="_Multiple_Valuation Overview - June 2001_BCE Model 1-8-07" xfId="479" xr:uid="{00000000-0005-0000-0000-000022030000}"/>
    <cellStyle name="_Multiple_Valuation_Troon dpak 8-5-02 v3" xfId="480" xr:uid="{00000000-0005-0000-0000-000023030000}"/>
    <cellStyle name="_Multiple_Valuation_Troon dpak 8-5-02 v3 2" xfId="1720" xr:uid="{00000000-0005-0000-0000-000024030000}"/>
    <cellStyle name="_MultipleSpace" xfId="481" xr:uid="{00000000-0005-0000-0000-000025030000}"/>
    <cellStyle name="_MultipleSpace 2" xfId="1721" xr:uid="{00000000-0005-0000-0000-000026030000}"/>
    <cellStyle name="_MultipleSpace_01 Fig Tech CSC 1Q03" xfId="482" xr:uid="{00000000-0005-0000-0000-000027030000}"/>
    <cellStyle name="_MultipleSpace_01 Fig Tech CSC 1Q03 2" xfId="1722" xr:uid="{00000000-0005-0000-0000-000028030000}"/>
    <cellStyle name="_MultipleSpace_01 Financial Model" xfId="483" xr:uid="{00000000-0005-0000-0000-000029030000}"/>
    <cellStyle name="_MultipleSpace_01 Financial Model 2" xfId="1723" xr:uid="{00000000-0005-0000-0000-00002A030000}"/>
    <cellStyle name="_MultipleSpace_01 Template without numbers sent out" xfId="484" xr:uid="{00000000-0005-0000-0000-00002B030000}"/>
    <cellStyle name="_MultipleSpace_01 Template without numbers sent out 2" xfId="1724" xr:uid="{00000000-0005-0000-0000-00002C030000}"/>
    <cellStyle name="_MultipleSpace_02 Potential Partner Ability to Pay Analysis2" xfId="485" xr:uid="{00000000-0005-0000-0000-00002D030000}"/>
    <cellStyle name="_MultipleSpace_02 Potential Partner Ability to Pay Analysis2 2" xfId="1725" xr:uid="{00000000-0005-0000-0000-00002E030000}"/>
    <cellStyle name="_MultipleSpace_02 Quick Model_PQ Corporation" xfId="486" xr:uid="{00000000-0005-0000-0000-00002F030000}"/>
    <cellStyle name="_MultipleSpace_02 Quick Model_PQ Corporation 2" xfId="1726" xr:uid="{00000000-0005-0000-0000-000030030000}"/>
    <cellStyle name="_MultipleSpace_101306 CanWest Excel BAck up v14" xfId="487" xr:uid="{00000000-0005-0000-0000-000031030000}"/>
    <cellStyle name="_MultipleSpace_12 Merger Plans" xfId="488" xr:uid="{00000000-0005-0000-0000-000032030000}"/>
    <cellStyle name="_MultipleSpace_12 Merger Plans 2" xfId="1727" xr:uid="{00000000-0005-0000-0000-000033030000}"/>
    <cellStyle name="_MultipleSpace_20020403 Regional Data 04" xfId="489" xr:uid="{00000000-0005-0000-0000-000034030000}"/>
    <cellStyle name="_MultipleSpace_20020403 Regional Data 04 2" xfId="1728" xr:uid="{00000000-0005-0000-0000-000035030000}"/>
    <cellStyle name="_MultipleSpace_20020403 Regional Data 04 Final" xfId="490" xr:uid="{00000000-0005-0000-0000-000036030000}"/>
    <cellStyle name="_MultipleSpace_20020403 Regional Data 04 Final 2" xfId="1729" xr:uid="{00000000-0005-0000-0000-000037030000}"/>
    <cellStyle name="_MultipleSpace_20020403 Template for Exchange - Regional Data 01" xfId="491" xr:uid="{00000000-0005-0000-0000-000038030000}"/>
    <cellStyle name="_MultipleSpace_20020403 Template for Exchange - Regional Data 01 2" xfId="1730" xr:uid="{00000000-0005-0000-0000-000039030000}"/>
    <cellStyle name="_MultipleSpace_20020404 Capex 02 All" xfId="492" xr:uid="{00000000-0005-0000-0000-00003A030000}"/>
    <cellStyle name="_MultipleSpace_20020404 Capex 02 All 2" xfId="1731" xr:uid="{00000000-0005-0000-0000-00003B030000}"/>
    <cellStyle name="_MultipleSpace_accretion dilution analysis" xfId="493" xr:uid="{00000000-0005-0000-0000-00003C030000}"/>
    <cellStyle name="_MultipleSpace_accretion dilution analysis 2" xfId="1732" xr:uid="{00000000-0005-0000-0000-00003D030000}"/>
    <cellStyle name="_MultipleSpace_Accretion-(Dilution) Pearl" xfId="494" xr:uid="{00000000-0005-0000-0000-00003E030000}"/>
    <cellStyle name="_MultipleSpace_Accretion-(Dilution) Pearl 2" xfId="1733" xr:uid="{00000000-0005-0000-0000-00003F030000}"/>
    <cellStyle name="_MultipleSpace_Acquisition Ops 3" xfId="495" xr:uid="{00000000-0005-0000-0000-000040030000}"/>
    <cellStyle name="_MultipleSpace_Acquisition Ops 3 2" xfId="1734" xr:uid="{00000000-0005-0000-0000-000041030000}"/>
    <cellStyle name="_MultipleSpace_Alamosa Merger" xfId="496" xr:uid="{00000000-0005-0000-0000-000042030000}"/>
    <cellStyle name="_MultipleSpace_Alamosa Standalone8b" xfId="497" xr:uid="{00000000-0005-0000-0000-000043030000}"/>
    <cellStyle name="_MultipleSpace_AVP" xfId="498" xr:uid="{00000000-0005-0000-0000-000044030000}"/>
    <cellStyle name="_MultipleSpace_AVP - prev. 06 financials" xfId="499" xr:uid="{00000000-0005-0000-0000-000045030000}"/>
    <cellStyle name="_MultipleSpace_AVP - prev. 06 financials_BCE Model 1-8-07" xfId="500" xr:uid="{00000000-0005-0000-0000-000046030000}"/>
    <cellStyle name="_MultipleSpace_AVP_BCE Model 1-8-07" xfId="501" xr:uid="{00000000-0005-0000-0000-000047030000}"/>
    <cellStyle name="_MultipleSpace_avp_Merger Plan 2-10-04 GSIBDv3" xfId="502" xr:uid="{00000000-0005-0000-0000-000048030000}"/>
    <cellStyle name="_MultipleSpace_avp_Merger Plan 2-10-04 GSIBDv3 2" xfId="1735" xr:uid="{00000000-0005-0000-0000-000049030000}"/>
    <cellStyle name="_MultipleSpace_avp_Palm Model 10_05" xfId="503" xr:uid="{00000000-0005-0000-0000-00004A030000}"/>
    <cellStyle name="_MultipleSpace_avp_Palm Model 10_05 2" xfId="1736" xr:uid="{00000000-0005-0000-0000-00004B030000}"/>
    <cellStyle name="_MultipleSpace_bank_csc_Q1_2001" xfId="504" xr:uid="{00000000-0005-0000-0000-00004C030000}"/>
    <cellStyle name="_MultipleSpace_bank_csc_Q1_2001_BCE Model 1-8-07" xfId="505" xr:uid="{00000000-0005-0000-0000-00004D030000}"/>
    <cellStyle name="_MultipleSpace_bank_csc_Q2_2001_c1" xfId="506" xr:uid="{00000000-0005-0000-0000-00004E030000}"/>
    <cellStyle name="_MultipleSpace_bank_csc_Q2_2001_c1_BCE Model 1-8-07" xfId="507" xr:uid="{00000000-0005-0000-0000-00004F030000}"/>
    <cellStyle name="_MultipleSpace_BCE Model 1-8-07" xfId="508" xr:uid="{00000000-0005-0000-0000-000050030000}"/>
    <cellStyle name="_MultipleSpace_BCE Model 1-8-07 2" xfId="1737" xr:uid="{00000000-0005-0000-0000-000051030000}"/>
    <cellStyle name="_MultipleSpace_Book1" xfId="509" xr:uid="{00000000-0005-0000-0000-000052030000}"/>
    <cellStyle name="_MultipleSpace_Book1 2" xfId="1738" xr:uid="{00000000-0005-0000-0000-000053030000}"/>
    <cellStyle name="_MultipleSpace_Book1_Merger Plan 2-10-04 GSIBDv3" xfId="510" xr:uid="{00000000-0005-0000-0000-000054030000}"/>
    <cellStyle name="_MultipleSpace_Book1_Merger Plan 2-10-04 GSIBDv3_BCE Model 1-8-07" xfId="511" xr:uid="{00000000-0005-0000-0000-000055030000}"/>
    <cellStyle name="_MultipleSpace_Book2" xfId="512" xr:uid="{00000000-0005-0000-0000-000056030000}"/>
    <cellStyle name="_MultipleSpace_Book2 2" xfId="1739" xr:uid="{00000000-0005-0000-0000-000057030000}"/>
    <cellStyle name="_MultipleSpace_buyer_analysis" xfId="513" xr:uid="{00000000-0005-0000-0000-000058030000}"/>
    <cellStyle name="_MultipleSpace_buyer_analysis 2" xfId="1740" xr:uid="{00000000-0005-0000-0000-000059030000}"/>
    <cellStyle name="_MultipleSpace_Check of Synergy DCFs 11-01-04_v5" xfId="514" xr:uid="{00000000-0005-0000-0000-00005A030000}"/>
    <cellStyle name="_MultipleSpace_Check of Synergy DCFs 11-01-04_v5 2" xfId="1741" xr:uid="{00000000-0005-0000-0000-00005B030000}"/>
    <cellStyle name="_MultipleSpace_CKFR Model 11-30-06" xfId="515" xr:uid="{00000000-0005-0000-0000-00005C030000}"/>
    <cellStyle name="_MultipleSpace_CKFR Model 11-30-06 2" xfId="1742" xr:uid="{00000000-0005-0000-0000-00005D030000}"/>
    <cellStyle name="_MultipleSpace_com_ic_universe_6" xfId="516" xr:uid="{00000000-0005-0000-0000-00005E030000}"/>
    <cellStyle name="_MultipleSpace_com_ic_universe_6 2" xfId="1743" xr:uid="{00000000-0005-0000-0000-00005F030000}"/>
    <cellStyle name="_MultipleSpace_COMBO Final DCF_2" xfId="517" xr:uid="{00000000-0005-0000-0000-000060030000}"/>
    <cellStyle name="_MultipleSpace_Comparative Balance Sheets" xfId="518" xr:uid="{00000000-0005-0000-0000-000061030000}"/>
    <cellStyle name="_MultipleSpace_Comparative Balance Sheets_BCE Model 1-8-07" xfId="519" xr:uid="{00000000-0005-0000-0000-000062030000}"/>
    <cellStyle name="_MultipleSpace_csc" xfId="520" xr:uid="{00000000-0005-0000-0000-000063030000}"/>
    <cellStyle name="_MultipleSpace_CSC Update_Status of Companies_11_19" xfId="521" xr:uid="{00000000-0005-0000-0000-000064030000}"/>
    <cellStyle name="_MultipleSpace_CSC Update_Status of Companies_11_19 2" xfId="1744" xr:uid="{00000000-0005-0000-0000-000065030000}"/>
    <cellStyle name="_MultipleSpace_CSC with WACC" xfId="522" xr:uid="{00000000-0005-0000-0000-000066030000}"/>
    <cellStyle name="_MultipleSpace_CSC with WACC 2" xfId="1745" xr:uid="{00000000-0005-0000-0000-000067030000}"/>
    <cellStyle name="_MultipleSpace_csc_BCE Model 1-8-07" xfId="523" xr:uid="{00000000-0005-0000-0000-000068030000}"/>
    <cellStyle name="_MultipleSpace_CSC_Palm_Sum_of_Parts_4_20_01" xfId="524" xr:uid="{00000000-0005-0000-0000-000069030000}"/>
    <cellStyle name="_MultipleSpace_CSC_Palm_Sum_of_Parts_4_20_01 2" xfId="1746" xr:uid="{00000000-0005-0000-0000-00006A030000}"/>
    <cellStyle name="_MultipleSpace_CSC_Palm_Sum_of_Parts_5_23_01a" xfId="525" xr:uid="{00000000-0005-0000-0000-00006B030000}"/>
    <cellStyle name="_MultipleSpace_CSC_Palm_Sum_of_Parts_5_23_01a 2" xfId="1747" xr:uid="{00000000-0005-0000-0000-00006C030000}"/>
    <cellStyle name="_MultipleSpace_Dave Model Final v 1" xfId="526" xr:uid="{00000000-0005-0000-0000-00006D030000}"/>
    <cellStyle name="_MultipleSpace_Dave Model Final v 1 2" xfId="1748" xr:uid="{00000000-0005-0000-0000-00006E030000}"/>
    <cellStyle name="_MultipleSpace_DCF Analysis" xfId="527" xr:uid="{00000000-0005-0000-0000-00006F030000}"/>
    <cellStyle name="_MultipleSpace_DCF Analysis 2" xfId="1749" xr:uid="{00000000-0005-0000-0000-000070030000}"/>
    <cellStyle name="_MultipleSpace_DIS Go Private Analysis v23" xfId="528" xr:uid="{00000000-0005-0000-0000-000071030000}"/>
    <cellStyle name="_MultipleSpace_DIS Go Private Analysis v23 2" xfId="1750" xr:uid="{00000000-0005-0000-0000-000072030000}"/>
    <cellStyle name="_MultipleSpace_Eagle Ridge Cash Flow 01-10-02_GS" xfId="529" xr:uid="{00000000-0005-0000-0000-000073030000}"/>
    <cellStyle name="_MultipleSpace_Eagle Ridge Cash Flow 01-10-02_GS 2" xfId="1751" xr:uid="{00000000-0005-0000-0000-000074030000}"/>
    <cellStyle name="_MultipleSpace_Eutelsat and Capex Analysis" xfId="530" xr:uid="{00000000-0005-0000-0000-000075030000}"/>
    <cellStyle name="_MultipleSpace_Eutelsat and Capex Analysis 2" xfId="1752" xr:uid="{00000000-0005-0000-0000-000076030000}"/>
    <cellStyle name="_MultipleSpace_Excel Inserts_v4" xfId="531" xr:uid="{00000000-0005-0000-0000-000077030000}"/>
    <cellStyle name="_MultipleSpace_Excel Inserts_v4 2" xfId="1753" xr:uid="{00000000-0005-0000-0000-000078030000}"/>
    <cellStyle name="_MultipleSpace_Final Canadian Bank Comp (sent to IBD)FORM" xfId="532" xr:uid="{00000000-0005-0000-0000-000079030000}"/>
    <cellStyle name="_MultipleSpace_Final Canadian Bank Comp (sent to IBD)FORM 2" xfId="1754" xr:uid="{00000000-0005-0000-0000-00007A030000}"/>
    <cellStyle name="_MultipleSpace_Football Field" xfId="533" xr:uid="{00000000-0005-0000-0000-00007B030000}"/>
    <cellStyle name="_MultipleSpace_Football Field 2" xfId="1755" xr:uid="{00000000-0005-0000-0000-00007C030000}"/>
    <cellStyle name="_MultipleSpace_IBES_EPS_Estimates" xfId="534" xr:uid="{00000000-0005-0000-0000-00007D030000}"/>
    <cellStyle name="_MultipleSpace_IBES_EPS_Estimates 2" xfId="1756" xr:uid="{00000000-0005-0000-0000-00007E030000}"/>
    <cellStyle name="_MultipleSpace_Master_Telecom_Equipment_CSCb" xfId="535" xr:uid="{00000000-0005-0000-0000-00007F030000}"/>
    <cellStyle name="_MultipleSpace_Master_Telecom_Equipment_CSCb 2" xfId="1757" xr:uid="{00000000-0005-0000-0000-000080030000}"/>
    <cellStyle name="_MultipleSpace_Merger Model - Exec" xfId="536" xr:uid="{00000000-0005-0000-0000-000081030000}"/>
    <cellStyle name="_MultipleSpace_Merger Model - Exec 2" xfId="1758" xr:uid="{00000000-0005-0000-0000-000082030000}"/>
    <cellStyle name="_MultipleSpace_merger plans" xfId="537" xr:uid="{00000000-0005-0000-0000-000083030000}"/>
    <cellStyle name="_MultipleSpace_merger plans 2" xfId="1759" xr:uid="{00000000-0005-0000-0000-000084030000}"/>
    <cellStyle name="_MultipleSpace_model_bk" xfId="538" xr:uid="{00000000-0005-0000-0000-000085030000}"/>
    <cellStyle name="_MultipleSpace_model_bk_BCE Model 1-8-07" xfId="539" xr:uid="{00000000-0005-0000-0000-000086030000}"/>
    <cellStyle name="_MultipleSpace_monet_final_w_output" xfId="540" xr:uid="{00000000-0005-0000-0000-000087030000}"/>
    <cellStyle name="_MultipleSpace_monet_final_w_output 2" xfId="1760" xr:uid="{00000000-0005-0000-0000-000088030000}"/>
    <cellStyle name="_MultipleSpace_monet2.4" xfId="541" xr:uid="{00000000-0005-0000-0000-000089030000}"/>
    <cellStyle name="_MultipleSpace_monet2.4_BCE Model 1-8-07" xfId="542" xr:uid="{00000000-0005-0000-0000-00008A030000}"/>
    <cellStyle name="_MultipleSpace_monet2.4_temp" xfId="543" xr:uid="{00000000-0005-0000-0000-00008B030000}"/>
    <cellStyle name="_MultipleSpace_monet2.4_temp_BCE Model 1-8-07" xfId="544" xr:uid="{00000000-0005-0000-0000-00008C030000}"/>
    <cellStyle name="_MultipleSpace_monet2.8" xfId="545" xr:uid="{00000000-0005-0000-0000-00008D030000}"/>
    <cellStyle name="_MultipleSpace_monet2.8_BCE Model 1-8-07" xfId="546" xr:uid="{00000000-0005-0000-0000-00008E030000}"/>
    <cellStyle name="_MultipleSpace_MotLion Projections may" xfId="547" xr:uid="{00000000-0005-0000-0000-00008F030000}"/>
    <cellStyle name="_MultipleSpace_MotLion Projections may 2" xfId="1761" xr:uid="{00000000-0005-0000-0000-000090030000}"/>
    <cellStyle name="_MultipleSpace_Old Life CSC" xfId="548" xr:uid="{00000000-0005-0000-0000-000091030000}"/>
    <cellStyle name="_MultipleSpace_Old Life CSC 2" xfId="1762" xr:uid="{00000000-0005-0000-0000-000092030000}"/>
    <cellStyle name="_MultipleSpace_pace_merger plans" xfId="549" xr:uid="{00000000-0005-0000-0000-000093030000}"/>
    <cellStyle name="_MultipleSpace_pace_merger plans 2" xfId="1763" xr:uid="{00000000-0005-0000-0000-000094030000}"/>
    <cellStyle name="_MultipleSpace_Palm Model 10_05" xfId="550" xr:uid="{00000000-0005-0000-0000-000095030000}"/>
    <cellStyle name="_MultipleSpace_Palm Model 10_05 2" xfId="1764" xr:uid="{00000000-0005-0000-0000-000096030000}"/>
    <cellStyle name="_MultipleSpace_pdf file" xfId="551" xr:uid="{00000000-0005-0000-0000-000097030000}"/>
    <cellStyle name="_MultipleSpace_pdf file 2" xfId="1765" xr:uid="{00000000-0005-0000-0000-000098030000}"/>
    <cellStyle name="_MultipleSpace_PNC_PF_2Q_update" xfId="552" xr:uid="{00000000-0005-0000-0000-000099030000}"/>
    <cellStyle name="_MultipleSpace_PNC_PF_2Q_update 2" xfId="1766" xr:uid="{00000000-0005-0000-0000-00009A030000}"/>
    <cellStyle name="_MultipleSpace_Potential Strategic Partners" xfId="553" xr:uid="{00000000-0005-0000-0000-00009B030000}"/>
    <cellStyle name="_MultipleSpace_Potential Strategic Partners 2" xfId="1767" xr:uid="{00000000-0005-0000-0000-00009C030000}"/>
    <cellStyle name="_MultipleSpace_QVC LBO Model 2-12-03 v3" xfId="554" xr:uid="{00000000-0005-0000-0000-00009D030000}"/>
    <cellStyle name="_MultipleSpace_QVC LBO Model 2-12-03 v3 2" xfId="1768" xr:uid="{00000000-0005-0000-0000-00009E030000}"/>
    <cellStyle name="_MultipleSpace_RJB Long LBO LTM" xfId="555" xr:uid="{00000000-0005-0000-0000-00009F030000}"/>
    <cellStyle name="_MultipleSpace_Summary Valuation Analysis" xfId="556" xr:uid="{00000000-0005-0000-0000-0000A0030000}"/>
    <cellStyle name="_MultipleSpace_Summary Valuation Analysis 2" xfId="1769" xr:uid="{00000000-0005-0000-0000-0000A1030000}"/>
    <cellStyle name="_MultipleSpace_Synergies" xfId="557" xr:uid="{00000000-0005-0000-0000-0000A2030000}"/>
    <cellStyle name="_MultipleSpace_Synergies 2" xfId="1770" xr:uid="{00000000-0005-0000-0000-0000A3030000}"/>
    <cellStyle name="_MultipleSpace_Troon DCF Model 8-13-02 v1" xfId="558" xr:uid="{00000000-0005-0000-0000-0000A4030000}"/>
    <cellStyle name="_MultipleSpace_Troon DCF Model 8-13-02 v1_BCE Model 1-8-07" xfId="559" xr:uid="{00000000-0005-0000-0000-0000A5030000}"/>
    <cellStyle name="_MultipleSpace_Troon Financials 8-1-02" xfId="560" xr:uid="{00000000-0005-0000-0000-0000A6030000}"/>
    <cellStyle name="_MultipleSpace_Troon Financials 8-1-02 2" xfId="1771" xr:uid="{00000000-0005-0000-0000-0000A7030000}"/>
    <cellStyle name="_MultipleSpace_Troon LLC FS dpakedit 8-7-02" xfId="561" xr:uid="{00000000-0005-0000-0000-0000A8030000}"/>
    <cellStyle name="_MultipleSpace_Troon LLC FS dpakedit 8-7-02 2" xfId="1772" xr:uid="{00000000-0005-0000-0000-0000A9030000}"/>
    <cellStyle name="_MultipleSpace_Troon LLC FS dpakedit 8-7-02 v3" xfId="562" xr:uid="{00000000-0005-0000-0000-0000AA030000}"/>
    <cellStyle name="_MultipleSpace_Troon LLC FS dpakedit 8-7-02 v3 2" xfId="1773" xr:uid="{00000000-0005-0000-0000-0000AB030000}"/>
    <cellStyle name="_MultipleSpace_Troon LLC FS dpakedit 8-7-02 v4" xfId="563" xr:uid="{00000000-0005-0000-0000-0000AC030000}"/>
    <cellStyle name="_MultipleSpace_Troon LLC FS dpakedit 8-7-02 v4 2" xfId="1774" xr:uid="{00000000-0005-0000-0000-0000AD030000}"/>
    <cellStyle name="_MultipleSpace_Troon_EBITDA" xfId="564" xr:uid="{00000000-0005-0000-0000-0000AE030000}"/>
    <cellStyle name="_MultipleSpace_Troon_EBITDA 2" xfId="1775" xr:uid="{00000000-0005-0000-0000-0000AF030000}"/>
    <cellStyle name="_MultipleSpace_Valuation Overview - June 2001" xfId="565" xr:uid="{00000000-0005-0000-0000-0000B0030000}"/>
    <cellStyle name="_MultipleSpace_Valuation Overview - June 2001_BCE Model 1-8-07" xfId="566" xr:uid="{00000000-0005-0000-0000-0000B1030000}"/>
    <cellStyle name="_MultipleSpace_Valuation_Troon dpak 8-5-02 v3" xfId="567" xr:uid="{00000000-0005-0000-0000-0000B2030000}"/>
    <cellStyle name="_MultipleSpace_Valuation_Troon dpak 8-5-02 v3 2" xfId="1776" xr:uid="{00000000-0005-0000-0000-0000B3030000}"/>
    <cellStyle name="_Output" xfId="568" xr:uid="{00000000-0005-0000-0000-0000B4030000}"/>
    <cellStyle name="_Percent" xfId="569" xr:uid="{00000000-0005-0000-0000-0000B5030000}"/>
    <cellStyle name="_Percent 2" xfId="1777" xr:uid="{00000000-0005-0000-0000-0000B6030000}"/>
    <cellStyle name="_Percent_101306 CanWest Excel BAck up v14" xfId="570" xr:uid="{00000000-0005-0000-0000-0000B7030000}"/>
    <cellStyle name="_Percent_Accretion-(Dilution) Pearl" xfId="571" xr:uid="{00000000-0005-0000-0000-0000B8030000}"/>
    <cellStyle name="_Percent_Accretion-(Dilution) Pearl 2" xfId="1778" xr:uid="{00000000-0005-0000-0000-0000B9030000}"/>
    <cellStyle name="_Percent_Acquisition Ops 3" xfId="572" xr:uid="{00000000-0005-0000-0000-0000BA030000}"/>
    <cellStyle name="_Percent_Acquisition Ops 3 2" xfId="1779" xr:uid="{00000000-0005-0000-0000-0000BB030000}"/>
    <cellStyle name="_Percent_Alamosa Merger" xfId="573" xr:uid="{00000000-0005-0000-0000-0000BC030000}"/>
    <cellStyle name="_Percent_Alamosa Standalone8b" xfId="574" xr:uid="{00000000-0005-0000-0000-0000BD030000}"/>
    <cellStyle name="_Percent_AVP" xfId="575" xr:uid="{00000000-0005-0000-0000-0000BE030000}"/>
    <cellStyle name="_Percent_AVP 2" xfId="1780" xr:uid="{00000000-0005-0000-0000-0000BF030000}"/>
    <cellStyle name="_Percent_Book1" xfId="576" xr:uid="{00000000-0005-0000-0000-0000C0030000}"/>
    <cellStyle name="_Percent_Book1 2" xfId="1781" xr:uid="{00000000-0005-0000-0000-0000C1030000}"/>
    <cellStyle name="_Percent_COMBO Final DCF_2" xfId="577" xr:uid="{00000000-0005-0000-0000-0000C2030000}"/>
    <cellStyle name="_Percent_Comparative Balance Sheets" xfId="578" xr:uid="{00000000-0005-0000-0000-0000C3030000}"/>
    <cellStyle name="_Percent_Comparative Balance Sheets 2" xfId="1782" xr:uid="{00000000-0005-0000-0000-0000C4030000}"/>
    <cellStyle name="_Percent_CSC with WACC" xfId="579" xr:uid="{00000000-0005-0000-0000-0000C5030000}"/>
    <cellStyle name="_Percent_CSC with WACC 2" xfId="1783" xr:uid="{00000000-0005-0000-0000-0000C6030000}"/>
    <cellStyle name="_Percent_Eutelsat and Capex Analysis" xfId="580" xr:uid="{00000000-0005-0000-0000-0000C7030000}"/>
    <cellStyle name="_Percent_Eutelsat and Capex Analysis 2" xfId="1784" xr:uid="{00000000-0005-0000-0000-0000C8030000}"/>
    <cellStyle name="_Percent_Master_Telecom_Equipment_CSCb" xfId="581" xr:uid="{00000000-0005-0000-0000-0000C9030000}"/>
    <cellStyle name="_Percent_Master_Telecom_Equipment_CSCb 2" xfId="1785" xr:uid="{00000000-0005-0000-0000-0000CA030000}"/>
    <cellStyle name="_Percent_Merger Model - Exec" xfId="582" xr:uid="{00000000-0005-0000-0000-0000CB030000}"/>
    <cellStyle name="_Percent_Merger Model - Exec 2" xfId="1786" xr:uid="{00000000-0005-0000-0000-0000CC030000}"/>
    <cellStyle name="_Percent_merger plans" xfId="583" xr:uid="{00000000-0005-0000-0000-0000CD030000}"/>
    <cellStyle name="_Percent_merger plans 2" xfId="1787" xr:uid="{00000000-0005-0000-0000-0000CE030000}"/>
    <cellStyle name="_Percent_monet2.4" xfId="584" xr:uid="{00000000-0005-0000-0000-0000CF030000}"/>
    <cellStyle name="_Percent_monet2.4 2" xfId="1788" xr:uid="{00000000-0005-0000-0000-0000D0030000}"/>
    <cellStyle name="_Percent_monet2.4_temp" xfId="585" xr:uid="{00000000-0005-0000-0000-0000D1030000}"/>
    <cellStyle name="_Percent_monet2.4_temp 2" xfId="1789" xr:uid="{00000000-0005-0000-0000-0000D2030000}"/>
    <cellStyle name="_Percent_monet2.8" xfId="586" xr:uid="{00000000-0005-0000-0000-0000D3030000}"/>
    <cellStyle name="_Percent_monet2.8 2" xfId="1790" xr:uid="{00000000-0005-0000-0000-0000D4030000}"/>
    <cellStyle name="_Percent_MotLion Projections may" xfId="587" xr:uid="{00000000-0005-0000-0000-0000D5030000}"/>
    <cellStyle name="_Percent_MotLion Projections may 2" xfId="1791" xr:uid="{00000000-0005-0000-0000-0000D6030000}"/>
    <cellStyle name="_Percent_pace_merger plans" xfId="588" xr:uid="{00000000-0005-0000-0000-0000D7030000}"/>
    <cellStyle name="_Percent_pace_merger plans 2" xfId="1792" xr:uid="{00000000-0005-0000-0000-0000D8030000}"/>
    <cellStyle name="_Percent_Palm Model 10_05" xfId="589" xr:uid="{00000000-0005-0000-0000-0000D9030000}"/>
    <cellStyle name="_Percent_Palm Model 10_05 2" xfId="1793" xr:uid="{00000000-0005-0000-0000-0000DA030000}"/>
    <cellStyle name="_Percent_pdf file" xfId="590" xr:uid="{00000000-0005-0000-0000-0000DB030000}"/>
    <cellStyle name="_Percent_pdf file 2" xfId="1794" xr:uid="{00000000-0005-0000-0000-0000DC030000}"/>
    <cellStyle name="_Percent_Sources and Uses FINAL dpakedit v2" xfId="591" xr:uid="{00000000-0005-0000-0000-0000DD030000}"/>
    <cellStyle name="_Percent_Sources and Uses FINAL dpakedit v2 2" xfId="1795" xr:uid="{00000000-0005-0000-0000-0000DE030000}"/>
    <cellStyle name="_Percent_Valuation Overview - June 2001" xfId="592" xr:uid="{00000000-0005-0000-0000-0000DF030000}"/>
    <cellStyle name="_Percent_Valuation Overview - June 2001 2" xfId="1796" xr:uid="{00000000-0005-0000-0000-0000E0030000}"/>
    <cellStyle name="_Percent_Valuation_Troon dpak 8-5-02 v3" xfId="593" xr:uid="{00000000-0005-0000-0000-0000E1030000}"/>
    <cellStyle name="_Percent_Valuation_Troon dpak 8-5-02 v3 2" xfId="1797" xr:uid="{00000000-0005-0000-0000-0000E2030000}"/>
    <cellStyle name="_PercentReal" xfId="594" xr:uid="{00000000-0005-0000-0000-0000E3030000}"/>
    <cellStyle name="_PercentReal_BCE Model 1-8-07" xfId="595" xr:uid="{00000000-0005-0000-0000-0000E4030000}"/>
    <cellStyle name="_PercentReal_bs_avp" xfId="596" xr:uid="{00000000-0005-0000-0000-0000E5030000}"/>
    <cellStyle name="_PercentReal_bs_avp_BCE Model 1-8-07" xfId="597" xr:uid="{00000000-0005-0000-0000-0000E6030000}"/>
    <cellStyle name="_percentReal_monet_final_w_output" xfId="598" xr:uid="{00000000-0005-0000-0000-0000E7030000}"/>
    <cellStyle name="_percentReal_monet_final_w_output_BCE Model 1-8-07" xfId="599" xr:uid="{00000000-0005-0000-0000-0000E8030000}"/>
    <cellStyle name="_PercentSpace" xfId="600" xr:uid="{00000000-0005-0000-0000-0000E9030000}"/>
    <cellStyle name="_PercentSpace 2" xfId="1798" xr:uid="{00000000-0005-0000-0000-0000EA030000}"/>
    <cellStyle name="_PercentSpace_101306 CanWest Excel BAck up v14" xfId="601" xr:uid="{00000000-0005-0000-0000-0000EB030000}"/>
    <cellStyle name="_PercentSpace_101306 CanWest Excel BAck up v14_BCE LBO Analysis (02_4_07) MASTER V6" xfId="602" xr:uid="{00000000-0005-0000-0000-0000EC030000}"/>
    <cellStyle name="_PercentSpace_Accretion-(Dilution) Pearl" xfId="603" xr:uid="{00000000-0005-0000-0000-0000ED030000}"/>
    <cellStyle name="_PercentSpace_Accretion-(Dilution) Pearl 2" xfId="1799" xr:uid="{00000000-0005-0000-0000-0000EE030000}"/>
    <cellStyle name="_PercentSpace_Acquisition Ops 3" xfId="604" xr:uid="{00000000-0005-0000-0000-0000EF030000}"/>
    <cellStyle name="_PercentSpace_Acquisition Ops 3 2" xfId="1800" xr:uid="{00000000-0005-0000-0000-0000F0030000}"/>
    <cellStyle name="_PercentSpace_Alamosa Merger" xfId="605" xr:uid="{00000000-0005-0000-0000-0000F1030000}"/>
    <cellStyle name="_PercentSpace_Alamosa Merger_BCE LBO Analysis (02_4_07) MASTER V6" xfId="606" xr:uid="{00000000-0005-0000-0000-0000F2030000}"/>
    <cellStyle name="_PercentSpace_Alamosa Standalone8b" xfId="607" xr:uid="{00000000-0005-0000-0000-0000F3030000}"/>
    <cellStyle name="_PercentSpace_Alamosa Standalone8b_BCE LBO Analysis (02_4_07) MASTER V6" xfId="608" xr:uid="{00000000-0005-0000-0000-0000F4030000}"/>
    <cellStyle name="_PercentSpace_AVP" xfId="609" xr:uid="{00000000-0005-0000-0000-0000F5030000}"/>
    <cellStyle name="_PercentSpace_AVP 2" xfId="1801" xr:uid="{00000000-0005-0000-0000-0000F6030000}"/>
    <cellStyle name="_PercentSpace_Book1" xfId="610" xr:uid="{00000000-0005-0000-0000-0000F7030000}"/>
    <cellStyle name="_PercentSpace_Book1 2" xfId="1802" xr:uid="{00000000-0005-0000-0000-0000F8030000}"/>
    <cellStyle name="_PercentSpace_Book1_Merger Plan 2-10-04 GSIBDv3" xfId="611" xr:uid="{00000000-0005-0000-0000-0000F9030000}"/>
    <cellStyle name="_PercentSpace_Book1_Merger Plan 2-10-04 GSIBDv3 2" xfId="1803" xr:uid="{00000000-0005-0000-0000-0000FA030000}"/>
    <cellStyle name="_PercentSpace_COMBO Final DCF_2" xfId="612" xr:uid="{00000000-0005-0000-0000-0000FB030000}"/>
    <cellStyle name="_PercentSpace_Comparative Balance Sheets" xfId="613" xr:uid="{00000000-0005-0000-0000-0000FC030000}"/>
    <cellStyle name="_PercentSpace_Comparative Balance Sheets 2" xfId="1804" xr:uid="{00000000-0005-0000-0000-0000FD030000}"/>
    <cellStyle name="_PercentSpace_CSC with WACC" xfId="614" xr:uid="{00000000-0005-0000-0000-0000FE030000}"/>
    <cellStyle name="_PercentSpace_CSC with WACC 2" xfId="1805" xr:uid="{00000000-0005-0000-0000-0000FF030000}"/>
    <cellStyle name="_PercentSpace_Eutelsat and Capex Analysis" xfId="615" xr:uid="{00000000-0005-0000-0000-000000040000}"/>
    <cellStyle name="_PercentSpace_Eutelsat and Capex Analysis 2" xfId="1806" xr:uid="{00000000-0005-0000-0000-000001040000}"/>
    <cellStyle name="_PercentSpace_Master_Telecom_Equipment_CSCb" xfId="616" xr:uid="{00000000-0005-0000-0000-000002040000}"/>
    <cellStyle name="_PercentSpace_Master_Telecom_Equipment_CSCb 2" xfId="1807" xr:uid="{00000000-0005-0000-0000-000003040000}"/>
    <cellStyle name="_PercentSpace_Merger Model - Exec" xfId="617" xr:uid="{00000000-0005-0000-0000-000004040000}"/>
    <cellStyle name="_PercentSpace_Merger Model - Exec 2" xfId="1808" xr:uid="{00000000-0005-0000-0000-000005040000}"/>
    <cellStyle name="_PercentSpace_merger plans" xfId="618" xr:uid="{00000000-0005-0000-0000-000006040000}"/>
    <cellStyle name="_PercentSpace_merger plans 2" xfId="1809" xr:uid="{00000000-0005-0000-0000-000007040000}"/>
    <cellStyle name="_PercentSpace_monet2.4" xfId="619" xr:uid="{00000000-0005-0000-0000-000008040000}"/>
    <cellStyle name="_PercentSpace_monet2.4 2" xfId="1810" xr:uid="{00000000-0005-0000-0000-000009040000}"/>
    <cellStyle name="_PercentSpace_monet2.4_temp" xfId="620" xr:uid="{00000000-0005-0000-0000-00000A040000}"/>
    <cellStyle name="_PercentSpace_monet2.4_temp 2" xfId="1811" xr:uid="{00000000-0005-0000-0000-00000B040000}"/>
    <cellStyle name="_PercentSpace_monet2.8" xfId="621" xr:uid="{00000000-0005-0000-0000-00000C040000}"/>
    <cellStyle name="_PercentSpace_monet2.8 2" xfId="1812" xr:uid="{00000000-0005-0000-0000-00000D040000}"/>
    <cellStyle name="_PercentSpace_MotLion Projections may" xfId="622" xr:uid="{00000000-0005-0000-0000-00000E040000}"/>
    <cellStyle name="_PercentSpace_MotLion Projections may 2" xfId="1813" xr:uid="{00000000-0005-0000-0000-00000F040000}"/>
    <cellStyle name="_PercentSpace_pace_merger plans" xfId="623" xr:uid="{00000000-0005-0000-0000-000010040000}"/>
    <cellStyle name="_PercentSpace_pace_merger plans 2" xfId="1814" xr:uid="{00000000-0005-0000-0000-000011040000}"/>
    <cellStyle name="_PercentSpace_Palm Model 10_05" xfId="624" xr:uid="{00000000-0005-0000-0000-000012040000}"/>
    <cellStyle name="_PercentSpace_Palm Model 10_05 2" xfId="1815" xr:uid="{00000000-0005-0000-0000-000013040000}"/>
    <cellStyle name="_PercentSpace_pdf file" xfId="625" xr:uid="{00000000-0005-0000-0000-000014040000}"/>
    <cellStyle name="_PercentSpace_pdf file 2" xfId="1816" xr:uid="{00000000-0005-0000-0000-000015040000}"/>
    <cellStyle name="_PercentSpace_Projections--Management (Data Room)v6" xfId="626" xr:uid="{00000000-0005-0000-0000-000016040000}"/>
    <cellStyle name="_PercentSpace_Projections--Management (Data Room)v6 2" xfId="1817" xr:uid="{00000000-0005-0000-0000-000017040000}"/>
    <cellStyle name="_PercentSpace_RJB Long LBO LTM" xfId="627" xr:uid="{00000000-0005-0000-0000-000018040000}"/>
    <cellStyle name="_PercentSpace_Sources and Uses FINAL dpakedit v2" xfId="628" xr:uid="{00000000-0005-0000-0000-000019040000}"/>
    <cellStyle name="_PercentSpace_Sources and Uses FINAL dpakedit v2 2" xfId="1818" xr:uid="{00000000-0005-0000-0000-00001A040000}"/>
    <cellStyle name="_PercentSpace_Valuation Overview - June 2001" xfId="629" xr:uid="{00000000-0005-0000-0000-00001B040000}"/>
    <cellStyle name="_PercentSpace_Valuation Overview - June 2001 2" xfId="1819" xr:uid="{00000000-0005-0000-0000-00001C040000}"/>
    <cellStyle name="_PercentSpace_Valuation_Troon dpak 8-5-02 v3" xfId="630" xr:uid="{00000000-0005-0000-0000-00001D040000}"/>
    <cellStyle name="_PercentSpace_Valuation_Troon dpak 8-5-02 v3 2" xfId="1820" xr:uid="{00000000-0005-0000-0000-00001E040000}"/>
    <cellStyle name="_Preliminary LBO model 012305" xfId="631" xr:uid="{00000000-0005-0000-0000-00001F040000}"/>
    <cellStyle name="_Preliminary LBO model 012305 2" xfId="1821" xr:uid="{00000000-0005-0000-0000-000020040000}"/>
    <cellStyle name="_Sources and Uses FINAL dpakedit v2" xfId="632" xr:uid="{00000000-0005-0000-0000-000021040000}"/>
    <cellStyle name="_Sources and Uses FINAL dpakedit v2 2" xfId="1822" xr:uid="{00000000-0005-0000-0000-000022040000}"/>
    <cellStyle name="_SubHeading" xfId="633" xr:uid="{00000000-0005-0000-0000-000023040000}"/>
    <cellStyle name="_SubHeading_01 model" xfId="634" xr:uid="{00000000-0005-0000-0000-000024040000}"/>
    <cellStyle name="_SubHeading_01 Selected Financials_Salt Business" xfId="635" xr:uid="{00000000-0005-0000-0000-000025040000}"/>
    <cellStyle name="_SubHeading_01 Selected Financials_Salt Business 2" xfId="1823" xr:uid="{00000000-0005-0000-0000-000026040000}"/>
    <cellStyle name="_SubHeading_02 Potential Partner Ability to Pay Analysis2" xfId="636" xr:uid="{00000000-0005-0000-0000-000027040000}"/>
    <cellStyle name="_SubHeading_02 Quick Model_PQ Corporation" xfId="637" xr:uid="{00000000-0005-0000-0000-000028040000}"/>
    <cellStyle name="_SubHeading_02 Quick Model_PQ Corporation 2" xfId="1824" xr:uid="{00000000-0005-0000-0000-000029040000}"/>
    <cellStyle name="_SubHeading_06 Analysis at Various Prices" xfId="638" xr:uid="{00000000-0005-0000-0000-00002A040000}"/>
    <cellStyle name="_SubHeading_06 Analysis at Various Prices 2" xfId="1825" xr:uid="{00000000-0005-0000-0000-00002B040000}"/>
    <cellStyle name="_SubHeading_12 Merger Plans" xfId="639" xr:uid="{00000000-0005-0000-0000-00002C040000}"/>
    <cellStyle name="_SubHeading_accretion dilution analysis" xfId="640" xr:uid="{00000000-0005-0000-0000-00002D040000}"/>
    <cellStyle name="_SubHeading_bank_csc_and merger plan4" xfId="641" xr:uid="{00000000-0005-0000-0000-00002E040000}"/>
    <cellStyle name="_SubHeading_bank_csc_Q1_2001" xfId="642" xr:uid="{00000000-0005-0000-0000-00002F040000}"/>
    <cellStyle name="_SubHeading_bank_csc_Q2_2001" xfId="643" xr:uid="{00000000-0005-0000-0000-000030040000}"/>
    <cellStyle name="_SubHeading_bank_csc_Q2_2001_c1" xfId="644" xr:uid="{00000000-0005-0000-0000-000031040000}"/>
    <cellStyle name="_SubHeading_Book1" xfId="645" xr:uid="{00000000-0005-0000-0000-000032040000}"/>
    <cellStyle name="_SubHeading_CSC with WACC" xfId="646" xr:uid="{00000000-0005-0000-0000-000033040000}"/>
    <cellStyle name="_SubHeading_CSC_Palm_Sum_of_Parts_5_23_01a" xfId="647" xr:uid="{00000000-0005-0000-0000-000034040000}"/>
    <cellStyle name="_SubHeading_Dave Model Final v 1" xfId="648" xr:uid="{00000000-0005-0000-0000-000035040000}"/>
    <cellStyle name="_SubHeading_Dave Model Final v 1 2" xfId="1826" xr:uid="{00000000-0005-0000-0000-000036040000}"/>
    <cellStyle name="_SubHeading_er" xfId="649" xr:uid="{00000000-0005-0000-0000-000037040000}"/>
    <cellStyle name="_SubHeading_FigTech Merger Model_02" xfId="650" xr:uid="{00000000-0005-0000-0000-000038040000}"/>
    <cellStyle name="_SubHeading_Final Canadian Bank Comp (sent to IBD)FORM" xfId="651" xr:uid="{00000000-0005-0000-0000-000039040000}"/>
    <cellStyle name="_SubHeading_Final Canadian Bank Comp (sent to IBD)FORM 2" xfId="1827" xr:uid="{00000000-0005-0000-0000-00003A040000}"/>
    <cellStyle name="_SubHeading_Financials Layout dpak 9-26-01 v1" xfId="652" xr:uid="{00000000-0005-0000-0000-00003B040000}"/>
    <cellStyle name="_SubHeading_Football Field" xfId="653" xr:uid="{00000000-0005-0000-0000-00003C040000}"/>
    <cellStyle name="_SubHeading_IBES_EPS_Estimates" xfId="654" xr:uid="{00000000-0005-0000-0000-00003D040000}"/>
    <cellStyle name="_SubHeading_lbo_long_model" xfId="655" xr:uid="{00000000-0005-0000-0000-00003E040000}"/>
    <cellStyle name="_SubHeading_lbo_long_model 2" xfId="1828" xr:uid="{00000000-0005-0000-0000-00003F040000}"/>
    <cellStyle name="_SubHeading_Master_Telecom_Equipment_CSC_5_9_01_v02" xfId="656" xr:uid="{00000000-0005-0000-0000-000040040000}"/>
    <cellStyle name="_SubHeading_Master_Telecom_Equipment_CSCb" xfId="657" xr:uid="{00000000-0005-0000-0000-000041040000}"/>
    <cellStyle name="_SubHeading_MAXF historical financials" xfId="658" xr:uid="{00000000-0005-0000-0000-000042040000}"/>
    <cellStyle name="_SubHeading_MAXF historical financials 2" xfId="1830" xr:uid="{00000000-0005-0000-0000-000043040000}"/>
    <cellStyle name="_SubHeading_Merger model_new_ability to pay" xfId="659" xr:uid="{00000000-0005-0000-0000-000044040000}"/>
    <cellStyle name="_SubHeading_Merger Plan 31-Scenario 12" xfId="660" xr:uid="{00000000-0005-0000-0000-000045040000}"/>
    <cellStyle name="_SubHeading_merger plans_June 1" xfId="661" xr:uid="{00000000-0005-0000-0000-000046040000}"/>
    <cellStyle name="_SubHeading_model_bk" xfId="662" xr:uid="{00000000-0005-0000-0000-000047040000}"/>
    <cellStyle name="_SubHeading_monet2.4" xfId="663" xr:uid="{00000000-0005-0000-0000-000048040000}"/>
    <cellStyle name="_SubHeading_MotLion Projections may" xfId="664" xr:uid="{00000000-0005-0000-0000-000049040000}"/>
    <cellStyle name="_SubHeading_PL Consolidated (2003)" xfId="665" xr:uid="{00000000-0005-0000-0000-00004A040000}"/>
    <cellStyle name="_SubHeading_PL Consolidated (2003) 2" xfId="1831" xr:uid="{00000000-0005-0000-0000-00004B040000}"/>
    <cellStyle name="_SubHeading_PNC_merger_plan_divestitures_05" xfId="666" xr:uid="{00000000-0005-0000-0000-00004C040000}"/>
    <cellStyle name="_SubHeading_Potential Strategic Partners" xfId="667" xr:uid="{00000000-0005-0000-0000-00004D040000}"/>
    <cellStyle name="_SubHeading_prestemp" xfId="668" xr:uid="{00000000-0005-0000-0000-00004E040000}"/>
    <cellStyle name="_SubHeading_prestemp 2" xfId="1832" xr:uid="{00000000-0005-0000-0000-00004F040000}"/>
    <cellStyle name="_SubHeading_prestemp_1" xfId="669" xr:uid="{00000000-0005-0000-0000-000050040000}"/>
    <cellStyle name="_SubHeading_prestemp_1 2" xfId="1833" xr:uid="{00000000-0005-0000-0000-000051040000}"/>
    <cellStyle name="_SubHeading_prestemp_AVP - prev. 06 financials" xfId="670" xr:uid="{00000000-0005-0000-0000-000052040000}"/>
    <cellStyle name="_SubHeading_prestemp_Palm Model 10_05" xfId="671" xr:uid="{00000000-0005-0000-0000-000053040000}"/>
    <cellStyle name="_SubHeading_prestemp_PNC_merger_plan_divestitures_05" xfId="672" xr:uid="{00000000-0005-0000-0000-000054040000}"/>
    <cellStyle name="_SubHeading_prestemp_PNC_PF_2Q_update" xfId="673" xr:uid="{00000000-0005-0000-0000-000055040000}"/>
    <cellStyle name="_SubHeading_prestemp_PNC_PF_2Q_update 2" xfId="1834" xr:uid="{00000000-0005-0000-0000-000056040000}"/>
    <cellStyle name="_SubHeading_prestemp_Simple Merger Plans" xfId="674" xr:uid="{00000000-0005-0000-0000-000057040000}"/>
    <cellStyle name="_SubHeading_prestemp_Troon DCF Model 8-13-02 v1" xfId="675" xr:uid="{00000000-0005-0000-0000-000058040000}"/>
    <cellStyle name="_SubHeading_prestemp_Valuation_Troon dpak 8-5-02 v3" xfId="676" xr:uid="{00000000-0005-0000-0000-000059040000}"/>
    <cellStyle name="_SubHeading_prestemp_Valuation_Troon dpak 8-5-02 v3 2" xfId="1835" xr:uid="{00000000-0005-0000-0000-00005A040000}"/>
    <cellStyle name="_SubHeading_Simple Merger Plans" xfId="677" xr:uid="{00000000-0005-0000-0000-00005B040000}"/>
    <cellStyle name="_SubHeading_Stallion Analysis_a" xfId="678" xr:uid="{00000000-0005-0000-0000-00005C040000}"/>
    <cellStyle name="_SubHeading_stand_alone_dcf" xfId="679" xr:uid="{00000000-0005-0000-0000-00005D040000}"/>
    <cellStyle name="_SubHeading_Summary Financials 04" xfId="680" xr:uid="{00000000-0005-0000-0000-00005E040000}"/>
    <cellStyle name="_SubHeading_Summary Valuation Analysis" xfId="681" xr:uid="{00000000-0005-0000-0000-00005F040000}"/>
    <cellStyle name="_SubHeading_Synergies" xfId="682" xr:uid="{00000000-0005-0000-0000-000060040000}"/>
    <cellStyle name="_SubHeading_Troon DCF Model 8-13-02 v1" xfId="683" xr:uid="{00000000-0005-0000-0000-000061040000}"/>
    <cellStyle name="_SubHeading_Troon LLC FS dpakedit 8-7-02" xfId="684" xr:uid="{00000000-0005-0000-0000-000062040000}"/>
    <cellStyle name="_SubHeading_Troon LLC FS dpakedit 8-7-02 v3" xfId="685" xr:uid="{00000000-0005-0000-0000-000063040000}"/>
    <cellStyle name="_SubHeading_Troon LLC FS dpakedit 8-7-02 v4" xfId="686" xr:uid="{00000000-0005-0000-0000-000064040000}"/>
    <cellStyle name="_SubHeading_Valuation_Troon dpak 8-5-02 v3" xfId="687" xr:uid="{00000000-0005-0000-0000-000065040000}"/>
    <cellStyle name="_Table" xfId="688" xr:uid="{00000000-0005-0000-0000-000066040000}"/>
    <cellStyle name="_Table_01 model" xfId="689" xr:uid="{00000000-0005-0000-0000-000067040000}"/>
    <cellStyle name="_Table_01 Selected Financials_Salt Business" xfId="690" xr:uid="{00000000-0005-0000-0000-000068040000}"/>
    <cellStyle name="_Table_01 Selected Financials_Salt Business 2" xfId="1836" xr:uid="{00000000-0005-0000-0000-000069040000}"/>
    <cellStyle name="_Table_02 Potential Partner Ability to Pay Analysis2" xfId="691" xr:uid="{00000000-0005-0000-0000-00006A040000}"/>
    <cellStyle name="_Table_02 Quick Model_PQ Corporation" xfId="692" xr:uid="{00000000-0005-0000-0000-00006B040000}"/>
    <cellStyle name="_Table_02 Quick Model_PQ Corporation 2" xfId="1837" xr:uid="{00000000-0005-0000-0000-00006C040000}"/>
    <cellStyle name="_Table_06 Analysis at Various Prices" xfId="693" xr:uid="{00000000-0005-0000-0000-00006D040000}"/>
    <cellStyle name="_Table_06 Analysis at Various Prices 2" xfId="1838" xr:uid="{00000000-0005-0000-0000-00006E040000}"/>
    <cellStyle name="_Table_12 Merger Plans" xfId="694" xr:uid="{00000000-0005-0000-0000-00006F040000}"/>
    <cellStyle name="_Table_accretion dilution analysis" xfId="695" xr:uid="{00000000-0005-0000-0000-000070040000}"/>
    <cellStyle name="_Table_bank_csc_and merger plan4" xfId="696" xr:uid="{00000000-0005-0000-0000-000071040000}"/>
    <cellStyle name="_Table_bank_csc_Q1_2001" xfId="697" xr:uid="{00000000-0005-0000-0000-000072040000}"/>
    <cellStyle name="_Table_bank_csc_Q2_2001" xfId="698" xr:uid="{00000000-0005-0000-0000-000073040000}"/>
    <cellStyle name="_Table_bank_csc_Q2_2001_c1" xfId="699" xr:uid="{00000000-0005-0000-0000-000074040000}"/>
    <cellStyle name="_Table_CSC_Palm_Sum_of_Parts_5_23_01a" xfId="700" xr:uid="{00000000-0005-0000-0000-000075040000}"/>
    <cellStyle name="_Table_Dave Model Final v 1" xfId="701" xr:uid="{00000000-0005-0000-0000-000076040000}"/>
    <cellStyle name="_Table_Dave Model Final v 1 2" xfId="1839" xr:uid="{00000000-0005-0000-0000-000077040000}"/>
    <cellStyle name="_Table_FigTech Merger Model_02" xfId="702" xr:uid="{00000000-0005-0000-0000-000078040000}"/>
    <cellStyle name="_Table_Financials Layout dpak 9-26-01 v1" xfId="703" xr:uid="{00000000-0005-0000-0000-000079040000}"/>
    <cellStyle name="_Table_Football Field" xfId="704" xr:uid="{00000000-0005-0000-0000-00007A040000}"/>
    <cellStyle name="_Table_IBES_EPS_Estimates" xfId="705" xr:uid="{00000000-0005-0000-0000-00007B040000}"/>
    <cellStyle name="_Table_Merger model_new_ability to pay" xfId="706" xr:uid="{00000000-0005-0000-0000-00007C040000}"/>
    <cellStyle name="_Table_model_bk" xfId="707" xr:uid="{00000000-0005-0000-0000-00007D040000}"/>
    <cellStyle name="_Table_monet_final_w_output" xfId="708" xr:uid="{00000000-0005-0000-0000-00007E040000}"/>
    <cellStyle name="_Table_Palm Model 10_05" xfId="709" xr:uid="{00000000-0005-0000-0000-00007F040000}"/>
    <cellStyle name="_Table_Palm Model 10_05 2" xfId="1840" xr:uid="{00000000-0005-0000-0000-000080040000}"/>
    <cellStyle name="_Table_PNC_merger_plan_divestitures_05" xfId="710" xr:uid="{00000000-0005-0000-0000-000081040000}"/>
    <cellStyle name="_Table_Potential Strategic Partners" xfId="711" xr:uid="{00000000-0005-0000-0000-000082040000}"/>
    <cellStyle name="_Table_Simple Merger Plans" xfId="712" xr:uid="{00000000-0005-0000-0000-000083040000}"/>
    <cellStyle name="_Table_Stallion Analysis_a" xfId="713" xr:uid="{00000000-0005-0000-0000-000084040000}"/>
    <cellStyle name="_Table_stand_alone_dcf" xfId="714" xr:uid="{00000000-0005-0000-0000-000085040000}"/>
    <cellStyle name="_Table_Summary Valuation Analysis" xfId="715" xr:uid="{00000000-0005-0000-0000-000086040000}"/>
    <cellStyle name="_Table_Synergies" xfId="716" xr:uid="{00000000-0005-0000-0000-000087040000}"/>
    <cellStyle name="_Table_Troon DCF Model 8-13-02 v1" xfId="717" xr:uid="{00000000-0005-0000-0000-000088040000}"/>
    <cellStyle name="_Table_Troon LLC FS dpakedit 8-7-02" xfId="718" xr:uid="{00000000-0005-0000-0000-000089040000}"/>
    <cellStyle name="_Table_Troon LLC FS dpakedit 8-7-02 v3" xfId="719" xr:uid="{00000000-0005-0000-0000-00008A040000}"/>
    <cellStyle name="_Table_Troon LLC FS dpakedit 8-7-02 v4" xfId="720" xr:uid="{00000000-0005-0000-0000-00008B040000}"/>
    <cellStyle name="_Table_Valuation_Troon dpak 8-5-02 v3" xfId="721" xr:uid="{00000000-0005-0000-0000-00008C040000}"/>
    <cellStyle name="_TableHead" xfId="722" xr:uid="{00000000-0005-0000-0000-00008D040000}"/>
    <cellStyle name="_TableHead_01 Selected Financials_Salt Business" xfId="723" xr:uid="{00000000-0005-0000-0000-00008E040000}"/>
    <cellStyle name="_TableHead_01 Selected Financials_Salt Business 2" xfId="1841" xr:uid="{00000000-0005-0000-0000-00008F040000}"/>
    <cellStyle name="_TableHead_02 Quick Model_PQ Corporation" xfId="724" xr:uid="{00000000-0005-0000-0000-000090040000}"/>
    <cellStyle name="_TableHead_02 Quick Model_PQ Corporation 2" xfId="1842" xr:uid="{00000000-0005-0000-0000-000091040000}"/>
    <cellStyle name="_TableHead_06 Analysis at Various Prices" xfId="725" xr:uid="{00000000-0005-0000-0000-000092040000}"/>
    <cellStyle name="_TableHead_06 Analysis at Various Prices 2" xfId="1843" xr:uid="{00000000-0005-0000-0000-000093040000}"/>
    <cellStyle name="_TableHead_accretion dilution analysis" xfId="726" xr:uid="{00000000-0005-0000-0000-000094040000}"/>
    <cellStyle name="_TableHead_AVP - prev. 06 financials" xfId="727" xr:uid="{00000000-0005-0000-0000-000095040000}"/>
    <cellStyle name="_TableHead_bank_csc_Q1_2001" xfId="728" xr:uid="{00000000-0005-0000-0000-000096040000}"/>
    <cellStyle name="_TableHead_bank_csc_Q2_2001_c1" xfId="729" xr:uid="{00000000-0005-0000-0000-000097040000}"/>
    <cellStyle name="_TableHead_CSC_Palm_Sum_of_Parts_5_23_01a" xfId="730" xr:uid="{00000000-0005-0000-0000-000098040000}"/>
    <cellStyle name="_TableHead_Dave Model Final v 1" xfId="731" xr:uid="{00000000-0005-0000-0000-000099040000}"/>
    <cellStyle name="_TableHead_Dave Model Final v 1 2" xfId="1844" xr:uid="{00000000-0005-0000-0000-00009A040000}"/>
    <cellStyle name="_TableHead_Financials Layout dpak 9-26-01 v1" xfId="732" xr:uid="{00000000-0005-0000-0000-00009B040000}"/>
    <cellStyle name="_TableHead_IBES_EPS_Estimates" xfId="733" xr:uid="{00000000-0005-0000-0000-00009C040000}"/>
    <cellStyle name="_TableHead_model_bk" xfId="734" xr:uid="{00000000-0005-0000-0000-00009D040000}"/>
    <cellStyle name="_TableHead_monet_final_w_output" xfId="735" xr:uid="{00000000-0005-0000-0000-00009E040000}"/>
    <cellStyle name="_TableHead_Palm Model 10_05" xfId="736" xr:uid="{00000000-0005-0000-0000-00009F040000}"/>
    <cellStyle name="_TableHead_Palm Model 10_05 2" xfId="1845" xr:uid="{00000000-0005-0000-0000-0000A0040000}"/>
    <cellStyle name="_TableHead_Potential Strategic Partners" xfId="737" xr:uid="{00000000-0005-0000-0000-0000A1040000}"/>
    <cellStyle name="_TableHead_Simple Merger Plans" xfId="738" xr:uid="{00000000-0005-0000-0000-0000A2040000}"/>
    <cellStyle name="_TableHeading" xfId="739" xr:uid="{00000000-0005-0000-0000-0000A3040000}"/>
    <cellStyle name="_TableRowBorder" xfId="740" xr:uid="{00000000-0005-0000-0000-0000A4040000}"/>
    <cellStyle name="_TableRowBorder 2" xfId="1846" xr:uid="{00000000-0005-0000-0000-0000A5040000}"/>
    <cellStyle name="_TableRowHead" xfId="741" xr:uid="{00000000-0005-0000-0000-0000A6040000}"/>
    <cellStyle name="_TableRowHead_01 Selected Financials_Salt Business" xfId="742" xr:uid="{00000000-0005-0000-0000-0000A7040000}"/>
    <cellStyle name="_TableRowHead_01 Selected Financials_Salt Business 2" xfId="1847" xr:uid="{00000000-0005-0000-0000-0000A8040000}"/>
    <cellStyle name="_TableRowHead_02 Quick Model_PQ Corporation" xfId="743" xr:uid="{00000000-0005-0000-0000-0000A9040000}"/>
    <cellStyle name="_TableRowHead_02 Quick Model_PQ Corporation 2" xfId="1848" xr:uid="{00000000-0005-0000-0000-0000AA040000}"/>
    <cellStyle name="_TableRowHead_06 Analysis at Various Prices" xfId="744" xr:uid="{00000000-0005-0000-0000-0000AB040000}"/>
    <cellStyle name="_TableRowHead_06 Analysis at Various Prices 2" xfId="1849" xr:uid="{00000000-0005-0000-0000-0000AC040000}"/>
    <cellStyle name="_TableRowHead_accretion dilution analysis" xfId="745" xr:uid="{00000000-0005-0000-0000-0000AD040000}"/>
    <cellStyle name="_TableRowHead_CSC_Palm_Sum_of_Parts_5_23_01a" xfId="746" xr:uid="{00000000-0005-0000-0000-0000AE040000}"/>
    <cellStyle name="_TableRowHead_Dave Model Final v 1" xfId="747" xr:uid="{00000000-0005-0000-0000-0000AF040000}"/>
    <cellStyle name="_TableRowHead_Dave Model Final v 1 2" xfId="1850" xr:uid="{00000000-0005-0000-0000-0000B0040000}"/>
    <cellStyle name="_TableRowHead_Financials Layout dpak 9-26-01 v1" xfId="748" xr:uid="{00000000-0005-0000-0000-0000B1040000}"/>
    <cellStyle name="_TableRowHead_IBES_EPS_Estimates" xfId="749" xr:uid="{00000000-0005-0000-0000-0000B2040000}"/>
    <cellStyle name="_TableRowHead_Palm Model 10_05" xfId="750" xr:uid="{00000000-0005-0000-0000-0000B3040000}"/>
    <cellStyle name="_TableRowHead_Palm Model 10_05 2" xfId="1851" xr:uid="{00000000-0005-0000-0000-0000B4040000}"/>
    <cellStyle name="_TableRowHead_Potential Strategic Partners" xfId="751" xr:uid="{00000000-0005-0000-0000-0000B5040000}"/>
    <cellStyle name="_TableRowHead_Simple Merger Plans" xfId="752" xr:uid="{00000000-0005-0000-0000-0000B6040000}"/>
    <cellStyle name="_TableRowHeading" xfId="753" xr:uid="{00000000-0005-0000-0000-0000B7040000}"/>
    <cellStyle name="_TableSuperHead" xfId="754" xr:uid="{00000000-0005-0000-0000-0000B8040000}"/>
    <cellStyle name="_TableSuperHead_01 model" xfId="755" xr:uid="{00000000-0005-0000-0000-0000B9040000}"/>
    <cellStyle name="_TableSuperHead_01 Selected Financials_Salt Business" xfId="756" xr:uid="{00000000-0005-0000-0000-0000BA040000}"/>
    <cellStyle name="_TableSuperHead_01 Selected Financials_Salt Business 2" xfId="1852" xr:uid="{00000000-0005-0000-0000-0000BB040000}"/>
    <cellStyle name="_TableSuperHead_02 Potential Partner Ability to Pay Analysis2" xfId="757" xr:uid="{00000000-0005-0000-0000-0000BC040000}"/>
    <cellStyle name="_TableSuperHead_02 Quick Model_PQ Corporation" xfId="758" xr:uid="{00000000-0005-0000-0000-0000BD040000}"/>
    <cellStyle name="_TableSuperHead_02 Quick Model_PQ Corporation 2" xfId="1853" xr:uid="{00000000-0005-0000-0000-0000BE040000}"/>
    <cellStyle name="_TableSuperHead_06 Analysis at Various Prices" xfId="759" xr:uid="{00000000-0005-0000-0000-0000BF040000}"/>
    <cellStyle name="_TableSuperHead_06 Analysis at Various Prices 2" xfId="1854" xr:uid="{00000000-0005-0000-0000-0000C0040000}"/>
    <cellStyle name="_TableSuperHead_12 Merger Plans" xfId="760" xr:uid="{00000000-0005-0000-0000-0000C1040000}"/>
    <cellStyle name="_TableSuperHead_accretion dilution analysis" xfId="761" xr:uid="{00000000-0005-0000-0000-0000C2040000}"/>
    <cellStyle name="_TableSuperHead_AVP - prev. 06 financials" xfId="762" xr:uid="{00000000-0005-0000-0000-0000C3040000}"/>
    <cellStyle name="_TableSuperHead_bank_csc_and merger plan4" xfId="763" xr:uid="{00000000-0005-0000-0000-0000C4040000}"/>
    <cellStyle name="_TableSuperHead_bank_csc_Q1_2001" xfId="764" xr:uid="{00000000-0005-0000-0000-0000C5040000}"/>
    <cellStyle name="_TableSuperHead_bank_csc_Q2_2001" xfId="765" xr:uid="{00000000-0005-0000-0000-0000C6040000}"/>
    <cellStyle name="_TableSuperHead_bank_csc_Q2_2001_c1" xfId="766" xr:uid="{00000000-0005-0000-0000-0000C7040000}"/>
    <cellStyle name="_TableSuperHead_CSC_Palm_Sum_of_Parts_5_23_01a" xfId="767" xr:uid="{00000000-0005-0000-0000-0000C8040000}"/>
    <cellStyle name="_TableSuperHead_Dave Model Final v 1" xfId="768" xr:uid="{00000000-0005-0000-0000-0000C9040000}"/>
    <cellStyle name="_TableSuperHead_Dave Model Final v 1 2" xfId="1855" xr:uid="{00000000-0005-0000-0000-0000CA040000}"/>
    <cellStyle name="_TableSuperHead_FigTech Merger Model_02" xfId="769" xr:uid="{00000000-0005-0000-0000-0000CB040000}"/>
    <cellStyle name="_TableSuperHead_Financials Layout dpak 9-26-01 v1" xfId="770" xr:uid="{00000000-0005-0000-0000-0000CC040000}"/>
    <cellStyle name="_TableSuperHead_Football Field" xfId="771" xr:uid="{00000000-0005-0000-0000-0000CD040000}"/>
    <cellStyle name="_TableSuperHead_IBES_EPS_Estimates" xfId="772" xr:uid="{00000000-0005-0000-0000-0000CE040000}"/>
    <cellStyle name="_TableSuperHead_Merger model_new_ability to pay" xfId="773" xr:uid="{00000000-0005-0000-0000-0000CF040000}"/>
    <cellStyle name="_TableSuperHead_model_bk" xfId="774" xr:uid="{00000000-0005-0000-0000-0000D0040000}"/>
    <cellStyle name="_TableSuperHead_monet_final_w_output" xfId="775" xr:uid="{00000000-0005-0000-0000-0000D1040000}"/>
    <cellStyle name="_TableSuperHead_Palm Model 10_05" xfId="776" xr:uid="{00000000-0005-0000-0000-0000D2040000}"/>
    <cellStyle name="_TableSuperHead_Palm Model 10_05 2" xfId="1856" xr:uid="{00000000-0005-0000-0000-0000D3040000}"/>
    <cellStyle name="_TableSuperHead_PNC_merger_plan_divestitures_05" xfId="777" xr:uid="{00000000-0005-0000-0000-0000D4040000}"/>
    <cellStyle name="_TableSuperHead_Potential Strategic Partners" xfId="778" xr:uid="{00000000-0005-0000-0000-0000D5040000}"/>
    <cellStyle name="_TableSuperHead_Simple Merger Plans" xfId="779" xr:uid="{00000000-0005-0000-0000-0000D6040000}"/>
    <cellStyle name="_TableSuperHead_Stallion Analysis_a" xfId="780" xr:uid="{00000000-0005-0000-0000-0000D7040000}"/>
    <cellStyle name="_TableSuperHead_stand_alone_dcf" xfId="781" xr:uid="{00000000-0005-0000-0000-0000D8040000}"/>
    <cellStyle name="_TableSuperHead_Summary Valuation Analysis" xfId="782" xr:uid="{00000000-0005-0000-0000-0000D9040000}"/>
    <cellStyle name="_TableSuperHead_Synergies" xfId="783" xr:uid="{00000000-0005-0000-0000-0000DA040000}"/>
    <cellStyle name="_TableSuperHead_Troon DCF Model 8-13-02 v1" xfId="784" xr:uid="{00000000-0005-0000-0000-0000DB040000}"/>
    <cellStyle name="_TableSuperHead_Troon LLC FS dpakedit 8-7-02" xfId="785" xr:uid="{00000000-0005-0000-0000-0000DC040000}"/>
    <cellStyle name="_TableSuperHead_Troon LLC FS dpakedit 8-7-02 v3" xfId="786" xr:uid="{00000000-0005-0000-0000-0000DD040000}"/>
    <cellStyle name="_TableSuperHead_Troon LLC FS dpakedit 8-7-02 v4" xfId="787" xr:uid="{00000000-0005-0000-0000-0000DE040000}"/>
    <cellStyle name="_TableSuperHead_Valuation_Troon dpak 8-5-02 v3" xfId="788" xr:uid="{00000000-0005-0000-0000-0000DF040000}"/>
    <cellStyle name="_TableSuperHeading" xfId="789" xr:uid="{00000000-0005-0000-0000-0000E0040000}"/>
    <cellStyle name="_TableText" xfId="790" xr:uid="{00000000-0005-0000-0000-0000E1040000}"/>
    <cellStyle name="_Titan Standalone" xfId="791" xr:uid="{00000000-0005-0000-0000-0000E2040000}"/>
    <cellStyle name="_WACC Analysis" xfId="792" xr:uid="{00000000-0005-0000-0000-0000E3040000}"/>
    <cellStyle name="_WACC Analysis 2" xfId="1858" xr:uid="{00000000-0005-0000-0000-0000E4040000}"/>
    <cellStyle name="_Year" xfId="793" xr:uid="{00000000-0005-0000-0000-0000E5040000}"/>
    <cellStyle name="_Year_BCE Model 1-8-07" xfId="794" xr:uid="{00000000-0005-0000-0000-0000E6040000}"/>
    <cellStyle name="-" xfId="3" xr:uid="{00000000-0005-0000-0000-000000000000}"/>
    <cellStyle name=";;;" xfId="34" xr:uid="{00000000-0005-0000-0000-00002F000000}"/>
    <cellStyle name="??" xfId="35" xr:uid="{00000000-0005-0000-0000-000030000000}"/>
    <cellStyle name="?? [0.00]_??????cula" xfId="36" xr:uid="{00000000-0005-0000-0000-000031000000}"/>
    <cellStyle name="?? [0]_??" xfId="37" xr:uid="{00000000-0005-0000-0000-000032000000}"/>
    <cellStyle name="?? 2" xfId="1413" xr:uid="{00000000-0005-0000-0000-000033000000}"/>
    <cellStyle name="?? 3" xfId="1996" xr:uid="{00000000-0005-0000-0000-000034000000}"/>
    <cellStyle name="??_?.????" xfId="41" xr:uid="{00000000-0005-0000-0000-000038000000}"/>
    <cellStyle name="???_~ME0858" xfId="40" xr:uid="{00000000-0005-0000-0000-000037000000}"/>
    <cellStyle name="?????_VERA" xfId="38" xr:uid="{00000000-0005-0000-0000-000035000000}"/>
    <cellStyle name="???[0]_~ME0858" xfId="39" xr:uid="{00000000-0005-0000-0000-000036000000}"/>
    <cellStyle name="’Ê‰Ý [0.00]_Cover" xfId="795" xr:uid="{00000000-0005-0000-0000-0000E7040000}"/>
    <cellStyle name="’Ê‰Ý_Cover" xfId="796" xr:uid="{00000000-0005-0000-0000-0000E8040000}"/>
    <cellStyle name="]_EUARNEW5_EMF Reports - Shipments" xfId="54" xr:uid="{00000000-0005-0000-0000-000045000000}"/>
    <cellStyle name="]_Labour Efficiency" xfId="55" xr:uid="{00000000-0005-0000-0000-000046000000}"/>
    <cellStyle name="]_Labour Efficiency 2" xfId="1414" xr:uid="{00000000-0005-0000-0000-000047000000}"/>
    <cellStyle name="******************************************" xfId="32" xr:uid="{00000000-0005-0000-0000-00002A000000}"/>
    <cellStyle name="*MILLS" xfId="33" xr:uid="{00000000-0005-0000-0000-00002B000000}"/>
    <cellStyle name="*MILLS 2" xfId="1412" xr:uid="{00000000-0005-0000-0000-00002C000000}"/>
    <cellStyle name="*MILLS 3" xfId="1997" xr:uid="{00000000-0005-0000-0000-00002D000000}"/>
    <cellStyle name="*MILLS 4" xfId="2103" xr:uid="{00000000-0005-0000-0000-00002E000000}"/>
    <cellStyle name="\" xfId="42" xr:uid="{00000000-0005-0000-0000-000039000000}"/>
    <cellStyle name="\_BLS_Directories_v6" xfId="43" xr:uid="{00000000-0005-0000-0000-00003A000000}"/>
    <cellStyle name="\_bluebirdacdil13" xfId="44" xr:uid="{00000000-0005-0000-0000-00003B000000}"/>
    <cellStyle name="\_ecomps7w" xfId="45" xr:uid="{00000000-0005-0000-0000-00003C000000}"/>
    <cellStyle name="\_equitycomps8" xfId="46" xr:uid="{00000000-0005-0000-0000-00003D000000}"/>
    <cellStyle name="\_equitycomps9" xfId="47" xr:uid="{00000000-0005-0000-0000-00003E000000}"/>
    <cellStyle name="\_houston Isabel" xfId="48" xr:uid="{00000000-0005-0000-0000-00003F000000}"/>
    <cellStyle name="\_hybrid2" xfId="49" xr:uid="{00000000-0005-0000-0000-000040000000}"/>
    <cellStyle name="\_ITXCcomps" xfId="50" xr:uid="{00000000-0005-0000-0000-000041000000}"/>
    <cellStyle name="\_newcomps16" xfId="51" xr:uid="{00000000-0005-0000-0000-000042000000}"/>
    <cellStyle name="\_ravenpitch3" xfId="52" xr:uid="{00000000-0005-0000-0000-000043000000}"/>
    <cellStyle name="\_ravenpitch32" xfId="53" xr:uid="{00000000-0005-0000-0000-000044000000}"/>
    <cellStyle name="#" xfId="6" xr:uid="{00000000-0005-0000-0000-000003000000}"/>
    <cellStyle name="# 2" xfId="1405" xr:uid="{00000000-0005-0000-0000-000005000000}"/>
    <cellStyle name="# 3" xfId="2073" xr:uid="{00000000-0005-0000-0000-000007000000}"/>
    <cellStyle name="#-" xfId="7" xr:uid="{00000000-0005-0000-0000-000004000000}"/>
    <cellStyle name="#- 2" xfId="1406" xr:uid="{00000000-0005-0000-0000-000006000000}"/>
    <cellStyle name="#- 3" xfId="2072" xr:uid="{00000000-0005-0000-0000-000008000000}"/>
    <cellStyle name="%" xfId="31" xr:uid="{00000000-0005-0000-0000-000019000000}"/>
    <cellStyle name="% 2" xfId="1411" xr:uid="{00000000-0005-0000-0000-00001B000000}"/>
    <cellStyle name="% 3" xfId="2000" xr:uid="{00000000-0005-0000-0000-00001D000000}"/>
    <cellStyle name="% Growth" xfId="20" xr:uid="{00000000-0005-0000-0000-00001F000000}"/>
    <cellStyle name="% Input" xfId="21" xr:uid="{00000000-0005-0000-0000-000020000000}"/>
    <cellStyle name="% of Revenues" xfId="22" xr:uid="{00000000-0005-0000-0000-000021000000}"/>
    <cellStyle name="% Presentation" xfId="23" xr:uid="{00000000-0005-0000-0000-000022000000}"/>
    <cellStyle name="%_FS" xfId="29" xr:uid="{00000000-0005-0000-0000-000028000000}"/>
    <cellStyle name="%_GS Model" xfId="30" xr:uid="{00000000-0005-0000-0000-000029000000}"/>
    <cellStyle name="%-" xfId="19" xr:uid="{00000000-0005-0000-0000-00001A000000}"/>
    <cellStyle name="%- 2" xfId="1410" xr:uid="{00000000-0005-0000-0000-00001C000000}"/>
    <cellStyle name="%- 3" xfId="2016" xr:uid="{00000000-0005-0000-0000-00001E000000}"/>
    <cellStyle name="%.0" xfId="24" xr:uid="{00000000-0005-0000-0000-000023000000}"/>
    <cellStyle name="%.00" xfId="25" xr:uid="{00000000-0005-0000-0000-000024000000}"/>
    <cellStyle name="%.1" xfId="26" xr:uid="{00000000-0005-0000-0000-000025000000}"/>
    <cellStyle name="%.2" xfId="27" xr:uid="{00000000-0005-0000-0000-000026000000}"/>
    <cellStyle name="%.3" xfId="28" xr:uid="{00000000-0005-0000-0000-000027000000}"/>
    <cellStyle name="•W_Cover" xfId="810" xr:uid="{00000000-0005-0000-0000-0000FB040000}"/>
    <cellStyle name="•W€_Capital Structure" xfId="809" xr:uid="{00000000-0005-0000-0000-0000FA040000}"/>
    <cellStyle name="=C:\WINDOWS\SYSTEM32\COMMAND.COM" xfId="806" xr:uid="{00000000-0005-0000-0000-0000F4040000}"/>
    <cellStyle name="=C:\WINDOWS\SYSTEM32\COMMAND.COM 2" xfId="1861" xr:uid="{00000000-0005-0000-0000-0000F5040000}"/>
    <cellStyle name="=C:\WINNT\SYSTEM32\COMMAND.COM" xfId="807" xr:uid="{00000000-0005-0000-0000-0000F6040000}"/>
    <cellStyle name="=C:\WINNT\SYSTEM32\COMMAND.COM 2" xfId="1862" xr:uid="{00000000-0005-0000-0000-0000F7040000}"/>
    <cellStyle name="=C:\WINNT35\SYSTEM32\COMMAND.COM" xfId="808" xr:uid="{00000000-0005-0000-0000-0000F8040000}"/>
    <cellStyle name="=C:\WINNT35\SYSTEM32\COMMAND.COM 2" xfId="1863" xr:uid="{00000000-0005-0000-0000-0000F9040000}"/>
    <cellStyle name="¤@¯ë_pldt" xfId="804" xr:uid="{00000000-0005-0000-0000-0000F1040000}"/>
    <cellStyle name="¢ Currency [1]" xfId="797" xr:uid="{00000000-0005-0000-0000-0000E9040000}"/>
    <cellStyle name="¢ Currency [2]" xfId="798" xr:uid="{00000000-0005-0000-0000-0000EA040000}"/>
    <cellStyle name="¢ Currency [3]" xfId="799" xr:uid="{00000000-0005-0000-0000-0000EB040000}"/>
    <cellStyle name="$" xfId="8" xr:uid="{00000000-0005-0000-0000-000009000000}"/>
    <cellStyle name="$ &amp; ¢" xfId="10" xr:uid="{00000000-0005-0000-0000-00000B000000}"/>
    <cellStyle name="$ 2" xfId="1407" xr:uid="{00000000-0005-0000-0000-00000C000000}"/>
    <cellStyle name="$ 3" xfId="2067" xr:uid="{00000000-0005-0000-0000-00000E000000}"/>
    <cellStyle name="$_101306 CanWest Excel BAck up v14" xfId="11" xr:uid="{00000000-0005-0000-0000-000010000000}"/>
    <cellStyle name="$_BCE Model 1-8-07" xfId="12" xr:uid="{00000000-0005-0000-0000-000011000000}"/>
    <cellStyle name="$_FS" xfId="13" xr:uid="{00000000-0005-0000-0000-000012000000}"/>
    <cellStyle name="$_ILEC LBO" xfId="14" xr:uid="{00000000-0005-0000-0000-000013000000}"/>
    <cellStyle name="$_NeptunePIA LBO Model 9-2-03 Final Deepak Final" xfId="15" xr:uid="{00000000-0005-0000-0000-000014000000}"/>
    <cellStyle name="$_Pro forma ownership analysis_06.12.02_v9" xfId="16" xr:uid="{00000000-0005-0000-0000-000015000000}"/>
    <cellStyle name="$-" xfId="9" xr:uid="{00000000-0005-0000-0000-00000A000000}"/>
    <cellStyle name="$- 2" xfId="1408" xr:uid="{00000000-0005-0000-0000-00000D000000}"/>
    <cellStyle name="$- 3" xfId="2066" xr:uid="{00000000-0005-0000-0000-00000F000000}"/>
    <cellStyle name="$m" xfId="17" xr:uid="{00000000-0005-0000-0000-000016000000}"/>
    <cellStyle name="$MILLS" xfId="18" xr:uid="{00000000-0005-0000-0000-000017000000}"/>
    <cellStyle name="$MILLS 2" xfId="1409" xr:uid="{00000000-0005-0000-0000-000018000000}"/>
    <cellStyle name="£ BP" xfId="800" xr:uid="{00000000-0005-0000-0000-0000EC040000}"/>
    <cellStyle name="£ BP 2" xfId="1859" xr:uid="{00000000-0005-0000-0000-0000ED040000}"/>
    <cellStyle name="£ Currency [0]" xfId="801" xr:uid="{00000000-0005-0000-0000-0000EE040000}"/>
    <cellStyle name="£ Currency [1]" xfId="802" xr:uid="{00000000-0005-0000-0000-0000EF040000}"/>
    <cellStyle name="£ Currency [2]" xfId="803" xr:uid="{00000000-0005-0000-0000-0000F0040000}"/>
    <cellStyle name="¥ JY" xfId="805" xr:uid="{00000000-0005-0000-0000-0000F2040000}"/>
    <cellStyle name="¥ JY 2" xfId="1860" xr:uid="{00000000-0005-0000-0000-0000F3040000}"/>
    <cellStyle name="0" xfId="819" xr:uid="{00000000-0005-0000-0000-0000FC040000}"/>
    <cellStyle name="0_CKFR Model 11-30-06" xfId="827" xr:uid="{00000000-0005-0000-0000-000005050000}"/>
    <cellStyle name="0_CKFR Model 11-30-06_BCE Model 1-8-07" xfId="828" xr:uid="{00000000-0005-0000-0000-000006050000}"/>
    <cellStyle name="0.0" xfId="821" xr:uid="{00000000-0005-0000-0000-0000FF040000}"/>
    <cellStyle name="0.0 NORMAL" xfId="822" xr:uid="{00000000-0005-0000-0000-000000050000}"/>
    <cellStyle name="0.0 PERCENT" xfId="823" xr:uid="{00000000-0005-0000-0000-000001050000}"/>
    <cellStyle name="0.0%" xfId="824" xr:uid="{00000000-0005-0000-0000-000002050000}"/>
    <cellStyle name="0.00" xfId="825" xr:uid="{00000000-0005-0000-0000-000003050000}"/>
    <cellStyle name="0.00%" xfId="826" xr:uid="{00000000-0005-0000-0000-000004050000}"/>
    <cellStyle name="0%" xfId="820" xr:uid="{00000000-0005-0000-0000-0000FD040000}"/>
    <cellStyle name="0% 2" xfId="1873" xr:uid="{00000000-0005-0000-0000-0000FE040000}"/>
    <cellStyle name="000" xfId="829" xr:uid="{00000000-0005-0000-0000-000007050000}"/>
    <cellStyle name="000 2" xfId="1874" xr:uid="{00000000-0005-0000-0000-000008050000}"/>
    <cellStyle name="0000" xfId="830" xr:uid="{00000000-0005-0000-0000-000009050000}"/>
    <cellStyle name="000000" xfId="831" xr:uid="{00000000-0005-0000-0000-00000A050000}"/>
    <cellStyle name="1,comma" xfId="832" xr:uid="{00000000-0005-0000-0000-00000B050000}"/>
    <cellStyle name="1,comma 2" xfId="1875" xr:uid="{00000000-0005-0000-0000-00000C050000}"/>
    <cellStyle name="2 Decimal Places" xfId="833" xr:uid="{00000000-0005-0000-0000-00000D050000}"/>
    <cellStyle name="20% - Accent1 2" xfId="834" xr:uid="{00000000-0005-0000-0000-00000E050000}"/>
    <cellStyle name="20% - Accent2 2" xfId="835" xr:uid="{00000000-0005-0000-0000-00000F050000}"/>
    <cellStyle name="20% - Accent3 2" xfId="836" xr:uid="{00000000-0005-0000-0000-000010050000}"/>
    <cellStyle name="20% - Accent4 2" xfId="837" xr:uid="{00000000-0005-0000-0000-000011050000}"/>
    <cellStyle name="20% - Accent5 2" xfId="838" xr:uid="{00000000-0005-0000-0000-000012050000}"/>
    <cellStyle name="20% - Accent6 2" xfId="839" xr:uid="{00000000-0005-0000-0000-000013050000}"/>
    <cellStyle name="³f¹ô_pldt" xfId="841" xr:uid="{00000000-0005-0000-0000-000015050000}"/>
    <cellStyle name="³f¹ô[0]_pldt" xfId="840" xr:uid="{00000000-0005-0000-0000-000014050000}"/>
    <cellStyle name="40% - Accent1 2" xfId="842" xr:uid="{00000000-0005-0000-0000-000016050000}"/>
    <cellStyle name="40% - Accent2 2" xfId="843" xr:uid="{00000000-0005-0000-0000-000017050000}"/>
    <cellStyle name="40% - Accent3 2" xfId="844" xr:uid="{00000000-0005-0000-0000-000018050000}"/>
    <cellStyle name="40% - Accent4 2" xfId="845" xr:uid="{00000000-0005-0000-0000-000019050000}"/>
    <cellStyle name="40% - Accent5 2" xfId="846" xr:uid="{00000000-0005-0000-0000-00001A050000}"/>
    <cellStyle name="40% - Accent6 2" xfId="847" xr:uid="{00000000-0005-0000-0000-00001B050000}"/>
    <cellStyle name="60% - Accent1 2" xfId="848" xr:uid="{00000000-0005-0000-0000-00001C050000}"/>
    <cellStyle name="60% - Accent2 2" xfId="849" xr:uid="{00000000-0005-0000-0000-00001D050000}"/>
    <cellStyle name="60% - Accent3 2" xfId="850" xr:uid="{00000000-0005-0000-0000-00001E050000}"/>
    <cellStyle name="60% - Accent4 2" xfId="851" xr:uid="{00000000-0005-0000-0000-00001F050000}"/>
    <cellStyle name="60% - Accent5 2" xfId="852" xr:uid="{00000000-0005-0000-0000-000020050000}"/>
    <cellStyle name="60% - Accent6 2" xfId="853" xr:uid="{00000000-0005-0000-0000-000021050000}"/>
    <cellStyle name="752131" xfId="854" xr:uid="{00000000-0005-0000-0000-000022050000}"/>
    <cellStyle name="8" xfId="855" xr:uid="{00000000-0005-0000-0000-000023050000}"/>
    <cellStyle name="a - Comma" xfId="856" xr:uid="{00000000-0005-0000-0000-000024050000}"/>
    <cellStyle name="A_Block Space" xfId="857" xr:uid="{00000000-0005-0000-0000-000025050000}"/>
    <cellStyle name="A_BlueLine" xfId="858" xr:uid="{00000000-0005-0000-0000-000026050000}"/>
    <cellStyle name="A_Do not Change" xfId="859" xr:uid="{00000000-0005-0000-0000-000027050000}"/>
    <cellStyle name="A_Estimate" xfId="860" xr:uid="{00000000-0005-0000-0000-000028050000}"/>
    <cellStyle name="A_Memo" xfId="861" xr:uid="{00000000-0005-0000-0000-000029050000}"/>
    <cellStyle name="A_Normal" xfId="862" xr:uid="{00000000-0005-0000-0000-00002A050000}"/>
    <cellStyle name="A_Normal Forecast" xfId="863" xr:uid="{00000000-0005-0000-0000-00002B050000}"/>
    <cellStyle name="A_Normal Historical" xfId="864" xr:uid="{00000000-0005-0000-0000-00002C050000}"/>
    <cellStyle name="A_Rate_Data" xfId="865" xr:uid="{00000000-0005-0000-0000-00002D050000}"/>
    <cellStyle name="A_Rate_Data Historical" xfId="866" xr:uid="{00000000-0005-0000-0000-00002E050000}"/>
    <cellStyle name="A_Rate_Title" xfId="867" xr:uid="{00000000-0005-0000-0000-00002F050000}"/>
    <cellStyle name="A_Simple Title" xfId="868" xr:uid="{00000000-0005-0000-0000-000030050000}"/>
    <cellStyle name="A_Sum" xfId="869" xr:uid="{00000000-0005-0000-0000-000031050000}"/>
    <cellStyle name="A_SUM_Row Major" xfId="870" xr:uid="{00000000-0005-0000-0000-000032050000}"/>
    <cellStyle name="A_SUM_Row Minor" xfId="871" xr:uid="{00000000-0005-0000-0000-000033050000}"/>
    <cellStyle name="A_Title" xfId="872" xr:uid="{00000000-0005-0000-0000-000034050000}"/>
    <cellStyle name="A_YearHeadings" xfId="873" xr:uid="{00000000-0005-0000-0000-000035050000}"/>
    <cellStyle name="Absolute Change" xfId="874" xr:uid="{00000000-0005-0000-0000-000036050000}"/>
    <cellStyle name="Accent1 2" xfId="875" xr:uid="{00000000-0005-0000-0000-000037050000}"/>
    <cellStyle name="Accent2 2" xfId="876" xr:uid="{00000000-0005-0000-0000-000038050000}"/>
    <cellStyle name="Accent3 2" xfId="877" xr:uid="{00000000-0005-0000-0000-000039050000}"/>
    <cellStyle name="Accent4 2" xfId="878" xr:uid="{00000000-0005-0000-0000-00003A050000}"/>
    <cellStyle name="Accent5 2" xfId="879" xr:uid="{00000000-0005-0000-0000-00003B050000}"/>
    <cellStyle name="Accent6 2" xfId="880" xr:uid="{00000000-0005-0000-0000-00003C050000}"/>
    <cellStyle name="Acctg" xfId="881" xr:uid="{00000000-0005-0000-0000-00003D050000}"/>
    <cellStyle name="Acctg$" xfId="882" xr:uid="{00000000-0005-0000-0000-00003E050000}"/>
    <cellStyle name="Actual data" xfId="883" xr:uid="{00000000-0005-0000-0000-000040050000}"/>
    <cellStyle name="Actual Date" xfId="884" xr:uid="{00000000-0005-0000-0000-000041050000}"/>
    <cellStyle name="Actual year" xfId="885" xr:uid="{00000000-0005-0000-0000-000042050000}"/>
    <cellStyle name="Actuals Cells" xfId="886" xr:uid="{00000000-0005-0000-0000-000043050000}"/>
    <cellStyle name="Actuals Cells 2" xfId="1876" xr:uid="{00000000-0005-0000-0000-000044050000}"/>
    <cellStyle name="AFE" xfId="887" xr:uid="{00000000-0005-0000-0000-000045050000}"/>
    <cellStyle name="args.style" xfId="888" xr:uid="{00000000-0005-0000-0000-000046050000}"/>
    <cellStyle name="args.style 2" xfId="1877" xr:uid="{00000000-0005-0000-0000-000047050000}"/>
    <cellStyle name="Arial 10" xfId="889" xr:uid="{00000000-0005-0000-0000-000048050000}"/>
    <cellStyle name="Arial 12" xfId="890" xr:uid="{00000000-0005-0000-0000-000049050000}"/>
    <cellStyle name="Arial6Bold" xfId="891" xr:uid="{00000000-0005-0000-0000-00004A050000}"/>
    <cellStyle name="Arial6Bold 2" xfId="1878" xr:uid="{00000000-0005-0000-0000-00004B050000}"/>
    <cellStyle name="Arial8Bold" xfId="892" xr:uid="{00000000-0005-0000-0000-00004C050000}"/>
    <cellStyle name="Arial8Italic" xfId="893" xr:uid="{00000000-0005-0000-0000-00004D050000}"/>
    <cellStyle name="ArialNormal" xfId="894" xr:uid="{00000000-0005-0000-0000-00004E050000}"/>
    <cellStyle name="Ariel 7 pt. plain" xfId="895" xr:uid="{00000000-0005-0000-0000-00004F050000}"/>
    <cellStyle name="Assumption" xfId="896" xr:uid="{00000000-0005-0000-0000-000050050000}"/>
    <cellStyle name="Assumption 2" xfId="1879" xr:uid="{00000000-0005-0000-0000-000051050000}"/>
    <cellStyle name="b - Line" xfId="897" xr:uid="{00000000-0005-0000-0000-000052050000}"/>
    <cellStyle name="b - Line - Dotted" xfId="898" xr:uid="{00000000-0005-0000-0000-000053050000}"/>
    <cellStyle name="b - Line 2" xfId="1880" xr:uid="{00000000-0005-0000-0000-000054050000}"/>
    <cellStyle name="b - Line 3" xfId="1829" xr:uid="{00000000-0005-0000-0000-000055050000}"/>
    <cellStyle name="Bad 2" xfId="899" xr:uid="{00000000-0005-0000-0000-000056050000}"/>
    <cellStyle name="Balance" xfId="900" xr:uid="{00000000-0005-0000-0000-000057050000}"/>
    <cellStyle name="Balance Sheet" xfId="901" xr:uid="{00000000-0005-0000-0000-000058050000}"/>
    <cellStyle name="BalanceSheet" xfId="902" xr:uid="{00000000-0005-0000-0000-000059050000}"/>
    <cellStyle name="BalanceSheet 2" xfId="1881" xr:uid="{00000000-0005-0000-0000-00005A050000}"/>
    <cellStyle name="Band 2" xfId="903" xr:uid="{00000000-0005-0000-0000-00005B050000}"/>
    <cellStyle name="Bank1" xfId="904" xr:uid="{00000000-0005-0000-0000-00005C050000}"/>
    <cellStyle name="BAS Comma [0]" xfId="905" xr:uid="{00000000-0005-0000-0000-00005D050000}"/>
    <cellStyle name="BAS Comma [1]" xfId="906" xr:uid="{00000000-0005-0000-0000-00005E050000}"/>
    <cellStyle name="BAS Currency [0]" xfId="907" xr:uid="{00000000-0005-0000-0000-00005F050000}"/>
    <cellStyle name="BAS Currency [1]" xfId="908" xr:uid="{00000000-0005-0000-0000-000060050000}"/>
    <cellStyle name="BAS Currency [2]" xfId="909" xr:uid="{00000000-0005-0000-0000-000061050000}"/>
    <cellStyle name="BAS Multiple [1]" xfId="910" xr:uid="{00000000-0005-0000-0000-000062050000}"/>
    <cellStyle name="BAS Percent Actual [1]" xfId="911" xr:uid="{00000000-0005-0000-0000-000063050000}"/>
    <cellStyle name="Basic" xfId="912" xr:uid="{00000000-0005-0000-0000-000064050000}"/>
    <cellStyle name="Basic 2" xfId="1882" xr:uid="{00000000-0005-0000-0000-000065050000}"/>
    <cellStyle name="BB_Date_mmm" xfId="913" xr:uid="{00000000-0005-0000-0000-000066050000}"/>
    <cellStyle name="BLACK" xfId="914" xr:uid="{00000000-0005-0000-0000-000067050000}"/>
    <cellStyle name="BlackStrike" xfId="915" xr:uid="{00000000-0005-0000-0000-000068050000}"/>
    <cellStyle name="BlackStrike 2" xfId="1883" xr:uid="{00000000-0005-0000-0000-000069050000}"/>
    <cellStyle name="BlackText" xfId="916" xr:uid="{00000000-0005-0000-0000-00006A050000}"/>
    <cellStyle name="blank" xfId="917" xr:uid="{00000000-0005-0000-0000-00006B050000}"/>
    <cellStyle name="Blank [,]" xfId="920" xr:uid="{00000000-0005-0000-0000-00006F050000}"/>
    <cellStyle name="Blank [%]" xfId="919" xr:uid="{00000000-0005-0000-0000-00006E050000}"/>
    <cellStyle name="Blank [$]" xfId="918" xr:uid="{00000000-0005-0000-0000-00006C050000}"/>
    <cellStyle name="Blank [$] 2" xfId="1885" xr:uid="{00000000-0005-0000-0000-00006D050000}"/>
    <cellStyle name="Blank [1,]" xfId="923" xr:uid="{00000000-0005-0000-0000-000072050000}"/>
    <cellStyle name="Blank [1%]" xfId="922" xr:uid="{00000000-0005-0000-0000-000071050000}"/>
    <cellStyle name="Blank [1$]" xfId="921" xr:uid="{00000000-0005-0000-0000-000070050000}"/>
    <cellStyle name="Blank [2,]" xfId="926" xr:uid="{00000000-0005-0000-0000-000076050000}"/>
    <cellStyle name="Blank [2,] 2" xfId="1887" xr:uid="{00000000-0005-0000-0000-000077050000}"/>
    <cellStyle name="Blank [2%]" xfId="925" xr:uid="{00000000-0005-0000-0000-000075050000}"/>
    <cellStyle name="Blank [2$]" xfId="924" xr:uid="{00000000-0005-0000-0000-000073050000}"/>
    <cellStyle name="Blank [2$] 2" xfId="1886" xr:uid="{00000000-0005-0000-0000-000074050000}"/>
    <cellStyle name="Blank [3,]" xfId="929" xr:uid="{00000000-0005-0000-0000-00007A050000}"/>
    <cellStyle name="Blank [3%]" xfId="928" xr:uid="{00000000-0005-0000-0000-000079050000}"/>
    <cellStyle name="Blank [3$]" xfId="927" xr:uid="{00000000-0005-0000-0000-000078050000}"/>
    <cellStyle name="blank 2" xfId="1884" xr:uid="{00000000-0005-0000-0000-00007B050000}"/>
    <cellStyle name="blank 3" xfId="2087" xr:uid="{00000000-0005-0000-0000-00007C050000}"/>
    <cellStyle name="Blank Out" xfId="930" xr:uid="{00000000-0005-0000-0000-00007D050000}"/>
    <cellStyle name="Blank_BCE Model 1-8-07" xfId="931" xr:uid="{00000000-0005-0000-0000-00007E050000}"/>
    <cellStyle name="Block Titles" xfId="932" xr:uid="{00000000-0005-0000-0000-00007F050000}"/>
    <cellStyle name="Block Titles 2" xfId="1888" xr:uid="{00000000-0005-0000-0000-000080050000}"/>
    <cellStyle name="Blue" xfId="933" xr:uid="{00000000-0005-0000-0000-000081050000}"/>
    <cellStyle name="blue shading" xfId="934" xr:uid="{00000000-0005-0000-0000-000082050000}"/>
    <cellStyle name="Blue Table Text" xfId="935" xr:uid="{00000000-0005-0000-0000-000083050000}"/>
    <cellStyle name="Blue Title" xfId="936" xr:uid="{00000000-0005-0000-0000-000084050000}"/>
    <cellStyle name="Blue Title 2" xfId="1889" xr:uid="{00000000-0005-0000-0000-000085050000}"/>
    <cellStyle name="Blue_060114 BMarkingSummary_aj v3" xfId="938" xr:uid="{00000000-0005-0000-0000-000088050000}"/>
    <cellStyle name="blue$00" xfId="937" xr:uid="{00000000-0005-0000-0000-000086050000}"/>
    <cellStyle name="blue$00 2" xfId="1890" xr:uid="{00000000-0005-0000-0000-000087050000}"/>
    <cellStyle name="bluenodec" xfId="939" xr:uid="{00000000-0005-0000-0000-000089050000}"/>
    <cellStyle name="bluepercent" xfId="940" xr:uid="{00000000-0005-0000-0000-00008A050000}"/>
    <cellStyle name="bluepercent 2" xfId="1891" xr:uid="{00000000-0005-0000-0000-00008B050000}"/>
    <cellStyle name="Body" xfId="941" xr:uid="{00000000-0005-0000-0000-00008C050000}"/>
    <cellStyle name="Bold" xfId="942" xr:uid="{00000000-0005-0000-0000-00008D050000}"/>
    <cellStyle name="Bold/Border" xfId="943" xr:uid="{00000000-0005-0000-0000-00008E050000}"/>
    <cellStyle name="Bold/Border 2" xfId="1892" xr:uid="{00000000-0005-0000-0000-00008F050000}"/>
    <cellStyle name="BoldText" xfId="944" xr:uid="{00000000-0005-0000-0000-000090050000}"/>
    <cellStyle name="BoldText 2" xfId="1893" xr:uid="{00000000-0005-0000-0000-000091050000}"/>
    <cellStyle name="Border" xfId="945" xr:uid="{00000000-0005-0000-0000-000092050000}"/>
    <cellStyle name="Border Heavy" xfId="946" xr:uid="{00000000-0005-0000-0000-000093050000}"/>
    <cellStyle name="Border Heavy 2" xfId="1894" xr:uid="{00000000-0005-0000-0000-000094050000}"/>
    <cellStyle name="Border Thin" xfId="947" xr:uid="{00000000-0005-0000-0000-000095050000}"/>
    <cellStyle name="border_BCE Model 1-8-07" xfId="952" xr:uid="{00000000-0005-0000-0000-00009B050000}"/>
    <cellStyle name="Border, Bottom" xfId="948" xr:uid="{00000000-0005-0000-0000-000096050000}"/>
    <cellStyle name="Border, Bottom 2" xfId="1896" xr:uid="{00000000-0005-0000-0000-000097050000}"/>
    <cellStyle name="Border, Left" xfId="949" xr:uid="{00000000-0005-0000-0000-000098050000}"/>
    <cellStyle name="Border, Right" xfId="950" xr:uid="{00000000-0005-0000-0000-000099050000}"/>
    <cellStyle name="Border, Top" xfId="951" xr:uid="{00000000-0005-0000-0000-00009A050000}"/>
    <cellStyle name="BorderBold" xfId="953" xr:uid="{00000000-0005-0000-0000-00009C050000}"/>
    <cellStyle name="BorderBold 2" xfId="1897" xr:uid="{00000000-0005-0000-0000-00009D050000}"/>
    <cellStyle name="Bottom bold border" xfId="954" xr:uid="{00000000-0005-0000-0000-00009E050000}"/>
    <cellStyle name="Bottom bold border 2" xfId="1898" xr:uid="{00000000-0005-0000-0000-00009F050000}"/>
    <cellStyle name="Bottom Edge" xfId="955" xr:uid="{00000000-0005-0000-0000-0000A0050000}"/>
    <cellStyle name="Bottom Edge 2" xfId="1899" xr:uid="{00000000-0005-0000-0000-0000A1050000}"/>
    <cellStyle name="Bottom single border" xfId="956" xr:uid="{00000000-0005-0000-0000-0000A2050000}"/>
    <cellStyle name="Bottom single border 2" xfId="1900" xr:uid="{00000000-0005-0000-0000-0000A3050000}"/>
    <cellStyle name="British Pound" xfId="957" xr:uid="{00000000-0005-0000-0000-0000A4050000}"/>
    <cellStyle name="British Pound 2" xfId="1901" xr:uid="{00000000-0005-0000-0000-0000A5050000}"/>
    <cellStyle name="bullet" xfId="958" xr:uid="{00000000-0005-0000-0000-0000A6050000}"/>
    <cellStyle name="Bullet [0]" xfId="959" xr:uid="{00000000-0005-0000-0000-0000A7050000}"/>
    <cellStyle name="Bullet [2]" xfId="960" xr:uid="{00000000-0005-0000-0000-0000A8050000}"/>
    <cellStyle name="Bullet [4]" xfId="961" xr:uid="{00000000-0005-0000-0000-0000A9050000}"/>
    <cellStyle name="Bullet_FS" xfId="962" xr:uid="{00000000-0005-0000-0000-0000AA050000}"/>
    <cellStyle name="Business Description" xfId="963" xr:uid="{00000000-0005-0000-0000-0000AB050000}"/>
    <cellStyle name="Business Description 2" xfId="1902" xr:uid="{00000000-0005-0000-0000-0000AC050000}"/>
    <cellStyle name="BvDAddIn_Currency" xfId="964" xr:uid="{00000000-0005-0000-0000-0000AD050000}"/>
    <cellStyle name="c" xfId="965" xr:uid="{00000000-0005-0000-0000-0000AE050000}"/>
    <cellStyle name="c_BCE Model 1-8-07" xfId="966" xr:uid="{00000000-0005-0000-0000-0000AF050000}"/>
    <cellStyle name="c_BCE Model 1-8-07 2" xfId="1903" xr:uid="{00000000-0005-0000-0000-0000B0050000}"/>
    <cellStyle name="c_comps_1" xfId="967" xr:uid="{00000000-0005-0000-0000-0000B1050000}"/>
    <cellStyle name="c_comps_1 2" xfId="1904" xr:uid="{00000000-0005-0000-0000-0000B2050000}"/>
    <cellStyle name="C05_Style E Text" xfId="968" xr:uid="{00000000-0005-0000-0000-0000B3050000}"/>
    <cellStyle name="c3" xfId="969" xr:uid="{00000000-0005-0000-0000-0000B4050000}"/>
    <cellStyle name="Calc" xfId="970" xr:uid="{00000000-0005-0000-0000-0000B5050000}"/>
    <cellStyle name="Calc Cells" xfId="971" xr:uid="{00000000-0005-0000-0000-0000B6050000}"/>
    <cellStyle name="Calc Cells 2" xfId="1905" xr:uid="{00000000-0005-0000-0000-0000B7050000}"/>
    <cellStyle name="Calc Currency (0)" xfId="972" xr:uid="{00000000-0005-0000-0000-0000B8050000}"/>
    <cellStyle name="Calc Currency (2)" xfId="973" xr:uid="{00000000-0005-0000-0000-0000B9050000}"/>
    <cellStyle name="Calc Currency (2) 2" xfId="1906" xr:uid="{00000000-0005-0000-0000-0000BA050000}"/>
    <cellStyle name="Calc Percent (0)" xfId="974" xr:uid="{00000000-0005-0000-0000-0000BB050000}"/>
    <cellStyle name="Calc Percent (0) 2" xfId="1907" xr:uid="{00000000-0005-0000-0000-0000BC050000}"/>
    <cellStyle name="Calc Percent (1)" xfId="975" xr:uid="{00000000-0005-0000-0000-0000BD050000}"/>
    <cellStyle name="Calc Percent (1) 2" xfId="1908" xr:uid="{00000000-0005-0000-0000-0000BE050000}"/>
    <cellStyle name="Calc Percent (2)" xfId="976" xr:uid="{00000000-0005-0000-0000-0000BF050000}"/>
    <cellStyle name="Calc Percent (2) 2" xfId="1909" xr:uid="{00000000-0005-0000-0000-0000C0050000}"/>
    <cellStyle name="Calc Units (0)" xfId="977" xr:uid="{00000000-0005-0000-0000-0000C1050000}"/>
    <cellStyle name="Calc Units (1)" xfId="978" xr:uid="{00000000-0005-0000-0000-0000C2050000}"/>
    <cellStyle name="Calc Units (2)" xfId="979" xr:uid="{00000000-0005-0000-0000-0000C3050000}"/>
    <cellStyle name="Calc Units (2) 2" xfId="1910" xr:uid="{00000000-0005-0000-0000-0000C4050000}"/>
    <cellStyle name="Calc_BCE Model 1-8-07" xfId="981" xr:uid="{00000000-0005-0000-0000-0000C7050000}"/>
    <cellStyle name="Calc$" xfId="980" xr:uid="{00000000-0005-0000-0000-0000C5050000}"/>
    <cellStyle name="Calc$ 2" xfId="1911" xr:uid="{00000000-0005-0000-0000-0000C6050000}"/>
    <cellStyle name="Calculation 2" xfId="982" xr:uid="{00000000-0005-0000-0000-0000C8050000}"/>
    <cellStyle name="Calculation 3" xfId="1912" xr:uid="{00000000-0005-0000-0000-0000C9050000}"/>
    <cellStyle name="Caption" xfId="983" xr:uid="{00000000-0005-0000-0000-0000CA050000}"/>
    <cellStyle name="Case" xfId="984" xr:uid="{00000000-0005-0000-0000-0000CB050000}"/>
    <cellStyle name="Case 2" xfId="1913" xr:uid="{00000000-0005-0000-0000-0000CC050000}"/>
    <cellStyle name="Cash Flow Statement" xfId="985" xr:uid="{00000000-0005-0000-0000-0000CD050000}"/>
    <cellStyle name="Cash Flow Statement 2" xfId="1914" xr:uid="{00000000-0005-0000-0000-0000CE050000}"/>
    <cellStyle name="CashFlow" xfId="986" xr:uid="{00000000-0005-0000-0000-0000CF050000}"/>
    <cellStyle name="CashFlow 2" xfId="1915" xr:uid="{00000000-0005-0000-0000-0000D0050000}"/>
    <cellStyle name="category" xfId="987" xr:uid="{00000000-0005-0000-0000-0000D1050000}"/>
    <cellStyle name="Category Name" xfId="988" xr:uid="{00000000-0005-0000-0000-0000D2050000}"/>
    <cellStyle name="center" xfId="989" xr:uid="{00000000-0005-0000-0000-0000D3050000}"/>
    <cellStyle name="Center Across" xfId="990" xr:uid="{00000000-0005-0000-0000-0000D4050000}"/>
    <cellStyle name="Center Across 2" xfId="1916" xr:uid="{00000000-0005-0000-0000-0000D5050000}"/>
    <cellStyle name="Centered Heading" xfId="991" xr:uid="{00000000-0005-0000-0000-0000D6050000}"/>
    <cellStyle name="Cents" xfId="992" xr:uid="{00000000-0005-0000-0000-0000D7050000}"/>
    <cellStyle name="Cents 2" xfId="1917" xr:uid="{00000000-0005-0000-0000-0000D8050000}"/>
    <cellStyle name="Ch, Column Header" xfId="993" xr:uid="{00000000-0005-0000-0000-0000D9050000}"/>
    <cellStyle name="Changeable" xfId="994" xr:uid="{00000000-0005-0000-0000-0000DA050000}"/>
    <cellStyle name="Check" xfId="995" xr:uid="{00000000-0005-0000-0000-0000DB050000}"/>
    <cellStyle name="Check Cell 2" xfId="996" xr:uid="{00000000-0005-0000-0000-0000DC050000}"/>
    <cellStyle name="Clean" xfId="997" xr:uid="{00000000-0005-0000-0000-0000DD050000}"/>
    <cellStyle name="Client Name" xfId="998" xr:uid="{00000000-0005-0000-0000-0000DE050000}"/>
    <cellStyle name="Co. Names" xfId="999" xr:uid="{00000000-0005-0000-0000-0000DF050000}"/>
    <cellStyle name="Co. Names - Bold" xfId="1000" xr:uid="{00000000-0005-0000-0000-0000E0050000}"/>
    <cellStyle name="Co. Names_FS" xfId="1001" xr:uid="{00000000-0005-0000-0000-0000E1050000}"/>
    <cellStyle name="COL HEADINGS" xfId="1002" xr:uid="{00000000-0005-0000-0000-0000E2050000}"/>
    <cellStyle name="COL HEADINGS 2" xfId="1918" xr:uid="{00000000-0005-0000-0000-0000E3050000}"/>
    <cellStyle name="COL HEADINGS 3" xfId="2088" xr:uid="{00000000-0005-0000-0000-0000E4050000}"/>
    <cellStyle name="COL HEADINGS 4" xfId="1857" xr:uid="{00000000-0005-0000-0000-0000E5050000}"/>
    <cellStyle name="Colhead_left" xfId="1003" xr:uid="{00000000-0005-0000-0000-0000E6050000}"/>
    <cellStyle name="ColHeading" xfId="1004" xr:uid="{00000000-0005-0000-0000-0000E7050000}"/>
    <cellStyle name="ColHeading 2" xfId="1919" xr:uid="{00000000-0005-0000-0000-0000E8050000}"/>
    <cellStyle name="colheadleft" xfId="1005" xr:uid="{00000000-0005-0000-0000-0000E9050000}"/>
    <cellStyle name="colheadleft 2" xfId="1920" xr:uid="{00000000-0005-0000-0000-0000EA050000}"/>
    <cellStyle name="colheadright" xfId="1006" xr:uid="{00000000-0005-0000-0000-0000EB050000}"/>
    <cellStyle name="colheadright 2" xfId="1921" xr:uid="{00000000-0005-0000-0000-0000EC050000}"/>
    <cellStyle name="Collegamento ipertestuale_PLDT" xfId="1007" xr:uid="{00000000-0005-0000-0000-0000ED050000}"/>
    <cellStyle name="Column Heading" xfId="1008" xr:uid="{00000000-0005-0000-0000-0000EE050000}"/>
    <cellStyle name="Column Heading 2" xfId="1922" xr:uid="{00000000-0005-0000-0000-0000EF050000}"/>
    <cellStyle name="Column Headings" xfId="1009" xr:uid="{00000000-0005-0000-0000-0000F0050000}"/>
    <cellStyle name="column1" xfId="1010" xr:uid="{00000000-0005-0000-0000-0000F1050000}"/>
    <cellStyle name="column1 2" xfId="1923" xr:uid="{00000000-0005-0000-0000-0000F2050000}"/>
    <cellStyle name="column1Big" xfId="1011" xr:uid="{00000000-0005-0000-0000-0000F3050000}"/>
    <cellStyle name="column1Big 2" xfId="1924" xr:uid="{00000000-0005-0000-0000-0000F4050000}"/>
    <cellStyle name="ColumnHeadings" xfId="1012" xr:uid="{00000000-0005-0000-0000-0000F5050000}"/>
    <cellStyle name="ColumnHeadings2" xfId="1013" xr:uid="{00000000-0005-0000-0000-0000F6050000}"/>
    <cellStyle name="ColumnHeadings2 2" xfId="1925" xr:uid="{00000000-0005-0000-0000-0000F7050000}"/>
    <cellStyle name="coma" xfId="1014" xr:uid="{00000000-0005-0000-0000-0000F8050000}"/>
    <cellStyle name="comm" xfId="1015" xr:uid="{00000000-0005-0000-0000-0000F9050000}"/>
    <cellStyle name="Comma  - Style1" xfId="1017" xr:uid="{00000000-0005-0000-0000-0000FA050000}"/>
    <cellStyle name="Comma  - Style2" xfId="1018" xr:uid="{00000000-0005-0000-0000-0000FB050000}"/>
    <cellStyle name="Comma  - Style3" xfId="1019" xr:uid="{00000000-0005-0000-0000-0000FC050000}"/>
    <cellStyle name="Comma  - Style4" xfId="1020" xr:uid="{00000000-0005-0000-0000-0000FD050000}"/>
    <cellStyle name="Comma  - Style5" xfId="1021" xr:uid="{00000000-0005-0000-0000-0000FE050000}"/>
    <cellStyle name="Comma  - Style6" xfId="1022" xr:uid="{00000000-0005-0000-0000-0000FF050000}"/>
    <cellStyle name="Comma  - Style7" xfId="1023" xr:uid="{00000000-0005-0000-0000-000000060000}"/>
    <cellStyle name="Comma  - Style8" xfId="1024" xr:uid="{00000000-0005-0000-0000-000001060000}"/>
    <cellStyle name="Comma [0] Total" xfId="1025" xr:uid="{00000000-0005-0000-0000-000002060000}"/>
    <cellStyle name="Comma [00]" xfId="1026" xr:uid="{00000000-0005-0000-0000-000003060000}"/>
    <cellStyle name="Comma [1]" xfId="1027" xr:uid="{00000000-0005-0000-0000-000004060000}"/>
    <cellStyle name="Comma [1] Total" xfId="1028" xr:uid="{00000000-0005-0000-0000-000005060000}"/>
    <cellStyle name="Comma [1]_060114 BMarkingSummary_aj v3" xfId="1029" xr:uid="{00000000-0005-0000-0000-000006060000}"/>
    <cellStyle name="Comma [2]" xfId="1030" xr:uid="{00000000-0005-0000-0000-000007060000}"/>
    <cellStyle name="Comma [2] 2" xfId="1927" xr:uid="{00000000-0005-0000-0000-000008060000}"/>
    <cellStyle name="Comma [2] Total" xfId="1031" xr:uid="{00000000-0005-0000-0000-000009060000}"/>
    <cellStyle name="Comma [2]_BCE Model 1-8-07" xfId="1032" xr:uid="{00000000-0005-0000-0000-00000A060000}"/>
    <cellStyle name="Comma [3]" xfId="1033" xr:uid="{00000000-0005-0000-0000-00000B060000}"/>
    <cellStyle name="Comma [3] 2" xfId="1928" xr:uid="{00000000-0005-0000-0000-00000C060000}"/>
    <cellStyle name="Comma 0" xfId="1034" xr:uid="{00000000-0005-0000-0000-00000D060000}"/>
    <cellStyle name="Comma 0*" xfId="1035" xr:uid="{00000000-0005-0000-0000-00000E060000}"/>
    <cellStyle name="Comma 2" xfId="1036" xr:uid="{00000000-0005-0000-0000-000010060000}"/>
    <cellStyle name="Comma 2*" xfId="1037" xr:uid="{00000000-0005-0000-0000-000011060000}"/>
    <cellStyle name="comma 3" xfId="1038" xr:uid="{00000000-0005-0000-0000-000013060000}"/>
    <cellStyle name="Comma 3*" xfId="1039" xr:uid="{00000000-0005-0000-0000-000014060000}"/>
    <cellStyle name="Comma 4" xfId="1016" xr:uid="{00000000-0005-0000-0000-000015060000}"/>
    <cellStyle name="Comma 5" xfId="1926" xr:uid="{00000000-0005-0000-0000-000016060000}"/>
    <cellStyle name="Comma 6" xfId="2089" xr:uid="{00000000-0005-0000-0000-000017060000}"/>
    <cellStyle name="Comma 7" xfId="1864" xr:uid="{00000000-0005-0000-0000-000018060000}"/>
    <cellStyle name="Comma Cents" xfId="1040" xr:uid="{00000000-0005-0000-0000-000019060000}"/>
    <cellStyle name="Comma Cents 2" xfId="1929" xr:uid="{00000000-0005-0000-0000-00001A060000}"/>
    <cellStyle name="comma zerodec" xfId="1041" xr:uid="{00000000-0005-0000-0000-00001B060000}"/>
    <cellStyle name="Comma-Rounded" xfId="1054" xr:uid="{00000000-0005-0000-0000-00002C060000}"/>
    <cellStyle name="Comma, 1 dec" xfId="1043" xr:uid="{00000000-0005-0000-0000-00001D060000}"/>
    <cellStyle name="Comma, 1 dec 2" xfId="1930" xr:uid="{00000000-0005-0000-0000-00001E060000}"/>
    <cellStyle name="Comma*" xfId="1042" xr:uid="{00000000-0005-0000-0000-00001C060000}"/>
    <cellStyle name="Comma0" xfId="1044" xr:uid="{00000000-0005-0000-0000-00001F060000}"/>
    <cellStyle name="Comma0 - Modelo1" xfId="1045" xr:uid="{00000000-0005-0000-0000-000020060000}"/>
    <cellStyle name="Comma0 - Style1" xfId="1046" xr:uid="{00000000-0005-0000-0000-000021060000}"/>
    <cellStyle name="Comma0 2" xfId="1931" xr:uid="{00000000-0005-0000-0000-000022060000}"/>
    <cellStyle name="Comma0 3" xfId="2090" xr:uid="{00000000-0005-0000-0000-000023060000}"/>
    <cellStyle name="comma0_BCE Model 1-8-07" xfId="1047" xr:uid="{00000000-0005-0000-0000-000024060000}"/>
    <cellStyle name="Comma1" xfId="1048" xr:uid="{00000000-0005-0000-0000-000025060000}"/>
    <cellStyle name="Comma1 - Modelo2" xfId="1049" xr:uid="{00000000-0005-0000-0000-000026060000}"/>
    <cellStyle name="Comma1 - Style2" xfId="1050" xr:uid="{00000000-0005-0000-0000-000027060000}"/>
    <cellStyle name="Comma2" xfId="1051" xr:uid="{00000000-0005-0000-0000-000028060000}"/>
    <cellStyle name="Comma3" xfId="1052" xr:uid="{00000000-0005-0000-0000-000029060000}"/>
    <cellStyle name="CommaKM" xfId="1053" xr:uid="{00000000-0005-0000-0000-00002A060000}"/>
    <cellStyle name="CommaKM 2" xfId="1932" xr:uid="{00000000-0005-0000-0000-00002B060000}"/>
    <cellStyle name="commas" xfId="1055" xr:uid="{00000000-0005-0000-0000-00002D060000}"/>
    <cellStyle name="Comment" xfId="1056" xr:uid="{00000000-0005-0000-0000-00002E060000}"/>
    <cellStyle name="Company" xfId="1057" xr:uid="{00000000-0005-0000-0000-00002F060000}"/>
    <cellStyle name="Company 2" xfId="1933" xr:uid="{00000000-0005-0000-0000-000030060000}"/>
    <cellStyle name="Company Name" xfId="1058" xr:uid="{00000000-0005-0000-0000-000031060000}"/>
    <cellStyle name="CompanyName" xfId="1059" xr:uid="{00000000-0005-0000-0000-000032060000}"/>
    <cellStyle name="CompanyName 2" xfId="1934" xr:uid="{00000000-0005-0000-0000-000033060000}"/>
    <cellStyle name="Copied" xfId="1060" xr:uid="{00000000-0005-0000-0000-000034060000}"/>
    <cellStyle name="Cost" xfId="1061" xr:uid="{00000000-0005-0000-0000-000035060000}"/>
    <cellStyle name="Cover Date" xfId="1062" xr:uid="{00000000-0005-0000-0000-000036060000}"/>
    <cellStyle name="Cover Subtitle" xfId="1063" xr:uid="{00000000-0005-0000-0000-000037060000}"/>
    <cellStyle name="Cover Title" xfId="1064" xr:uid="{00000000-0005-0000-0000-000038060000}"/>
    <cellStyle name="COVERAGE" xfId="1065" xr:uid="{00000000-0005-0000-0000-000039060000}"/>
    <cellStyle name="cpmma" xfId="1066" xr:uid="{00000000-0005-0000-0000-00003A060000}"/>
    <cellStyle name="cpmma 2" xfId="1935" xr:uid="{00000000-0005-0000-0000-00003B060000}"/>
    <cellStyle name="Cur" xfId="1067" xr:uid="{00000000-0005-0000-0000-00003C060000}"/>
    <cellStyle name="CurRatio" xfId="1068" xr:uid="{00000000-0005-0000-0000-00003D060000}"/>
    <cellStyle name="Currency ($)" xfId="1069" xr:uid="{00000000-0005-0000-0000-00003E060000}"/>
    <cellStyle name="Currency (£)" xfId="1070" xr:uid="{00000000-0005-0000-0000-00003F060000}"/>
    <cellStyle name="Currency (€)" xfId="1071" xr:uid="{00000000-0005-0000-0000-000040060000}"/>
    <cellStyle name="Currency [0] Total" xfId="1072" xr:uid="{00000000-0005-0000-0000-000041060000}"/>
    <cellStyle name="Currency [00]" xfId="1073" xr:uid="{00000000-0005-0000-0000-000042060000}"/>
    <cellStyle name="Currency [00] 2" xfId="1936" xr:uid="{00000000-0005-0000-0000-000043060000}"/>
    <cellStyle name="Currency [1]" xfId="1074" xr:uid="{00000000-0005-0000-0000-000044060000}"/>
    <cellStyle name="Currency [1] 2" xfId="1937" xr:uid="{00000000-0005-0000-0000-000045060000}"/>
    <cellStyle name="Currency [1] Total" xfId="1075" xr:uid="{00000000-0005-0000-0000-000046060000}"/>
    <cellStyle name="Currency [1]_BCE Model 1-8-07" xfId="1076" xr:uid="{00000000-0005-0000-0000-000047060000}"/>
    <cellStyle name="Currency [2]" xfId="1077" xr:uid="{00000000-0005-0000-0000-000048060000}"/>
    <cellStyle name="Currency [2] Total" xfId="1078" xr:uid="{00000000-0005-0000-0000-000049060000}"/>
    <cellStyle name="Currency [2]_BCE Model 1-8-07" xfId="1079" xr:uid="{00000000-0005-0000-0000-00004A060000}"/>
    <cellStyle name="Currency [3]" xfId="1080" xr:uid="{00000000-0005-0000-0000-00004B060000}"/>
    <cellStyle name="Currency [3] 2" xfId="1939" xr:uid="{00000000-0005-0000-0000-00004C060000}"/>
    <cellStyle name="Currency [per_share]" xfId="1081" xr:uid="{00000000-0005-0000-0000-00004D060000}"/>
    <cellStyle name="Currency 0" xfId="1082" xr:uid="{00000000-0005-0000-0000-00004E060000}"/>
    <cellStyle name="Currency 0.0" xfId="1083" xr:uid="{00000000-0005-0000-0000-00004F060000}"/>
    <cellStyle name="currency 1" xfId="1084" xr:uid="{00000000-0005-0000-0000-000051060000}"/>
    <cellStyle name="Currency 2" xfId="1085" xr:uid="{00000000-0005-0000-0000-000052060000}"/>
    <cellStyle name="Currency 2 Total" xfId="1086" xr:uid="{00000000-0005-0000-0000-000053060000}"/>
    <cellStyle name="Currency 2_!MiniCombo_v081(vclk)" xfId="1088" xr:uid="{00000000-0005-0000-0000-000055060000}"/>
    <cellStyle name="Currency 2*" xfId="1087" xr:uid="{00000000-0005-0000-0000-000054060000}"/>
    <cellStyle name="Currency 3*" xfId="1089" xr:uid="{00000000-0005-0000-0000-000056060000}"/>
    <cellStyle name="Currency Input" xfId="1090" xr:uid="{00000000-0005-0000-0000-000057060000}"/>
    <cellStyle name="Currency Per Share" xfId="1091" xr:uid="{00000000-0005-0000-0000-000058060000}"/>
    <cellStyle name="Currency-Rounded" xfId="1098" xr:uid="{00000000-0005-0000-0000-000061060000}"/>
    <cellStyle name="Currency*" xfId="1092" xr:uid="{00000000-0005-0000-0000-000059060000}"/>
    <cellStyle name="Currency0" xfId="1093" xr:uid="{00000000-0005-0000-0000-00005A060000}"/>
    <cellStyle name="Currency0 2" xfId="1940" xr:uid="{00000000-0005-0000-0000-00005B060000}"/>
    <cellStyle name="Currency1" xfId="1094" xr:uid="{00000000-0005-0000-0000-00005C060000}"/>
    <cellStyle name="Currency1Blue" xfId="1095" xr:uid="{00000000-0005-0000-0000-00005D060000}"/>
    <cellStyle name="Currency1Blue 2" xfId="1941" xr:uid="{00000000-0005-0000-0000-00005E060000}"/>
    <cellStyle name="Currency2" xfId="1096" xr:uid="{00000000-0005-0000-0000-00005F060000}"/>
    <cellStyle name="Currency3" xfId="1097" xr:uid="{00000000-0005-0000-0000-000060060000}"/>
    <cellStyle name="currencyt 0" xfId="1099" xr:uid="{00000000-0005-0000-0000-000062060000}"/>
    <cellStyle name="Currsmall" xfId="1100" xr:uid="{00000000-0005-0000-0000-000063060000}"/>
    <cellStyle name="d" xfId="1101" xr:uid="{00000000-0005-0000-0000-000064060000}"/>
    <cellStyle name="d_101306 CanWest Excel BAck up v14" xfId="1102" xr:uid="{00000000-0005-0000-0000-000065060000}"/>
    <cellStyle name="d_BCE Model 1-8-07" xfId="1103" xr:uid="{00000000-0005-0000-0000-000066060000}"/>
    <cellStyle name="d_BCE Model 1-8-07 2" xfId="1942" xr:uid="{00000000-0005-0000-0000-000067060000}"/>
    <cellStyle name="d_Eutelsat and Capex Analysis" xfId="1104" xr:uid="{00000000-0005-0000-0000-000068060000}"/>
    <cellStyle name="d_Ford DCF 072101" xfId="1105" xr:uid="{00000000-0005-0000-0000-000069060000}"/>
    <cellStyle name="d_yield" xfId="1106" xr:uid="{00000000-0005-0000-0000-00006A060000}"/>
    <cellStyle name="d_yield_101306 CanWest Excel BAck up v14" xfId="1107" xr:uid="{00000000-0005-0000-0000-00006B060000}"/>
    <cellStyle name="d_yield_ILEC LBO" xfId="1108" xr:uid="{00000000-0005-0000-0000-00006C060000}"/>
    <cellStyle name="d_yield_Sheet1" xfId="1109" xr:uid="{00000000-0005-0000-0000-00006D060000}"/>
    <cellStyle name="Dash" xfId="1110" xr:uid="{00000000-0005-0000-0000-00006E060000}"/>
    <cellStyle name="Dash 2" xfId="1943" xr:uid="{00000000-0005-0000-0000-00006F060000}"/>
    <cellStyle name="data" xfId="1111" xr:uid="{00000000-0005-0000-0000-000070060000}"/>
    <cellStyle name="Data Link" xfId="1112" xr:uid="{00000000-0005-0000-0000-000071060000}"/>
    <cellStyle name="Data Link 2" xfId="1944" xr:uid="{00000000-0005-0000-0000-000072060000}"/>
    <cellStyle name="data_FS" xfId="1113" xr:uid="{00000000-0005-0000-0000-000073060000}"/>
    <cellStyle name="Date" xfId="1114" xr:uid="{00000000-0005-0000-0000-000074060000}"/>
    <cellStyle name="Date (d-mm-yy)" xfId="1116" xr:uid="{00000000-0005-0000-0000-000076060000}"/>
    <cellStyle name="Date (d-mm-yy) 2" xfId="1946" xr:uid="{00000000-0005-0000-0000-000077060000}"/>
    <cellStyle name="Date (d/mm/yy)" xfId="1115" xr:uid="{00000000-0005-0000-0000-000075060000}"/>
    <cellStyle name="Date (Full)" xfId="1117" xr:uid="{00000000-0005-0000-0000-000078060000}"/>
    <cellStyle name="Date [Abbreviated]" xfId="1118" xr:uid="{00000000-0005-0000-0000-000079060000}"/>
    <cellStyle name="Date [D-M-Y]" xfId="1119" xr:uid="{00000000-0005-0000-0000-00007A060000}"/>
    <cellStyle name="Date [Long Europe]" xfId="1120" xr:uid="{00000000-0005-0000-0000-00007B060000}"/>
    <cellStyle name="Date [Long U.S.]" xfId="1121" xr:uid="{00000000-0005-0000-0000-00007C060000}"/>
    <cellStyle name="Date [M-Y]" xfId="1125" xr:uid="{00000000-0005-0000-0000-000083060000}"/>
    <cellStyle name="Date [M/D/Y]" xfId="1122" xr:uid="{00000000-0005-0000-0000-00007D060000}"/>
    <cellStyle name="Date [M/D/Y] 2" xfId="1947" xr:uid="{00000000-0005-0000-0000-00007E060000}"/>
    <cellStyle name="Date [M/Y]" xfId="1123" xr:uid="{00000000-0005-0000-0000-00007F060000}"/>
    <cellStyle name="Date [M/Y] 2" xfId="1948" xr:uid="{00000000-0005-0000-0000-000080060000}"/>
    <cellStyle name="Date [mmm-yy]" xfId="1124" xr:uid="{00000000-0005-0000-0000-000081060000}"/>
    <cellStyle name="Date [mmm-yy] 2" xfId="1949" xr:uid="{00000000-0005-0000-0000-000082060000}"/>
    <cellStyle name="Date [Short Europe]" xfId="1126" xr:uid="{00000000-0005-0000-0000-000084060000}"/>
    <cellStyle name="Date [Short U.S.]" xfId="1127" xr:uid="{00000000-0005-0000-0000-000085060000}"/>
    <cellStyle name="Date 2" xfId="1945" xr:uid="{00000000-0005-0000-0000-000086060000}"/>
    <cellStyle name="Date 3" xfId="2091" xr:uid="{00000000-0005-0000-0000-000087060000}"/>
    <cellStyle name="Date Aligned" xfId="1128" xr:uid="{00000000-0005-0000-0000-000088060000}"/>
    <cellStyle name="Date Aligned*" xfId="1129" xr:uid="{00000000-0005-0000-0000-000089060000}"/>
    <cellStyle name="Date Day" xfId="1130" xr:uid="{00000000-0005-0000-0000-00008B060000}"/>
    <cellStyle name="Date Day 2" xfId="1950" xr:uid="{00000000-0005-0000-0000-00008C060000}"/>
    <cellStyle name="Date m/d/yy" xfId="1131" xr:uid="{00000000-0005-0000-0000-00008D060000}"/>
    <cellStyle name="Date m/d/yy 2" xfId="1951" xr:uid="{00000000-0005-0000-0000-00008E060000}"/>
    <cellStyle name="Date Short" xfId="1132" xr:uid="{00000000-0005-0000-0000-00008F060000}"/>
    <cellStyle name="Date Year" xfId="1133" xr:uid="{00000000-0005-0000-0000-000090060000}"/>
    <cellStyle name="Date_060114 BMarkingSummary_aj v3" xfId="1134" xr:uid="{00000000-0005-0000-0000-000091060000}"/>
    <cellStyle name="Date1" xfId="1135" xr:uid="{00000000-0005-0000-0000-000092060000}"/>
    <cellStyle name="Date1 2" xfId="1952" xr:uid="{00000000-0005-0000-0000-000093060000}"/>
    <cellStyle name="date2" xfId="1136" xr:uid="{00000000-0005-0000-0000-000094060000}"/>
    <cellStyle name="date3" xfId="1137" xr:uid="{00000000-0005-0000-0000-000095060000}"/>
    <cellStyle name="Dates" xfId="1138" xr:uid="{00000000-0005-0000-0000-000096060000}"/>
    <cellStyle name="Dates 2" xfId="1953" xr:uid="{00000000-0005-0000-0000-000097060000}"/>
    <cellStyle name="DateYear" xfId="1139" xr:uid="{00000000-0005-0000-0000-000098060000}"/>
    <cellStyle name="DateYearEstimate" xfId="1140" xr:uid="{00000000-0005-0000-0000-000099060000}"/>
    <cellStyle name="DateYearWholeEstimate" xfId="1141" xr:uid="{00000000-0005-0000-0000-00009A060000}"/>
    <cellStyle name="Days.0" xfId="1142" xr:uid="{00000000-0005-0000-0000-00009B060000}"/>
    <cellStyle name="Days.1" xfId="1143" xr:uid="{00000000-0005-0000-0000-00009C060000}"/>
    <cellStyle name="DblLineDollarAcct" xfId="1144" xr:uid="{00000000-0005-0000-0000-00009D060000}"/>
    <cellStyle name="DblLinePercent" xfId="1145" xr:uid="{00000000-0005-0000-0000-00009E060000}"/>
    <cellStyle name="ddate" xfId="1146" xr:uid="{00000000-0005-0000-0000-00009F060000}"/>
    <cellStyle name="ddate 2" xfId="1954" xr:uid="{00000000-0005-0000-0000-0000A0060000}"/>
    <cellStyle name="Decimal" xfId="1147" xr:uid="{00000000-0005-0000-0000-0000A1060000}"/>
    <cellStyle name="Decimal 2" xfId="1955" xr:uid="{00000000-0005-0000-0000-0000A2060000}"/>
    <cellStyle name="default" xfId="1148" xr:uid="{00000000-0005-0000-0000-0000A3060000}"/>
    <cellStyle name="Detail" xfId="1149" xr:uid="{00000000-0005-0000-0000-0000A4060000}"/>
    <cellStyle name="Deutschmark" xfId="1150" xr:uid="{00000000-0005-0000-0000-0000A5060000}"/>
    <cellStyle name="Dezimal__Utopia Index Index und Guidance (Deutsch)" xfId="1151" xr:uid="{00000000-0005-0000-0000-0000A6060000}"/>
    <cellStyle name="Dia" xfId="1152" xr:uid="{00000000-0005-0000-0000-0000A7060000}"/>
    <cellStyle name="DIANE" xfId="1153" xr:uid="{00000000-0005-0000-0000-0000A8060000}"/>
    <cellStyle name="dolar" xfId="1154" xr:uid="{00000000-0005-0000-0000-0000A9060000}"/>
    <cellStyle name="dolar 2" xfId="1956" xr:uid="{00000000-0005-0000-0000-0000AA060000}"/>
    <cellStyle name="dolar whole" xfId="1155" xr:uid="{00000000-0005-0000-0000-0000AB060000}"/>
    <cellStyle name="dolar whole 2" xfId="1957" xr:uid="{00000000-0005-0000-0000-0000AC060000}"/>
    <cellStyle name="dolar_ATT LBO Model 07-02-04v1" xfId="1156" xr:uid="{00000000-0005-0000-0000-0000AD060000}"/>
    <cellStyle name="Dollar" xfId="1157" xr:uid="{00000000-0005-0000-0000-0000AE060000}"/>
    <cellStyle name="Dollar - Style5" xfId="1158" xr:uid="{00000000-0005-0000-0000-0000AF060000}"/>
    <cellStyle name="Dollar (Canadian)" xfId="1159" xr:uid="{00000000-0005-0000-0000-0000B0060000}"/>
    <cellStyle name="Dollar (Canadian) 2" xfId="1959" xr:uid="{00000000-0005-0000-0000-0000B1060000}"/>
    <cellStyle name="Dollar (zero dec)" xfId="1160" xr:uid="{00000000-0005-0000-0000-0000B2060000}"/>
    <cellStyle name="Dollar 2" xfId="1958" xr:uid="{00000000-0005-0000-0000-0000B3060000}"/>
    <cellStyle name="Dollar 3" xfId="2092" xr:uid="{00000000-0005-0000-0000-0000B4060000}"/>
    <cellStyle name="Dollar Whole" xfId="1161" xr:uid="{00000000-0005-0000-0000-0000B5060000}"/>
    <cellStyle name="Dollar Whole 2" xfId="1960" xr:uid="{00000000-0005-0000-0000-0000B6060000}"/>
    <cellStyle name="dollar_051129 DCF Summary" xfId="1162" xr:uid="{00000000-0005-0000-0000-0000B7060000}"/>
    <cellStyle name="Dollar1" xfId="1163" xr:uid="{00000000-0005-0000-0000-0000B8060000}"/>
    <cellStyle name="Dollar1 2" xfId="1961" xr:uid="{00000000-0005-0000-0000-0000B9060000}"/>
    <cellStyle name="Dollar1Blue" xfId="1164" xr:uid="{00000000-0005-0000-0000-0000BA060000}"/>
    <cellStyle name="Dollar1Blue 2" xfId="1962" xr:uid="{00000000-0005-0000-0000-0000BB060000}"/>
    <cellStyle name="Dollar2" xfId="1165" xr:uid="{00000000-0005-0000-0000-0000BC060000}"/>
    <cellStyle name="Dollar2 2" xfId="1963" xr:uid="{00000000-0005-0000-0000-0000BD060000}"/>
    <cellStyle name="DollarAccounting" xfId="1166" xr:uid="{00000000-0005-0000-0000-0000BE060000}"/>
    <cellStyle name="Dollars" xfId="1167" xr:uid="{00000000-0005-0000-0000-0000BF060000}"/>
    <cellStyle name="DollarWhole" xfId="1168" xr:uid="{00000000-0005-0000-0000-0000C0060000}"/>
    <cellStyle name="DollarWhole 2" xfId="1964" xr:uid="{00000000-0005-0000-0000-0000C1060000}"/>
    <cellStyle name="Doller" xfId="1169" xr:uid="{00000000-0005-0000-0000-0000C2060000}"/>
    <cellStyle name="Doller 2" xfId="1965" xr:uid="{00000000-0005-0000-0000-0000C3060000}"/>
    <cellStyle name="Dotted Line" xfId="1171" xr:uid="{00000000-0005-0000-0000-0000C4060000}"/>
    <cellStyle name="Double Accounting" xfId="1172" xr:uid="{00000000-0005-0000-0000-0000C5060000}"/>
    <cellStyle name="Double Underline" xfId="1173" xr:uid="{00000000-0005-0000-0000-0000C6060000}"/>
    <cellStyle name="Download" xfId="1174" xr:uid="{00000000-0005-0000-0000-0000C7060000}"/>
    <cellStyle name="Download 2" xfId="1967" xr:uid="{00000000-0005-0000-0000-0000C8060000}"/>
    <cellStyle name="dp*NumberGeneral" xfId="1175" xr:uid="{00000000-0005-0000-0000-0000C9060000}"/>
    <cellStyle name="Driver" xfId="1176" xr:uid="{00000000-0005-0000-0000-0000CA060000}"/>
    <cellStyle name="Encabez1" xfId="1177" xr:uid="{00000000-0005-0000-0000-0000CB060000}"/>
    <cellStyle name="Encabez1 2" xfId="1968" xr:uid="{00000000-0005-0000-0000-0000CC060000}"/>
    <cellStyle name="Encabez2" xfId="1178" xr:uid="{00000000-0005-0000-0000-0000CD060000}"/>
    <cellStyle name="Encabez2 2" xfId="1969" xr:uid="{00000000-0005-0000-0000-0000CE060000}"/>
    <cellStyle name="Enter Currency (0)" xfId="1179" xr:uid="{00000000-0005-0000-0000-0000CF060000}"/>
    <cellStyle name="Enter Currency (2)" xfId="1180" xr:uid="{00000000-0005-0000-0000-0000D0060000}"/>
    <cellStyle name="Enter Currency (2) 2" xfId="1970" xr:uid="{00000000-0005-0000-0000-0000D1060000}"/>
    <cellStyle name="Enter Units (0)" xfId="1181" xr:uid="{00000000-0005-0000-0000-0000D2060000}"/>
    <cellStyle name="Enter Units (1)" xfId="1182" xr:uid="{00000000-0005-0000-0000-0000D3060000}"/>
    <cellStyle name="Enter Units (2)" xfId="1183" xr:uid="{00000000-0005-0000-0000-0000D4060000}"/>
    <cellStyle name="Enter Units (2) 2" xfId="1971" xr:uid="{00000000-0005-0000-0000-0000D5060000}"/>
    <cellStyle name="Entered" xfId="1184" xr:uid="{00000000-0005-0000-0000-0000D6060000}"/>
    <cellStyle name="Entries" xfId="1185" xr:uid="{00000000-0005-0000-0000-0000D7060000}"/>
    <cellStyle name="eps" xfId="1186" xr:uid="{00000000-0005-0000-0000-0000D8060000}"/>
    <cellStyle name="eps$" xfId="1187" xr:uid="{00000000-0005-0000-0000-0000D9060000}"/>
    <cellStyle name="eps$A" xfId="1188" xr:uid="{00000000-0005-0000-0000-0000DA060000}"/>
    <cellStyle name="eps$E" xfId="1189" xr:uid="{00000000-0005-0000-0000-0000DB060000}"/>
    <cellStyle name="epsA" xfId="1190" xr:uid="{00000000-0005-0000-0000-0000DD060000}"/>
    <cellStyle name="EPSActual" xfId="1191" xr:uid="{00000000-0005-0000-0000-0000DE060000}"/>
    <cellStyle name="epsE" xfId="1192" xr:uid="{00000000-0005-0000-0000-0000DF060000}"/>
    <cellStyle name="EPSEstimate" xfId="1193" xr:uid="{00000000-0005-0000-0000-0000E0060000}"/>
    <cellStyle name="Est - %" xfId="1195" xr:uid="{00000000-0005-0000-0000-0000E2060000}"/>
    <cellStyle name="Est - $" xfId="1194" xr:uid="{00000000-0005-0000-0000-0000E1060000}"/>
    <cellStyle name="Est 0,000.0" xfId="1196" xr:uid="{00000000-0005-0000-0000-0000E3060000}"/>
    <cellStyle name="Estimate" xfId="1197" xr:uid="{00000000-0005-0000-0000-0000E4060000}"/>
    <cellStyle name="Euro" xfId="1198" xr:uid="{00000000-0005-0000-0000-0000E5060000}"/>
    <cellStyle name="Euro 2" xfId="1972" xr:uid="{00000000-0005-0000-0000-0000E7060000}"/>
    <cellStyle name="Euro 3" xfId="2093" xr:uid="{00000000-0005-0000-0000-0000E9060000}"/>
    <cellStyle name="Euro_Ch06_Pics" xfId="1200" xr:uid="{00000000-0005-0000-0000-0000EB060000}"/>
    <cellStyle name="Euro-" xfId="1199" xr:uid="{00000000-0005-0000-0000-0000E6060000}"/>
    <cellStyle name="Euro- 2" xfId="1973" xr:uid="{00000000-0005-0000-0000-0000E8060000}"/>
    <cellStyle name="Euro- 3" xfId="2094" xr:uid="{00000000-0005-0000-0000-0000EA060000}"/>
    <cellStyle name="Explanatory Text 2" xfId="1201" xr:uid="{00000000-0005-0000-0000-0000EC060000}"/>
    <cellStyle name="External File Cells" xfId="1202" xr:uid="{00000000-0005-0000-0000-0000ED060000}"/>
    <cellStyle name="EY0dp" xfId="1203" xr:uid="{00000000-0005-0000-0000-0000EE060000}"/>
    <cellStyle name="F2" xfId="1204" xr:uid="{00000000-0005-0000-0000-0000EF060000}"/>
    <cellStyle name="F3" xfId="1205" xr:uid="{00000000-0005-0000-0000-0000F0060000}"/>
    <cellStyle name="F4" xfId="1206" xr:uid="{00000000-0005-0000-0000-0000F1060000}"/>
    <cellStyle name="F5" xfId="1207" xr:uid="{00000000-0005-0000-0000-0000F2060000}"/>
    <cellStyle name="F6" xfId="1208" xr:uid="{00000000-0005-0000-0000-0000F3060000}"/>
    <cellStyle name="F7" xfId="1209" xr:uid="{00000000-0005-0000-0000-0000F4060000}"/>
    <cellStyle name="F8" xfId="1210" xr:uid="{00000000-0005-0000-0000-0000F5060000}"/>
    <cellStyle name="FF_EURO" xfId="1211" xr:uid="{00000000-0005-0000-0000-0000F6060000}"/>
    <cellStyle name="FieldName" xfId="1212" xr:uid="{00000000-0005-0000-0000-0000F7060000}"/>
    <cellStyle name="FieldName 2" xfId="1974" xr:uid="{00000000-0005-0000-0000-0000F8060000}"/>
    <cellStyle name="Fijo" xfId="1213" xr:uid="{00000000-0005-0000-0000-0000F9060000}"/>
    <cellStyle name="Finan?ní0" xfId="1214" xr:uid="{00000000-0005-0000-0000-0000FA060000}"/>
    <cellStyle name="Finan?ní0 2" xfId="1975" xr:uid="{00000000-0005-0000-0000-0000FB060000}"/>
    <cellStyle name="Financiero" xfId="1215" xr:uid="{00000000-0005-0000-0000-0000FC060000}"/>
    <cellStyle name="Fixed" xfId="1216" xr:uid="{00000000-0005-0000-0000-0000FD060000}"/>
    <cellStyle name="Fixed [0]" xfId="1217" xr:uid="{00000000-0005-0000-0000-0000FE060000}"/>
    <cellStyle name="Fixed [0] 2" xfId="1977" xr:uid="{00000000-0005-0000-0000-0000FF060000}"/>
    <cellStyle name="Fixed 2" xfId="1976" xr:uid="{00000000-0005-0000-0000-000000070000}"/>
    <cellStyle name="Fixed 3" xfId="2095" xr:uid="{00000000-0005-0000-0000-000001070000}"/>
    <cellStyle name="Fixed0" xfId="1218" xr:uid="{00000000-0005-0000-0000-000002070000}"/>
    <cellStyle name="Fixlong" xfId="1219" xr:uid="{00000000-0005-0000-0000-000003070000}"/>
    <cellStyle name="Footer SBILogo1" xfId="1220" xr:uid="{00000000-0005-0000-0000-000004070000}"/>
    <cellStyle name="Footer SBILogo2" xfId="1221" xr:uid="{00000000-0005-0000-0000-000005070000}"/>
    <cellStyle name="Footnote" xfId="1222" xr:uid="{00000000-0005-0000-0000-000006070000}"/>
    <cellStyle name="Footnote Reference" xfId="1223" xr:uid="{00000000-0005-0000-0000-000007070000}"/>
    <cellStyle name="Footnote_% Change" xfId="1224" xr:uid="{00000000-0005-0000-0000-000008070000}"/>
    <cellStyle name="Footnotes" xfId="1225" xr:uid="{00000000-0005-0000-0000-000009070000}"/>
    <cellStyle name="Footnotes 2" xfId="1978" xr:uid="{00000000-0005-0000-0000-00000A070000}"/>
    <cellStyle name="Forecast Cells" xfId="1226" xr:uid="{00000000-0005-0000-0000-00000B070000}"/>
    <cellStyle name="Forecast Cells 2" xfId="1979" xr:uid="{00000000-0005-0000-0000-00000C070000}"/>
    <cellStyle name="Format ($)" xfId="1227" xr:uid="{00000000-0005-0000-0000-00000D070000}"/>
    <cellStyle name="Format (no $ no underline)" xfId="1228" xr:uid="{00000000-0005-0000-0000-00000E070000}"/>
    <cellStyle name="Format (no $ underline)" xfId="1229" xr:uid="{00000000-0005-0000-0000-00000F070000}"/>
    <cellStyle name="Format (no $)" xfId="1230" xr:uid="{00000000-0005-0000-0000-000010070000}"/>
    <cellStyle name="Format underline (no $)" xfId="1231" xr:uid="{00000000-0005-0000-0000-000011070000}"/>
    <cellStyle name="Formula" xfId="1232" xr:uid="{00000000-0005-0000-0000-000012070000}"/>
    <cellStyle name="fourdecplace" xfId="1233" xr:uid="{00000000-0005-0000-0000-000013070000}"/>
    <cellStyle name="fourdecplace 2" xfId="1980" xr:uid="{00000000-0005-0000-0000-000014070000}"/>
    <cellStyle name="Fraction" xfId="1234" xr:uid="{00000000-0005-0000-0000-000015070000}"/>
    <cellStyle name="Fraction ($)" xfId="1235" xr:uid="{00000000-0005-0000-0000-000016070000}"/>
    <cellStyle name="Fraction ($) 2" xfId="1982" xr:uid="{00000000-0005-0000-0000-000017070000}"/>
    <cellStyle name="Fraction [8]" xfId="1236" xr:uid="{00000000-0005-0000-0000-000018070000}"/>
    <cellStyle name="Fraction [Bl]" xfId="1237" xr:uid="{00000000-0005-0000-0000-000019070000}"/>
    <cellStyle name="Fraction [Bl] 2" xfId="1983" xr:uid="{00000000-0005-0000-0000-00001A070000}"/>
    <cellStyle name="Fraction 2" xfId="1981" xr:uid="{00000000-0005-0000-0000-00001B070000}"/>
    <cellStyle name="Fraction 3" xfId="2096" xr:uid="{00000000-0005-0000-0000-00001C070000}"/>
    <cellStyle name="French Francs" xfId="1238" xr:uid="{00000000-0005-0000-0000-00001D070000}"/>
    <cellStyle name="fy_eps$" xfId="1239" xr:uid="{00000000-0005-0000-0000-00001E070000}"/>
    <cellStyle name="g_rate" xfId="1240" xr:uid="{00000000-0005-0000-0000-00001F070000}"/>
    <cellStyle name="g_rate_101306 CanWest Excel BAck up v14" xfId="1241" xr:uid="{00000000-0005-0000-0000-000020070000}"/>
    <cellStyle name="g_rate_ILEC LBO" xfId="1242" xr:uid="{00000000-0005-0000-0000-000021070000}"/>
    <cellStyle name="G02 Table Text" xfId="1243" xr:uid="{00000000-0005-0000-0000-000022070000}"/>
    <cellStyle name="G02 Table Text 2" xfId="1984" xr:uid="{00000000-0005-0000-0000-000023070000}"/>
    <cellStyle name="G04_Main head" xfId="1244" xr:uid="{00000000-0005-0000-0000-000024070000}"/>
    <cellStyle name="G05 Tab Head Bold" xfId="1245" xr:uid="{00000000-0005-0000-0000-000025070000}"/>
    <cellStyle name="G05 Tab Head Bold 2" xfId="1985" xr:uid="{00000000-0005-0000-0000-000026070000}"/>
    <cellStyle name="G05 Tab Head Light" xfId="1246" xr:uid="{00000000-0005-0000-0000-000027070000}"/>
    <cellStyle name="G05 Tab Head Light 2" xfId="1986" xr:uid="{00000000-0005-0000-0000-000028070000}"/>
    <cellStyle name="G1_1999 figures" xfId="1247" xr:uid="{00000000-0005-0000-0000-000029070000}"/>
    <cellStyle name="General" xfId="1248" xr:uid="{00000000-0005-0000-0000-00002A070000}"/>
    <cellStyle name="General [C]" xfId="1249" xr:uid="{00000000-0005-0000-0000-00002B070000}"/>
    <cellStyle name="General [R]" xfId="1250" xr:uid="{00000000-0005-0000-0000-00002C070000}"/>
    <cellStyle name="General 2" xfId="1987" xr:uid="{00000000-0005-0000-0000-00002D070000}"/>
    <cellStyle name="General 3" xfId="2097" xr:uid="{00000000-0005-0000-0000-00002E070000}"/>
    <cellStyle name="General_060114 BMarkingSummary_aj v3" xfId="1251" xr:uid="{00000000-0005-0000-0000-00002F070000}"/>
    <cellStyle name="Good 2" xfId="1252" xr:uid="{00000000-0005-0000-0000-000030070000}"/>
    <cellStyle name="Grand" xfId="1253" xr:uid="{00000000-0005-0000-0000-000031070000}"/>
    <cellStyle name="Grand 2" xfId="1988" xr:uid="{00000000-0005-0000-0000-000032070000}"/>
    <cellStyle name="Grand Total" xfId="1254" xr:uid="{00000000-0005-0000-0000-000033070000}"/>
    <cellStyle name="Green" xfId="1255" xr:uid="{00000000-0005-0000-0000-000034070000}"/>
    <cellStyle name="Grey" xfId="1256" xr:uid="{00000000-0005-0000-0000-000035070000}"/>
    <cellStyle name="GROSS" xfId="1257" xr:uid="{00000000-0005-0000-0000-000036070000}"/>
    <cellStyle name="Group Headings" xfId="1258" xr:uid="{00000000-0005-0000-0000-000037070000}"/>
    <cellStyle name="Group Headings 2" xfId="1989" xr:uid="{00000000-0005-0000-0000-000038070000}"/>
    <cellStyle name="growth" xfId="1259" xr:uid="{00000000-0005-0000-0000-000039070000}"/>
    <cellStyle name="Growth%" xfId="1260" xr:uid="{00000000-0005-0000-0000-00003A070000}"/>
    <cellStyle name="GrowthLarge" xfId="1261" xr:uid="{00000000-0005-0000-0000-00003B070000}"/>
    <cellStyle name="GrowthLarge 2" xfId="1990" xr:uid="{00000000-0005-0000-0000-00003C070000}"/>
    <cellStyle name="GrowthRate" xfId="1262" xr:uid="{00000000-0005-0000-0000-00003D070000}"/>
    <cellStyle name="GrowthSeq" xfId="1263" xr:uid="{00000000-0005-0000-0000-00003E070000}"/>
    <cellStyle name="GrowthSmall" xfId="1264" xr:uid="{00000000-0005-0000-0000-00003F070000}"/>
    <cellStyle name="GS Table Header" xfId="1265" xr:uid="{00000000-0005-0000-0000-000040070000}"/>
    <cellStyle name="H 2" xfId="1266" xr:uid="{00000000-0005-0000-0000-000041070000}"/>
    <cellStyle name="H_1998_col_head" xfId="1267" xr:uid="{00000000-0005-0000-0000-000042070000}"/>
    <cellStyle name="H_1998_col_head 2" xfId="1991" xr:uid="{00000000-0005-0000-0000-000043070000}"/>
    <cellStyle name="H_1999_col_head" xfId="1268" xr:uid="{00000000-0005-0000-0000-000044070000}"/>
    <cellStyle name="H1_1998 figures" xfId="1269" xr:uid="{00000000-0005-0000-0000-000045070000}"/>
    <cellStyle name="hard no" xfId="1270" xr:uid="{00000000-0005-0000-0000-000046070000}"/>
    <cellStyle name="hard no." xfId="1271" xr:uid="{00000000-0005-0000-0000-000047070000}"/>
    <cellStyle name="hard no. 2" xfId="1992" xr:uid="{00000000-0005-0000-0000-000048070000}"/>
    <cellStyle name="Hard Percent" xfId="1272" xr:uid="{00000000-0005-0000-0000-000049070000}"/>
    <cellStyle name="hardno" xfId="1273" xr:uid="{00000000-0005-0000-0000-00004A070000}"/>
    <cellStyle name="head1" xfId="1274" xr:uid="{00000000-0005-0000-0000-00004B070000}"/>
    <cellStyle name="Head12" xfId="1275" xr:uid="{00000000-0005-0000-0000-00004C070000}"/>
    <cellStyle name="head2" xfId="1276" xr:uid="{00000000-0005-0000-0000-00004D070000}"/>
    <cellStyle name="Header" xfId="1277" xr:uid="{00000000-0005-0000-0000-00004E070000}"/>
    <cellStyle name="Header 2" xfId="1994" xr:uid="{00000000-0005-0000-0000-00004F070000}"/>
    <cellStyle name="Header Draft Stamp" xfId="1278" xr:uid="{00000000-0005-0000-0000-000050070000}"/>
    <cellStyle name="Header_% Change" xfId="1279" xr:uid="{00000000-0005-0000-0000-000051070000}"/>
    <cellStyle name="Header1" xfId="1280" xr:uid="{00000000-0005-0000-0000-000052070000}"/>
    <cellStyle name="Header2" xfId="1281" xr:uid="{00000000-0005-0000-0000-000053070000}"/>
    <cellStyle name="headers" xfId="1282" xr:uid="{00000000-0005-0000-0000-000054070000}"/>
    <cellStyle name="Headin - Style6" xfId="1283" xr:uid="{00000000-0005-0000-0000-000055070000}"/>
    <cellStyle name="heading" xfId="1284" xr:uid="{00000000-0005-0000-0000-000056070000}"/>
    <cellStyle name="Heading 1 2" xfId="1285" xr:uid="{00000000-0005-0000-0000-000057070000}"/>
    <cellStyle name="Heading 1 Above" xfId="1286" xr:uid="{00000000-0005-0000-0000-000058070000}"/>
    <cellStyle name="Heading 1+" xfId="1287" xr:uid="{00000000-0005-0000-0000-000059070000}"/>
    <cellStyle name="Heading 2 2" xfId="1288" xr:uid="{00000000-0005-0000-0000-00005A070000}"/>
    <cellStyle name="Heading 2 3" xfId="1998" xr:uid="{00000000-0005-0000-0000-00005B070000}"/>
    <cellStyle name="Heading 2 Below" xfId="1289" xr:uid="{00000000-0005-0000-0000-00005C070000}"/>
    <cellStyle name="Heading 3 2" xfId="1290" xr:uid="{00000000-0005-0000-0000-00005D070000}"/>
    <cellStyle name="Heading 3 3" xfId="1999" xr:uid="{00000000-0005-0000-0000-00005E070000}"/>
    <cellStyle name="Heading 4 2" xfId="1291" xr:uid="{00000000-0005-0000-0000-00005F070000}"/>
    <cellStyle name="heading 5" xfId="1995" xr:uid="{00000000-0005-0000-0000-000060070000}"/>
    <cellStyle name="heading 6" xfId="2098" xr:uid="{00000000-0005-0000-0000-000061070000}"/>
    <cellStyle name="Input 2" xfId="1292" xr:uid="{00000000-0005-0000-0000-000062070000}"/>
    <cellStyle name="Input 3" xfId="2001" xr:uid="{00000000-0005-0000-0000-000063070000}"/>
    <cellStyle name="Item Descriptions" xfId="1293" xr:uid="{00000000-0005-0000-0000-000064070000}"/>
    <cellStyle name="Item Descriptions - Bold" xfId="1294" xr:uid="{00000000-0005-0000-0000-000065070000}"/>
    <cellStyle name="Item Descriptions - Bold 2" xfId="2003" xr:uid="{00000000-0005-0000-0000-000066070000}"/>
    <cellStyle name="Item Descriptions 2" xfId="2002" xr:uid="{00000000-0005-0000-0000-000067070000}"/>
    <cellStyle name="Item Descriptions 3" xfId="2099" xr:uid="{00000000-0005-0000-0000-000068070000}"/>
    <cellStyle name="Lable8Left" xfId="1295" xr:uid="{00000000-0005-0000-0000-000069070000}"/>
    <cellStyle name="Lable8Left 2" xfId="2004" xr:uid="{00000000-0005-0000-0000-00006A070000}"/>
    <cellStyle name="Line" xfId="1296" xr:uid="{00000000-0005-0000-0000-00006B070000}"/>
    <cellStyle name="Line 2" xfId="2005" xr:uid="{00000000-0005-0000-0000-00006C070000}"/>
    <cellStyle name="Linked Cell 2" xfId="1297" xr:uid="{00000000-0005-0000-0000-00006D070000}"/>
    <cellStyle name="Magic" xfId="1298" xr:uid="{00000000-0005-0000-0000-00006E070000}"/>
    <cellStyle name="Magic 2" xfId="2006" xr:uid="{00000000-0005-0000-0000-00006F070000}"/>
    <cellStyle name="mult" xfId="1299" xr:uid="{00000000-0005-0000-0000-000070070000}"/>
    <cellStyle name="mult 2" xfId="2007" xr:uid="{00000000-0005-0000-0000-000071070000}"/>
    <cellStyle name="Multiple" xfId="1300" xr:uid="{00000000-0005-0000-0000-000072070000}"/>
    <cellStyle name="Multiple [0]" xfId="1301" xr:uid="{00000000-0005-0000-0000-000073070000}"/>
    <cellStyle name="Multiple [0] 2" xfId="2008" xr:uid="{00000000-0005-0000-0000-000074070000}"/>
    <cellStyle name="Multiple [1]" xfId="1302" xr:uid="{00000000-0005-0000-0000-000075070000}"/>
    <cellStyle name="Multiple [1] 2" xfId="2009" xr:uid="{00000000-0005-0000-0000-000076070000}"/>
    <cellStyle name="Multiple_2 PICS v4.3 (Comps, PT)" xfId="1303" xr:uid="{00000000-0005-0000-0000-000077070000}"/>
    <cellStyle name="Neutral 2" xfId="1304" xr:uid="{00000000-0005-0000-0000-000078070000}"/>
    <cellStyle name="Normal" xfId="0" builtinId="0"/>
    <cellStyle name="Normal - Style1" xfId="1305" xr:uid="{00000000-0005-0000-0000-00007A070000}"/>
    <cellStyle name="Normal [2]" xfId="1306" xr:uid="{00000000-0005-0000-0000-00007B070000}"/>
    <cellStyle name="Normal [2] 2" xfId="2010" xr:uid="{00000000-0005-0000-0000-00007C070000}"/>
    <cellStyle name="Normal 2" xfId="1307" xr:uid="{00000000-0005-0000-0000-00007D070000}"/>
    <cellStyle name="Normal 2 2" xfId="1308" xr:uid="{00000000-0005-0000-0000-00007E070000}"/>
    <cellStyle name="Normal 3" xfId="1" xr:uid="{00000000-0005-0000-0000-00007F070000}"/>
    <cellStyle name="Normal 4" xfId="1404" xr:uid="{00000000-0005-0000-0000-000080070000}"/>
    <cellStyle name="Normal 5" xfId="2085" xr:uid="{00000000-0005-0000-0000-000081070000}"/>
    <cellStyle name="Normal 6" xfId="2107" xr:uid="{00000000-0005-0000-0000-000082070000}"/>
    <cellStyle name="Note 2" xfId="1309" xr:uid="{00000000-0005-0000-0000-000083070000}"/>
    <cellStyle name="Num1" xfId="1310" xr:uid="{00000000-0005-0000-0000-000084070000}"/>
    <cellStyle name="Num1Blue" xfId="1311" xr:uid="{00000000-0005-0000-0000-000085070000}"/>
    <cellStyle name="num1Style" xfId="1312" xr:uid="{00000000-0005-0000-0000-000086070000}"/>
    <cellStyle name="num1Style 2" xfId="2011" xr:uid="{00000000-0005-0000-0000-000087070000}"/>
    <cellStyle name="Num2" xfId="1313" xr:uid="{00000000-0005-0000-0000-000088070000}"/>
    <cellStyle name="Num2 2" xfId="2012" xr:uid="{00000000-0005-0000-0000-000089070000}"/>
    <cellStyle name="num4Style" xfId="1314" xr:uid="{00000000-0005-0000-0000-00008A070000}"/>
    <cellStyle name="num4Style 2" xfId="2013" xr:uid="{00000000-0005-0000-0000-00008B070000}"/>
    <cellStyle name="Numbers" xfId="1315" xr:uid="{00000000-0005-0000-0000-00008C070000}"/>
    <cellStyle name="Numbers - Bold" xfId="1316" xr:uid="{00000000-0005-0000-0000-00008D070000}"/>
    <cellStyle name="Numbers - Bold - Italic" xfId="1317" xr:uid="{00000000-0005-0000-0000-00008E070000}"/>
    <cellStyle name="Numbers - Bold 2" xfId="2015" xr:uid="{00000000-0005-0000-0000-00008F070000}"/>
    <cellStyle name="Numbers - Bold 3" xfId="2101" xr:uid="{00000000-0005-0000-0000-000090070000}"/>
    <cellStyle name="Numbers - Bold_WACC2" xfId="1318" xr:uid="{00000000-0005-0000-0000-000091070000}"/>
    <cellStyle name="Numbers - Large" xfId="1319" xr:uid="{00000000-0005-0000-0000-000092070000}"/>
    <cellStyle name="Numbers - Large 2" xfId="2017" xr:uid="{00000000-0005-0000-0000-000093070000}"/>
    <cellStyle name="Numbers 2" xfId="2014" xr:uid="{00000000-0005-0000-0000-000094070000}"/>
    <cellStyle name="Numbers 3" xfId="2100" xr:uid="{00000000-0005-0000-0000-000095070000}"/>
    <cellStyle name="Numbers_Comps" xfId="1320" xr:uid="{00000000-0005-0000-0000-000096070000}"/>
    <cellStyle name="Output 2" xfId="1321" xr:uid="{00000000-0005-0000-0000-000097070000}"/>
    <cellStyle name="Page Heading Large" xfId="1322" xr:uid="{00000000-0005-0000-0000-000098070000}"/>
    <cellStyle name="Page Heading Small" xfId="1323" xr:uid="{00000000-0005-0000-0000-000099070000}"/>
    <cellStyle name="Page Number" xfId="1324" xr:uid="{00000000-0005-0000-0000-00009A070000}"/>
    <cellStyle name="Page Number 2" xfId="2018" xr:uid="{00000000-0005-0000-0000-00009B070000}"/>
    <cellStyle name="pb_table_format_bottomonly" xfId="1325" xr:uid="{00000000-0005-0000-0000-00009C070000}"/>
    <cellStyle name="pct_sub" xfId="1326" xr:uid="{00000000-0005-0000-0000-00009D070000}"/>
    <cellStyle name="Pctg" xfId="1327" xr:uid="{00000000-0005-0000-0000-00009E070000}"/>
    <cellStyle name="Percent [0]" xfId="1329" xr:uid="{00000000-0005-0000-0000-00009F070000}"/>
    <cellStyle name="Percent [0] 2" xfId="2020" xr:uid="{00000000-0005-0000-0000-0000A0070000}"/>
    <cellStyle name="Percent [1]" xfId="1330" xr:uid="{00000000-0005-0000-0000-0000A1070000}"/>
    <cellStyle name="Percent [1] 2" xfId="2021" xr:uid="{00000000-0005-0000-0000-0000A2070000}"/>
    <cellStyle name="Percent 2" xfId="1328" xr:uid="{00000000-0005-0000-0000-0000A3070000}"/>
    <cellStyle name="Percent 3" xfId="2019" xr:uid="{00000000-0005-0000-0000-0000A4070000}"/>
    <cellStyle name="Percent 4" xfId="2102" xr:uid="{00000000-0005-0000-0000-0000A5070000}"/>
    <cellStyle name="Percent 5" xfId="1993" xr:uid="{00000000-0005-0000-0000-0000A6070000}"/>
    <cellStyle name="Percent Hard" xfId="1331" xr:uid="{00000000-0005-0000-0000-0000A7070000}"/>
    <cellStyle name="Percent Hard 2" xfId="2022" xr:uid="{00000000-0005-0000-0000-0000A8070000}"/>
    <cellStyle name="Percent1" xfId="1332" xr:uid="{00000000-0005-0000-0000-0000A9070000}"/>
    <cellStyle name="Percent1 2" xfId="2023" xr:uid="{00000000-0005-0000-0000-0000AA070000}"/>
    <cellStyle name="Percent1Blue" xfId="1333" xr:uid="{00000000-0005-0000-0000-0000AB070000}"/>
    <cellStyle name="Percent1Blue 2" xfId="2024" xr:uid="{00000000-0005-0000-0000-0000AC070000}"/>
    <cellStyle name="Percent2" xfId="1334" xr:uid="{00000000-0005-0000-0000-0000AD070000}"/>
    <cellStyle name="Percent2 2" xfId="2025" xr:uid="{00000000-0005-0000-0000-0000AE070000}"/>
    <cellStyle name="Percent2Blue" xfId="1335" xr:uid="{00000000-0005-0000-0000-0000AF070000}"/>
    <cellStyle name="Percent2Blue 2" xfId="2026" xr:uid="{00000000-0005-0000-0000-0000B0070000}"/>
    <cellStyle name="Shaded" xfId="1336" xr:uid="{00000000-0005-0000-0000-0000B1070000}"/>
    <cellStyle name="Single Accounting" xfId="1337" xr:uid="{00000000-0005-0000-0000-0000B2070000}"/>
    <cellStyle name="Style 1" xfId="2" xr:uid="{00000000-0005-0000-0000-0000B3070000}"/>
    <cellStyle name="Style 10" xfId="1170" xr:uid="{00000000-0005-0000-0000-0000B4070000}"/>
    <cellStyle name="Style 10 2" xfId="1966" xr:uid="{00000000-0005-0000-0000-0000B5070000}"/>
    <cellStyle name="Style 2" xfId="811" xr:uid="{00000000-0005-0000-0000-0000B6070000}"/>
    <cellStyle name="Style 2 2" xfId="1865" xr:uid="{00000000-0005-0000-0000-0000B7070000}"/>
    <cellStyle name="Style 21" xfId="1338" xr:uid="{00000000-0005-0000-0000-0000B8070000}"/>
    <cellStyle name="Style 21 2" xfId="2027" xr:uid="{00000000-0005-0000-0000-0000B9070000}"/>
    <cellStyle name="Style 22" xfId="1339" xr:uid="{00000000-0005-0000-0000-0000BA070000}"/>
    <cellStyle name="Style 22 2" xfId="2028" xr:uid="{00000000-0005-0000-0000-0000BB070000}"/>
    <cellStyle name="Style 23" xfId="1340" xr:uid="{00000000-0005-0000-0000-0000BC070000}"/>
    <cellStyle name="Style 23 2" xfId="2029" xr:uid="{00000000-0005-0000-0000-0000BD070000}"/>
    <cellStyle name="Style 24" xfId="1341" xr:uid="{00000000-0005-0000-0000-0000BE070000}"/>
    <cellStyle name="Style 24 2" xfId="2030" xr:uid="{00000000-0005-0000-0000-0000BF070000}"/>
    <cellStyle name="Style 25" xfId="1342" xr:uid="{00000000-0005-0000-0000-0000C0070000}"/>
    <cellStyle name="Style 25 2" xfId="2031" xr:uid="{00000000-0005-0000-0000-0000C1070000}"/>
    <cellStyle name="Style 26" xfId="1343" xr:uid="{00000000-0005-0000-0000-0000C2070000}"/>
    <cellStyle name="Style 26 2" xfId="2032" xr:uid="{00000000-0005-0000-0000-0000C3070000}"/>
    <cellStyle name="Style 27" xfId="1344" xr:uid="{00000000-0005-0000-0000-0000C4070000}"/>
    <cellStyle name="Style 27 2" xfId="2033" xr:uid="{00000000-0005-0000-0000-0000C5070000}"/>
    <cellStyle name="Style 28" xfId="1345" xr:uid="{00000000-0005-0000-0000-0000C6070000}"/>
    <cellStyle name="Style 28 2" xfId="2034" xr:uid="{00000000-0005-0000-0000-0000C7070000}"/>
    <cellStyle name="Style 29" xfId="1346" xr:uid="{00000000-0005-0000-0000-0000C8070000}"/>
    <cellStyle name="Style 29 2" xfId="2035" xr:uid="{00000000-0005-0000-0000-0000C9070000}"/>
    <cellStyle name="Style 3" xfId="812" xr:uid="{00000000-0005-0000-0000-0000CA070000}"/>
    <cellStyle name="Style 3 2" xfId="1866" xr:uid="{00000000-0005-0000-0000-0000CB070000}"/>
    <cellStyle name="Style 30" xfId="1347" xr:uid="{00000000-0005-0000-0000-0000CC070000}"/>
    <cellStyle name="Style 30 2" xfId="2036" xr:uid="{00000000-0005-0000-0000-0000CD070000}"/>
    <cellStyle name="Style 31" xfId="1348" xr:uid="{00000000-0005-0000-0000-0000CE070000}"/>
    <cellStyle name="Style 31 2" xfId="2037" xr:uid="{00000000-0005-0000-0000-0000CF070000}"/>
    <cellStyle name="Style 32" xfId="1349" xr:uid="{00000000-0005-0000-0000-0000D0070000}"/>
    <cellStyle name="Style 32 2" xfId="2038" xr:uid="{00000000-0005-0000-0000-0000D1070000}"/>
    <cellStyle name="Style 33" xfId="1350" xr:uid="{00000000-0005-0000-0000-0000D2070000}"/>
    <cellStyle name="Style 33 2" xfId="2039" xr:uid="{00000000-0005-0000-0000-0000D3070000}"/>
    <cellStyle name="Style 34" xfId="1351" xr:uid="{00000000-0005-0000-0000-0000D4070000}"/>
    <cellStyle name="Style 34 2" xfId="2040" xr:uid="{00000000-0005-0000-0000-0000D5070000}"/>
    <cellStyle name="Style 35" xfId="1352" xr:uid="{00000000-0005-0000-0000-0000D6070000}"/>
    <cellStyle name="Style 35 2" xfId="2041" xr:uid="{00000000-0005-0000-0000-0000D7070000}"/>
    <cellStyle name="Style 36" xfId="1353" xr:uid="{00000000-0005-0000-0000-0000D8070000}"/>
    <cellStyle name="Style 36 2" xfId="2042" xr:uid="{00000000-0005-0000-0000-0000D9070000}"/>
    <cellStyle name="Style 37" xfId="1354" xr:uid="{00000000-0005-0000-0000-0000DA070000}"/>
    <cellStyle name="Style 37 2" xfId="2043" xr:uid="{00000000-0005-0000-0000-0000DB070000}"/>
    <cellStyle name="Style 38" xfId="1355" xr:uid="{00000000-0005-0000-0000-0000DC070000}"/>
    <cellStyle name="Style 38 2" xfId="2044" xr:uid="{00000000-0005-0000-0000-0000DD070000}"/>
    <cellStyle name="Style 39" xfId="1356" xr:uid="{00000000-0005-0000-0000-0000DE070000}"/>
    <cellStyle name="Style 39 2" xfId="2045" xr:uid="{00000000-0005-0000-0000-0000DF070000}"/>
    <cellStyle name="Style 4" xfId="813" xr:uid="{00000000-0005-0000-0000-0000E0070000}"/>
    <cellStyle name="Style 4 2" xfId="1867" xr:uid="{00000000-0005-0000-0000-0000E1070000}"/>
    <cellStyle name="Style 40" xfId="1357" xr:uid="{00000000-0005-0000-0000-0000E2070000}"/>
    <cellStyle name="Style 40 2" xfId="2046" xr:uid="{00000000-0005-0000-0000-0000E3070000}"/>
    <cellStyle name="Style 41" xfId="1358" xr:uid="{00000000-0005-0000-0000-0000E4070000}"/>
    <cellStyle name="Style 41 2" xfId="2047" xr:uid="{00000000-0005-0000-0000-0000E5070000}"/>
    <cellStyle name="Style 42" xfId="1359" xr:uid="{00000000-0005-0000-0000-0000E6070000}"/>
    <cellStyle name="Style 42 2" xfId="2048" xr:uid="{00000000-0005-0000-0000-0000E7070000}"/>
    <cellStyle name="Style 43" xfId="1360" xr:uid="{00000000-0005-0000-0000-0000E8070000}"/>
    <cellStyle name="Style 43 2" xfId="2049" xr:uid="{00000000-0005-0000-0000-0000E9070000}"/>
    <cellStyle name="Style 44" xfId="1361" xr:uid="{00000000-0005-0000-0000-0000EA070000}"/>
    <cellStyle name="Style 44 2" xfId="2050" xr:uid="{00000000-0005-0000-0000-0000EB070000}"/>
    <cellStyle name="Style 45" xfId="1362" xr:uid="{00000000-0005-0000-0000-0000EC070000}"/>
    <cellStyle name="Style 45 2" xfId="2051" xr:uid="{00000000-0005-0000-0000-0000ED070000}"/>
    <cellStyle name="Style 46" xfId="1363" xr:uid="{00000000-0005-0000-0000-0000EE070000}"/>
    <cellStyle name="Style 46 2" xfId="2052" xr:uid="{00000000-0005-0000-0000-0000EF070000}"/>
    <cellStyle name="Style 47" xfId="1364" xr:uid="{00000000-0005-0000-0000-0000F0070000}"/>
    <cellStyle name="Style 47 2" xfId="2053" xr:uid="{00000000-0005-0000-0000-0000F1070000}"/>
    <cellStyle name="Style 5" xfId="814" xr:uid="{00000000-0005-0000-0000-0000F2070000}"/>
    <cellStyle name="Style 5 2" xfId="1868" xr:uid="{00000000-0005-0000-0000-0000F3070000}"/>
    <cellStyle name="Style 6" xfId="815" xr:uid="{00000000-0005-0000-0000-0000F4070000}"/>
    <cellStyle name="Style 6 2" xfId="1869" xr:uid="{00000000-0005-0000-0000-0000F5070000}"/>
    <cellStyle name="Style 7" xfId="816" xr:uid="{00000000-0005-0000-0000-0000F6070000}"/>
    <cellStyle name="Style 7 2" xfId="1870" xr:uid="{00000000-0005-0000-0000-0000F7070000}"/>
    <cellStyle name="Style 70" xfId="1365" xr:uid="{00000000-0005-0000-0000-0000F8070000}"/>
    <cellStyle name="Style 70 2" xfId="2054" xr:uid="{00000000-0005-0000-0000-0000F9070000}"/>
    <cellStyle name="Style 71" xfId="1366" xr:uid="{00000000-0005-0000-0000-0000FA070000}"/>
    <cellStyle name="Style 71 2" xfId="2055" xr:uid="{00000000-0005-0000-0000-0000FB070000}"/>
    <cellStyle name="Style 79" xfId="1367" xr:uid="{00000000-0005-0000-0000-0000FC070000}"/>
    <cellStyle name="Style 79 2" xfId="2056" xr:uid="{00000000-0005-0000-0000-0000FD070000}"/>
    <cellStyle name="Style 8" xfId="817" xr:uid="{00000000-0005-0000-0000-0000FE070000}"/>
    <cellStyle name="Style 8 2" xfId="1871" xr:uid="{00000000-0005-0000-0000-0000FF070000}"/>
    <cellStyle name="Style 80" xfId="1368" xr:uid="{00000000-0005-0000-0000-000000080000}"/>
    <cellStyle name="Style 80 2" xfId="2057" xr:uid="{00000000-0005-0000-0000-000001080000}"/>
    <cellStyle name="Style 85" xfId="1369" xr:uid="{00000000-0005-0000-0000-000002080000}"/>
    <cellStyle name="Style 85 2" xfId="2058" xr:uid="{00000000-0005-0000-0000-000003080000}"/>
    <cellStyle name="Style 86" xfId="1370" xr:uid="{00000000-0005-0000-0000-000004080000}"/>
    <cellStyle name="Style 86 2" xfId="2059" xr:uid="{00000000-0005-0000-0000-000005080000}"/>
    <cellStyle name="Style 9" xfId="818" xr:uid="{00000000-0005-0000-0000-000006080000}"/>
    <cellStyle name="Style 9 2" xfId="1872" xr:uid="{00000000-0005-0000-0000-000007080000}"/>
    <cellStyle name="Style 91" xfId="1371" xr:uid="{00000000-0005-0000-0000-000008080000}"/>
    <cellStyle name="Style 91 2" xfId="2060" xr:uid="{00000000-0005-0000-0000-000009080000}"/>
    <cellStyle name="Style 92" xfId="1372" xr:uid="{00000000-0005-0000-0000-00000A080000}"/>
    <cellStyle name="Style 92 2" xfId="2061" xr:uid="{00000000-0005-0000-0000-00000B080000}"/>
    <cellStyle name="Table Col Head" xfId="1373" xr:uid="{00000000-0005-0000-0000-00000C080000}"/>
    <cellStyle name="Table Head" xfId="1374" xr:uid="{00000000-0005-0000-0000-00000D080000}"/>
    <cellStyle name="Table Head 2" xfId="2062" xr:uid="{00000000-0005-0000-0000-00000E080000}"/>
    <cellStyle name="Table Head Aligned" xfId="1375" xr:uid="{00000000-0005-0000-0000-00000F080000}"/>
    <cellStyle name="Table Head Aligned 2" xfId="2063" xr:uid="{00000000-0005-0000-0000-000010080000}"/>
    <cellStyle name="Table Head Aligned 3" xfId="2104" xr:uid="{00000000-0005-0000-0000-000011080000}"/>
    <cellStyle name="Table Head Aligned 4" xfId="2108" xr:uid="{00000000-0005-0000-0000-000012080000}"/>
    <cellStyle name="Table Head Blue" xfId="1376" xr:uid="{00000000-0005-0000-0000-000013080000}"/>
    <cellStyle name="Table Head Blue 2" xfId="2064" xr:uid="{00000000-0005-0000-0000-000014080000}"/>
    <cellStyle name="Table Head Green" xfId="1377" xr:uid="{00000000-0005-0000-0000-000015080000}"/>
    <cellStyle name="Table Head Green 2" xfId="2065" xr:uid="{00000000-0005-0000-0000-000016080000}"/>
    <cellStyle name="Table Head Green 3" xfId="2105" xr:uid="{00000000-0005-0000-0000-000017080000}"/>
    <cellStyle name="Table Head Green 4" xfId="2109" xr:uid="{00000000-0005-0000-0000-000018080000}"/>
    <cellStyle name="Table Sub Head" xfId="1378" xr:uid="{00000000-0005-0000-0000-000019080000}"/>
    <cellStyle name="Table Title" xfId="1379" xr:uid="{00000000-0005-0000-0000-00001A080000}"/>
    <cellStyle name="Table Units" xfId="1380" xr:uid="{00000000-0005-0000-0000-00001B080000}"/>
    <cellStyle name="TableBody" xfId="1381" xr:uid="{00000000-0005-0000-0000-00001C080000}"/>
    <cellStyle name="TableBody 2" xfId="2068" xr:uid="{00000000-0005-0000-0000-00001D080000}"/>
    <cellStyle name="TableBodyR" xfId="1382" xr:uid="{00000000-0005-0000-0000-00001E080000}"/>
    <cellStyle name="TableBodyR 2" xfId="2069" xr:uid="{00000000-0005-0000-0000-00001F080000}"/>
    <cellStyle name="TableColHeads" xfId="1383" xr:uid="{00000000-0005-0000-0000-000020080000}"/>
    <cellStyle name="TableColHeads 2" xfId="2070" xr:uid="{00000000-0005-0000-0000-000021080000}"/>
    <cellStyle name="TableHead" xfId="1384" xr:uid="{00000000-0005-0000-0000-000022080000}"/>
    <cellStyle name="TableHead 2" xfId="2071" xr:uid="{00000000-0005-0000-0000-000023080000}"/>
    <cellStyle name="Times 10" xfId="1385" xr:uid="{00000000-0005-0000-0000-000024080000}"/>
    <cellStyle name="Times 12" xfId="1386" xr:uid="{00000000-0005-0000-0000-000025080000}"/>
    <cellStyle name="Title - PROJECT" xfId="1388" xr:uid="{00000000-0005-0000-0000-000026080000}"/>
    <cellStyle name="Title - PROJECT 2" xfId="2075" xr:uid="{00000000-0005-0000-0000-000027080000}"/>
    <cellStyle name="Title - Underline" xfId="1389" xr:uid="{00000000-0005-0000-0000-000028080000}"/>
    <cellStyle name="Title - Underline 2" xfId="2076" xr:uid="{00000000-0005-0000-0000-000029080000}"/>
    <cellStyle name="Title 2" xfId="1387" xr:uid="{00000000-0005-0000-0000-00002A080000}"/>
    <cellStyle name="Title 3" xfId="2074" xr:uid="{00000000-0005-0000-0000-00002B080000}"/>
    <cellStyle name="Title 4" xfId="2106" xr:uid="{00000000-0005-0000-0000-00002C080000}"/>
    <cellStyle name="Title 5" xfId="2110" xr:uid="{00000000-0005-0000-0000-00002D080000}"/>
    <cellStyle name="title1" xfId="1390" xr:uid="{00000000-0005-0000-0000-00002E080000}"/>
    <cellStyle name="title1 2" xfId="2077" xr:uid="{00000000-0005-0000-0000-00002F080000}"/>
    <cellStyle name="Title10" xfId="1391" xr:uid="{00000000-0005-0000-0000-000030080000}"/>
    <cellStyle name="Title10 2" xfId="2078" xr:uid="{00000000-0005-0000-0000-000031080000}"/>
    <cellStyle name="Title2" xfId="1392" xr:uid="{00000000-0005-0000-0000-000032080000}"/>
    <cellStyle name="Title2 2" xfId="2079" xr:uid="{00000000-0005-0000-0000-000033080000}"/>
    <cellStyle name="Title8" xfId="1393" xr:uid="{00000000-0005-0000-0000-000034080000}"/>
    <cellStyle name="Title8 2" xfId="2080" xr:uid="{00000000-0005-0000-0000-000035080000}"/>
    <cellStyle name="Title8Left" xfId="1394" xr:uid="{00000000-0005-0000-0000-000036080000}"/>
    <cellStyle name="Title8Left 2" xfId="2081" xr:uid="{00000000-0005-0000-0000-000037080000}"/>
    <cellStyle name="Titles - Col. Headings" xfId="1395" xr:uid="{00000000-0005-0000-0000-000038080000}"/>
    <cellStyle name="Titles - Col. Headings 2" xfId="2082" xr:uid="{00000000-0005-0000-0000-000039080000}"/>
    <cellStyle name="Titles - Other" xfId="1396" xr:uid="{00000000-0005-0000-0000-00003A080000}"/>
    <cellStyle name="Titles - Other 2" xfId="2083" xr:uid="{00000000-0005-0000-0000-00003B080000}"/>
    <cellStyle name="Total 2" xfId="1397" xr:uid="{00000000-0005-0000-0000-00003C080000}"/>
    <cellStyle name="ubordinated Debt" xfId="1398" xr:uid="{00000000-0005-0000-0000-00003D080000}"/>
    <cellStyle name="ubordinated Debt 2" xfId="2084" xr:uid="{00000000-0005-0000-0000-00003E080000}"/>
    <cellStyle name="Warning Text 2" xfId="1399" xr:uid="{00000000-0005-0000-0000-00003F080000}"/>
    <cellStyle name="X" xfId="1400" xr:uid="{00000000-0005-0000-0000-000040080000}"/>
    <cellStyle name="X - None" xfId="1401" xr:uid="{00000000-0005-0000-0000-000041080000}"/>
    <cellStyle name="Year" xfId="1402" xr:uid="{00000000-0005-0000-0000-000042080000}"/>
    <cellStyle name="Yen" xfId="1403" xr:uid="{00000000-0005-0000-0000-000043080000}"/>
    <cellStyle name="Yen 2" xfId="2086" xr:uid="{00000000-0005-0000-0000-000044080000}"/>
  </cellStyles>
  <dxfs count="1">
    <dxf>
      <font>
        <b/>
        <i/>
        <color theme="5" tint="0.5999633777886288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80"/>
  <sheetViews>
    <sheetView showGridLines="0" tabSelected="1" zoomScale="115" zoomScaleNormal="115" workbookViewId="0">
      <selection activeCell="B1" sqref="B1"/>
    </sheetView>
  </sheetViews>
  <sheetFormatPr baseColWidth="10" defaultColWidth="9.1640625" defaultRowHeight="11"/>
  <cols>
    <col min="1" max="1" width="2.6640625" style="3" customWidth="1"/>
    <col min="2" max="16384" width="9.1640625" style="3"/>
  </cols>
  <sheetData>
    <row r="1" spans="1:18" s="1" customFormat="1" ht="19">
      <c r="B1" s="2" t="s">
        <v>292</v>
      </c>
    </row>
    <row r="2" spans="1:18" s="1" customFormat="1" ht="19">
      <c r="B2" s="2" t="s">
        <v>174</v>
      </c>
      <c r="L2" s="38"/>
    </row>
    <row r="4" spans="1:18">
      <c r="A4" s="3" t="s">
        <v>0</v>
      </c>
      <c r="B4" s="4" t="s">
        <v>128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ht="12" thickBot="1">
      <c r="B5" s="9" t="s">
        <v>99</v>
      </c>
      <c r="C5" s="8"/>
      <c r="D5" s="8"/>
      <c r="E5" s="9" t="s">
        <v>48</v>
      </c>
      <c r="F5" s="9"/>
      <c r="G5" s="9"/>
      <c r="H5" s="10" t="s">
        <v>130</v>
      </c>
      <c r="I5" s="10" t="s">
        <v>131</v>
      </c>
      <c r="K5" s="9" t="s">
        <v>100</v>
      </c>
      <c r="L5" s="8"/>
      <c r="M5" s="8"/>
      <c r="N5" s="9" t="s">
        <v>48</v>
      </c>
      <c r="O5" s="9"/>
      <c r="P5" s="9"/>
      <c r="Q5" s="9"/>
      <c r="R5" s="9"/>
    </row>
    <row r="6" spans="1:18">
      <c r="B6" s="3" t="s">
        <v>96</v>
      </c>
      <c r="E6" s="3" t="str">
        <f t="shared" ref="E6:E12" si="0">Currency&amp;"mm"</f>
        <v>CADmm</v>
      </c>
      <c r="H6" s="186">
        <f>'Financing Assumptions'!H6</f>
        <v>100</v>
      </c>
      <c r="I6" s="76">
        <f t="shared" ref="I6:I11" si="1">H6/$H$12</f>
        <v>0.14040276217162076</v>
      </c>
      <c r="K6" s="3" t="s">
        <v>97</v>
      </c>
      <c r="N6" s="3" t="str">
        <f>Currency&amp;"mm"</f>
        <v>CADmm</v>
      </c>
      <c r="Q6" s="70">
        <f>'Financing Assumptions'!Q6</f>
        <v>625</v>
      </c>
      <c r="R6" s="76">
        <f>Q6/$Q$12</f>
        <v>0.87751726357262982</v>
      </c>
    </row>
    <row r="7" spans="1:18">
      <c r="B7" s="3" t="s">
        <v>95</v>
      </c>
      <c r="E7" s="3" t="str">
        <f t="shared" si="0"/>
        <v>CADmm</v>
      </c>
      <c r="H7" s="186">
        <f>'Financing Assumptions'!H7</f>
        <v>232.23669999999993</v>
      </c>
      <c r="I7" s="76">
        <f t="shared" si="1"/>
        <v>0.32606674157622029</v>
      </c>
      <c r="K7" s="50" t="s">
        <v>98</v>
      </c>
      <c r="L7" s="50"/>
      <c r="M7" s="50"/>
      <c r="N7" s="50" t="str">
        <f>Currency&amp;"mm"</f>
        <v>CADmm</v>
      </c>
      <c r="O7" s="50"/>
      <c r="P7" s="50"/>
      <c r="Q7" s="70">
        <f>'Financing Assumptions'!Q7</f>
        <v>4.8045399999999994</v>
      </c>
      <c r="R7" s="143">
        <f>Q7/$Q$12</f>
        <v>6.7457068696403872E-3</v>
      </c>
    </row>
    <row r="8" spans="1:18">
      <c r="B8" s="3" t="s">
        <v>182</v>
      </c>
      <c r="E8" s="3" t="str">
        <f t="shared" si="0"/>
        <v>CADmm</v>
      </c>
      <c r="H8" s="186">
        <f>'Financing Assumptions'!H8</f>
        <v>110</v>
      </c>
      <c r="I8" s="76">
        <f t="shared" si="1"/>
        <v>0.15444303838878284</v>
      </c>
      <c r="K8" s="3" t="s">
        <v>201</v>
      </c>
      <c r="N8" s="50" t="str">
        <f>Currency&amp;"mm"</f>
        <v>CADmm</v>
      </c>
      <c r="Q8" s="70">
        <f>'Financing Assumptions'!Q8</f>
        <v>82.432159999999968</v>
      </c>
      <c r="R8" s="143">
        <f>Q8/$Q$12</f>
        <v>0.11573702955772987</v>
      </c>
    </row>
    <row r="9" spans="1:18">
      <c r="B9" s="3" t="s">
        <v>183</v>
      </c>
      <c r="E9" s="3" t="str">
        <f t="shared" si="0"/>
        <v>CADmm</v>
      </c>
      <c r="H9" s="186">
        <f>'Financing Assumptions'!H9</f>
        <v>100</v>
      </c>
      <c r="I9" s="76">
        <f t="shared" si="1"/>
        <v>0.14040276217162076</v>
      </c>
    </row>
    <row r="10" spans="1:18">
      <c r="B10" s="3" t="s">
        <v>184</v>
      </c>
      <c r="E10" s="3" t="str">
        <f t="shared" si="0"/>
        <v>CADmm</v>
      </c>
      <c r="H10" s="186">
        <f>'Financing Assumptions'!H10</f>
        <v>90</v>
      </c>
      <c r="I10" s="76">
        <f t="shared" si="1"/>
        <v>0.1263624859544587</v>
      </c>
    </row>
    <row r="11" spans="1:18">
      <c r="B11" s="13" t="s">
        <v>185</v>
      </c>
      <c r="C11" s="13"/>
      <c r="D11" s="13"/>
      <c r="E11" s="13" t="str">
        <f t="shared" si="0"/>
        <v>CADmm</v>
      </c>
      <c r="F11" s="13"/>
      <c r="G11" s="13"/>
      <c r="H11" s="187">
        <f>'Financing Assumptions'!H11</f>
        <v>80</v>
      </c>
      <c r="I11" s="77">
        <f t="shared" si="1"/>
        <v>0.11232220973729662</v>
      </c>
      <c r="K11" s="118"/>
      <c r="L11" s="118"/>
      <c r="M11" s="118"/>
      <c r="N11" s="118"/>
      <c r="O11" s="118"/>
      <c r="P11" s="118"/>
      <c r="Q11" s="118"/>
      <c r="R11" s="118"/>
    </row>
    <row r="12" spans="1:18">
      <c r="B12" s="15" t="s">
        <v>20</v>
      </c>
      <c r="C12" s="15"/>
      <c r="D12" s="15"/>
      <c r="E12" s="15" t="str">
        <f t="shared" si="0"/>
        <v>CADmm</v>
      </c>
      <c r="F12" s="15"/>
      <c r="G12" s="15"/>
      <c r="H12" s="58">
        <f>SUM(H6:H11)</f>
        <v>712.23669999999993</v>
      </c>
      <c r="I12" s="108">
        <f>SUM(I6:I11)</f>
        <v>1</v>
      </c>
      <c r="K12" s="15" t="s">
        <v>20</v>
      </c>
      <c r="L12" s="15"/>
      <c r="M12" s="15"/>
      <c r="N12" s="15" t="str">
        <f>Currency&amp;"mm"</f>
        <v>CADmm</v>
      </c>
      <c r="O12" s="15"/>
      <c r="P12" s="15"/>
      <c r="Q12" s="58">
        <f>SUM(Q6:Q11)</f>
        <v>712.23669999999993</v>
      </c>
      <c r="R12" s="108">
        <f>SUM(R6:R11)</f>
        <v>1</v>
      </c>
    </row>
    <row r="14" spans="1:18">
      <c r="A14" s="3" t="s">
        <v>0</v>
      </c>
      <c r="B14" s="4" t="s">
        <v>188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>
      <c r="I15" s="133">
        <v>1</v>
      </c>
      <c r="J15" s="133">
        <f t="shared" ref="J15:R15" si="2">IF(J16="","",I15+1)</f>
        <v>2</v>
      </c>
      <c r="K15" s="133">
        <f t="shared" si="2"/>
        <v>3</v>
      </c>
      <c r="L15" s="133">
        <f t="shared" si="2"/>
        <v>4</v>
      </c>
      <c r="M15" s="133">
        <f t="shared" si="2"/>
        <v>5</v>
      </c>
      <c r="N15" s="133">
        <f t="shared" si="2"/>
        <v>6</v>
      </c>
      <c r="O15" s="133">
        <f t="shared" si="2"/>
        <v>7</v>
      </c>
      <c r="P15" s="133">
        <f t="shared" si="2"/>
        <v>8</v>
      </c>
      <c r="Q15" s="133">
        <f t="shared" si="2"/>
        <v>9</v>
      </c>
      <c r="R15" s="133">
        <f t="shared" si="2"/>
        <v>10</v>
      </c>
    </row>
    <row r="16" spans="1:18" ht="12" thickBot="1">
      <c r="B16" s="9" t="s">
        <v>190</v>
      </c>
      <c r="C16" s="8"/>
      <c r="D16" s="8"/>
      <c r="E16" s="9" t="s">
        <v>48</v>
      </c>
      <c r="F16" s="9" t="s">
        <v>72</v>
      </c>
      <c r="G16" s="8"/>
      <c r="H16" s="8"/>
      <c r="I16" s="9">
        <f>YEAR(Now)</f>
        <v>2016</v>
      </c>
      <c r="J16" s="9">
        <f t="shared" ref="J16:R16" si="3">IFERROR(IF(I16+1&gt;End,"",I16+1),"")</f>
        <v>2017</v>
      </c>
      <c r="K16" s="9">
        <f t="shared" si="3"/>
        <v>2018</v>
      </c>
      <c r="L16" s="9">
        <f t="shared" si="3"/>
        <v>2019</v>
      </c>
      <c r="M16" s="9">
        <f t="shared" si="3"/>
        <v>2020</v>
      </c>
      <c r="N16" s="9">
        <f t="shared" si="3"/>
        <v>2021</v>
      </c>
      <c r="O16" s="9">
        <f t="shared" si="3"/>
        <v>2022</v>
      </c>
      <c r="P16" s="9">
        <f t="shared" si="3"/>
        <v>2023</v>
      </c>
      <c r="Q16" s="9">
        <f t="shared" si="3"/>
        <v>2024</v>
      </c>
      <c r="R16" s="9">
        <f t="shared" si="3"/>
        <v>2025</v>
      </c>
    </row>
    <row r="17" spans="2:18">
      <c r="B17" s="3" t="s">
        <v>97</v>
      </c>
      <c r="E17" s="3" t="str">
        <f>Currency&amp;"mm"</f>
        <v>CADmm</v>
      </c>
      <c r="I17" s="70">
        <f>'Financing Assumptions'!I17</f>
        <v>218.75</v>
      </c>
      <c r="J17" s="70">
        <f>'Financing Assumptions'!J17</f>
        <v>125</v>
      </c>
      <c r="K17" s="70">
        <f>'Financing Assumptions'!K17</f>
        <v>125</v>
      </c>
      <c r="L17" s="70">
        <f>'Financing Assumptions'!L17</f>
        <v>156.25</v>
      </c>
      <c r="M17" s="70">
        <f>'Financing Assumptions'!M17</f>
        <v>0</v>
      </c>
      <c r="N17" s="70">
        <f>'Financing Assumptions'!N17</f>
        <v>0</v>
      </c>
      <c r="O17" s="70">
        <f>'Financing Assumptions'!O17</f>
        <v>0</v>
      </c>
      <c r="P17" s="70">
        <f>'Financing Assumptions'!P17</f>
        <v>0</v>
      </c>
      <c r="Q17" s="70">
        <f>'Financing Assumptions'!Q17</f>
        <v>0</v>
      </c>
      <c r="R17" s="70">
        <f>'Financing Assumptions'!R17</f>
        <v>0</v>
      </c>
    </row>
    <row r="18" spans="2:18">
      <c r="B18" s="83" t="s">
        <v>191</v>
      </c>
      <c r="E18" s="3" t="str">
        <f>Currency&amp;"mm"</f>
        <v>CADmm</v>
      </c>
      <c r="I18" s="90">
        <f>'Financing Assumptions'!I18</f>
        <v>0.35</v>
      </c>
      <c r="J18" s="90">
        <f>'Financing Assumptions'!J18</f>
        <v>0.2</v>
      </c>
      <c r="K18" s="90">
        <f>'Financing Assumptions'!K18</f>
        <v>0.2</v>
      </c>
      <c r="L18" s="90">
        <f>'Financing Assumptions'!L18</f>
        <v>0.25</v>
      </c>
      <c r="M18" s="90">
        <f>'Financing Assumptions'!M18</f>
        <v>0</v>
      </c>
      <c r="N18" s="90">
        <f>'Financing Assumptions'!N18</f>
        <v>0</v>
      </c>
      <c r="O18" s="90">
        <f>'Financing Assumptions'!O18</f>
        <v>0</v>
      </c>
      <c r="P18" s="90">
        <f>'Financing Assumptions'!P18</f>
        <v>0</v>
      </c>
      <c r="Q18" s="90">
        <f>'Financing Assumptions'!Q18</f>
        <v>0</v>
      </c>
      <c r="R18" s="90">
        <f>'Financing Assumptions'!R18</f>
        <v>0</v>
      </c>
    </row>
    <row r="19" spans="2:18">
      <c r="B19" s="100" t="str">
        <f>Model!B45</f>
        <v xml:space="preserve">Concessionaire Costs </v>
      </c>
      <c r="C19" s="100"/>
      <c r="D19" s="100"/>
      <c r="E19" s="3" t="str">
        <f>Currency&amp;"mm"</f>
        <v>CADmm</v>
      </c>
      <c r="F19" s="100"/>
      <c r="G19" s="100"/>
      <c r="H19" s="100"/>
      <c r="I19" s="70">
        <f>'Financing Assumptions'!I19</f>
        <v>20</v>
      </c>
      <c r="J19" s="70">
        <f>'Financing Assumptions'!J19</f>
        <v>20.399999999999999</v>
      </c>
      <c r="K19" s="70">
        <f>'Financing Assumptions'!K19</f>
        <v>20.808</v>
      </c>
      <c r="L19" s="70">
        <f>'Financing Assumptions'!L19</f>
        <v>21.224159999999998</v>
      </c>
      <c r="M19" s="70">
        <f>'Financing Assumptions'!M19</f>
        <v>0</v>
      </c>
      <c r="N19" s="70">
        <f>'Financing Assumptions'!N19</f>
        <v>0</v>
      </c>
      <c r="O19" s="70">
        <f>'Financing Assumptions'!O19</f>
        <v>0</v>
      </c>
      <c r="P19" s="70">
        <f>'Financing Assumptions'!P19</f>
        <v>0</v>
      </c>
      <c r="Q19" s="70">
        <f>'Financing Assumptions'!Q19</f>
        <v>0</v>
      </c>
      <c r="R19" s="70">
        <f>'Financing Assumptions'!R19</f>
        <v>0</v>
      </c>
    </row>
    <row r="20" spans="2:18">
      <c r="B20" s="118" t="s">
        <v>189</v>
      </c>
      <c r="C20" s="118"/>
      <c r="D20" s="118"/>
      <c r="E20" s="118" t="str">
        <f>Currency&amp;"mm"</f>
        <v>CADmm</v>
      </c>
      <c r="F20" s="118"/>
      <c r="G20" s="118"/>
      <c r="H20" s="118"/>
      <c r="I20" s="122">
        <f>'Financing Assumptions'!I20</f>
        <v>4.8045399999999994</v>
      </c>
      <c r="J20" s="144"/>
      <c r="K20" s="144"/>
      <c r="L20" s="144"/>
      <c r="M20" s="144"/>
      <c r="N20" s="144"/>
      <c r="O20" s="144"/>
      <c r="P20" s="144"/>
      <c r="Q20" s="144"/>
      <c r="R20" s="144"/>
    </row>
    <row r="21" spans="2:18">
      <c r="B21" s="145" t="s">
        <v>20</v>
      </c>
      <c r="C21" s="145"/>
      <c r="D21" s="145"/>
      <c r="E21" s="145"/>
      <c r="F21" s="145"/>
      <c r="G21" s="145"/>
      <c r="H21" s="145"/>
      <c r="I21" s="146">
        <f>I17+I20+I19</f>
        <v>243.55454</v>
      </c>
      <c r="J21" s="146">
        <f t="shared" ref="J21:R21" si="4">J17+J20+J19</f>
        <v>145.4</v>
      </c>
      <c r="K21" s="146">
        <f t="shared" si="4"/>
        <v>145.80799999999999</v>
      </c>
      <c r="L21" s="146">
        <f t="shared" si="4"/>
        <v>177.47415999999998</v>
      </c>
      <c r="M21" s="146">
        <f t="shared" si="4"/>
        <v>0</v>
      </c>
      <c r="N21" s="146">
        <f t="shared" si="4"/>
        <v>0</v>
      </c>
      <c r="O21" s="146">
        <f t="shared" si="4"/>
        <v>0</v>
      </c>
      <c r="P21" s="146">
        <f t="shared" si="4"/>
        <v>0</v>
      </c>
      <c r="Q21" s="146">
        <f t="shared" si="4"/>
        <v>0</v>
      </c>
      <c r="R21" s="146">
        <f t="shared" si="4"/>
        <v>0</v>
      </c>
    </row>
    <row r="23" spans="2:18" ht="12" thickBot="1">
      <c r="B23" s="9" t="s">
        <v>192</v>
      </c>
      <c r="C23" s="8"/>
      <c r="D23" s="8"/>
      <c r="E23" s="9" t="s">
        <v>48</v>
      </c>
      <c r="F23" s="9" t="s">
        <v>72</v>
      </c>
      <c r="G23" s="8"/>
      <c r="H23" s="8"/>
      <c r="I23" s="9">
        <f>YEAR(Now)</f>
        <v>2016</v>
      </c>
      <c r="J23" s="9">
        <f t="shared" ref="J23:R23" si="5">IFERROR(IF(I23+1&gt;End,"",I23+1),"")</f>
        <v>2017</v>
      </c>
      <c r="K23" s="9">
        <f t="shared" si="5"/>
        <v>2018</v>
      </c>
      <c r="L23" s="9">
        <f t="shared" si="5"/>
        <v>2019</v>
      </c>
      <c r="M23" s="9">
        <f t="shared" si="5"/>
        <v>2020</v>
      </c>
      <c r="N23" s="9">
        <f t="shared" si="5"/>
        <v>2021</v>
      </c>
      <c r="O23" s="9">
        <f t="shared" si="5"/>
        <v>2022</v>
      </c>
      <c r="P23" s="9">
        <f t="shared" si="5"/>
        <v>2023</v>
      </c>
      <c r="Q23" s="9">
        <f t="shared" si="5"/>
        <v>2024</v>
      </c>
      <c r="R23" s="9">
        <f t="shared" si="5"/>
        <v>2025</v>
      </c>
    </row>
    <row r="24" spans="2:18">
      <c r="B24" s="3" t="str">
        <f t="shared" ref="B24:B29" si="6">B6</f>
        <v>Construction Subsidy</v>
      </c>
      <c r="I24" s="188">
        <f>'Financing Assumptions'!I24</f>
        <v>34.195730155438497</v>
      </c>
      <c r="J24" s="188">
        <f>'Financing Assumptions'!J24</f>
        <v>20.414561619753659</v>
      </c>
      <c r="K24" s="188">
        <f>'Financing Assumptions'!K24</f>
        <v>20.471845946719679</v>
      </c>
      <c r="L24" s="188">
        <f>'Financing Assumptions'!L24</f>
        <v>24.917862278088169</v>
      </c>
      <c r="M24" s="188">
        <f>'Financing Assumptions'!M24</f>
        <v>0</v>
      </c>
      <c r="N24" s="188">
        <f>'Financing Assumptions'!N24</f>
        <v>0</v>
      </c>
      <c r="O24" s="188">
        <f>'Financing Assumptions'!O24</f>
        <v>0</v>
      </c>
      <c r="P24" s="188">
        <f>'Financing Assumptions'!P24</f>
        <v>0</v>
      </c>
      <c r="Q24" s="188">
        <f>'Financing Assumptions'!Q24</f>
        <v>0</v>
      </c>
      <c r="R24" s="188">
        <f>'Financing Assumptions'!R24</f>
        <v>0</v>
      </c>
    </row>
    <row r="25" spans="2:18">
      <c r="B25" s="3" t="str">
        <f t="shared" si="6"/>
        <v>Equity</v>
      </c>
      <c r="I25" s="109">
        <f>'Financing Assumptions'!I25</f>
        <v>79.415035253895212</v>
      </c>
      <c r="J25" s="109">
        <f>'Financing Assumptions'!J25</f>
        <v>47.41010422518243</v>
      </c>
      <c r="K25" s="109">
        <f>'Financing Assumptions'!K25</f>
        <v>47.543139455745525</v>
      </c>
      <c r="L25" s="109">
        <f>'Financing Assumptions'!L25</f>
        <v>57.868421065176769</v>
      </c>
      <c r="M25" s="109">
        <f>'Financing Assumptions'!M25</f>
        <v>0</v>
      </c>
      <c r="N25" s="109">
        <f>'Financing Assumptions'!N25</f>
        <v>0</v>
      </c>
      <c r="O25" s="109">
        <f>'Financing Assumptions'!O25</f>
        <v>0</v>
      </c>
      <c r="P25" s="109">
        <f>'Financing Assumptions'!P25</f>
        <v>0</v>
      </c>
      <c r="Q25" s="109">
        <f>'Financing Assumptions'!Q25</f>
        <v>0</v>
      </c>
      <c r="R25" s="109">
        <f>'Financing Assumptions'!R25</f>
        <v>0</v>
      </c>
    </row>
    <row r="26" spans="2:18">
      <c r="B26" s="3" t="str">
        <f t="shared" si="6"/>
        <v>Debt Tranche 1</v>
      </c>
      <c r="I26" s="109">
        <f>'Financing Assumptions'!I26</f>
        <v>37.615303170982344</v>
      </c>
      <c r="J26" s="109">
        <f>'Financing Assumptions'!J26</f>
        <v>22.456017781729027</v>
      </c>
      <c r="K26" s="109">
        <f>'Financing Assumptions'!K26</f>
        <v>22.519030541391647</v>
      </c>
      <c r="L26" s="109">
        <f>'Financing Assumptions'!L26</f>
        <v>27.409648505896985</v>
      </c>
      <c r="M26" s="109">
        <f>'Financing Assumptions'!M26</f>
        <v>0</v>
      </c>
      <c r="N26" s="109">
        <f>'Financing Assumptions'!N26</f>
        <v>0</v>
      </c>
      <c r="O26" s="109">
        <f>'Financing Assumptions'!O26</f>
        <v>0</v>
      </c>
      <c r="P26" s="109">
        <f>'Financing Assumptions'!P26</f>
        <v>0</v>
      </c>
      <c r="Q26" s="109">
        <f>'Financing Assumptions'!Q26</f>
        <v>0</v>
      </c>
      <c r="R26" s="109">
        <f>'Financing Assumptions'!R26</f>
        <v>0</v>
      </c>
    </row>
    <row r="27" spans="2:18">
      <c r="B27" s="3" t="str">
        <f t="shared" si="6"/>
        <v>Debt Tranche 2</v>
      </c>
      <c r="I27" s="109">
        <f>'Financing Assumptions'!I27</f>
        <v>34.195730155438497</v>
      </c>
      <c r="J27" s="109">
        <f>'Financing Assumptions'!J27</f>
        <v>20.414561619753659</v>
      </c>
      <c r="K27" s="109">
        <f>'Financing Assumptions'!K27</f>
        <v>20.471845946719679</v>
      </c>
      <c r="L27" s="109">
        <f>'Financing Assumptions'!L27</f>
        <v>24.917862278088169</v>
      </c>
      <c r="M27" s="109">
        <f>'Financing Assumptions'!M27</f>
        <v>0</v>
      </c>
      <c r="N27" s="109">
        <f>'Financing Assumptions'!N27</f>
        <v>0</v>
      </c>
      <c r="O27" s="109">
        <f>'Financing Assumptions'!O27</f>
        <v>0</v>
      </c>
      <c r="P27" s="109">
        <f>'Financing Assumptions'!P27</f>
        <v>0</v>
      </c>
      <c r="Q27" s="109">
        <f>'Financing Assumptions'!Q27</f>
        <v>0</v>
      </c>
      <c r="R27" s="109">
        <f>'Financing Assumptions'!R27</f>
        <v>0</v>
      </c>
    </row>
    <row r="28" spans="2:18">
      <c r="B28" s="3" t="str">
        <f t="shared" si="6"/>
        <v>Debt Tranche 3</v>
      </c>
      <c r="I28" s="109">
        <f>'Financing Assumptions'!I28</f>
        <v>30.77615713989465</v>
      </c>
      <c r="J28" s="109">
        <f>'Financing Assumptions'!J28</f>
        <v>18.373105457778298</v>
      </c>
      <c r="K28" s="109">
        <f>'Financing Assumptions'!K28</f>
        <v>18.424661352047714</v>
      </c>
      <c r="L28" s="109">
        <f>'Financing Assumptions'!L28</f>
        <v>22.426076050279356</v>
      </c>
      <c r="M28" s="109">
        <f>'Financing Assumptions'!M28</f>
        <v>0</v>
      </c>
      <c r="N28" s="109">
        <f>'Financing Assumptions'!N28</f>
        <v>0</v>
      </c>
      <c r="O28" s="109">
        <f>'Financing Assumptions'!O28</f>
        <v>0</v>
      </c>
      <c r="P28" s="109">
        <f>'Financing Assumptions'!P28</f>
        <v>0</v>
      </c>
      <c r="Q28" s="109">
        <f>'Financing Assumptions'!Q28</f>
        <v>0</v>
      </c>
      <c r="R28" s="109">
        <f>'Financing Assumptions'!R28</f>
        <v>0</v>
      </c>
    </row>
    <row r="29" spans="2:18">
      <c r="B29" s="118" t="str">
        <f t="shared" si="6"/>
        <v>Debt Tranche 4</v>
      </c>
      <c r="C29" s="118"/>
      <c r="D29" s="118"/>
      <c r="E29" s="118"/>
      <c r="F29" s="118"/>
      <c r="G29" s="118"/>
      <c r="H29" s="118"/>
      <c r="I29" s="122">
        <f>'Financing Assumptions'!I29</f>
        <v>27.3565841243508</v>
      </c>
      <c r="J29" s="122">
        <f>'Financing Assumptions'!J29</f>
        <v>16.331649295802929</v>
      </c>
      <c r="K29" s="122">
        <f>'Financing Assumptions'!K29</f>
        <v>16.377476757375746</v>
      </c>
      <c r="L29" s="122">
        <f>'Financing Assumptions'!L29</f>
        <v>19.934289822470536</v>
      </c>
      <c r="M29" s="122">
        <f>'Financing Assumptions'!M29</f>
        <v>0</v>
      </c>
      <c r="N29" s="122">
        <f>'Financing Assumptions'!N29</f>
        <v>0</v>
      </c>
      <c r="O29" s="122">
        <f>'Financing Assumptions'!O29</f>
        <v>0</v>
      </c>
      <c r="P29" s="122">
        <f>'Financing Assumptions'!P29</f>
        <v>0</v>
      </c>
      <c r="Q29" s="122">
        <f>'Financing Assumptions'!Q29</f>
        <v>0</v>
      </c>
      <c r="R29" s="122">
        <f>'Financing Assumptions'!R29</f>
        <v>0</v>
      </c>
    </row>
    <row r="30" spans="2:18">
      <c r="B30" s="15" t="s">
        <v>20</v>
      </c>
      <c r="C30" s="15"/>
      <c r="D30" s="15"/>
      <c r="E30" s="15"/>
      <c r="F30" s="15"/>
      <c r="G30" s="15"/>
      <c r="H30" s="15"/>
      <c r="I30" s="58">
        <f>SUM(I24:I29)</f>
        <v>243.55454</v>
      </c>
      <c r="J30" s="58">
        <f t="shared" ref="J30:R30" si="7">SUM(J24:J29)</f>
        <v>145.4</v>
      </c>
      <c r="K30" s="58">
        <f t="shared" si="7"/>
        <v>145.80799999999999</v>
      </c>
      <c r="L30" s="58">
        <f t="shared" si="7"/>
        <v>177.47415999999998</v>
      </c>
      <c r="M30" s="58">
        <f t="shared" si="7"/>
        <v>0</v>
      </c>
      <c r="N30" s="58">
        <f t="shared" si="7"/>
        <v>0</v>
      </c>
      <c r="O30" s="58">
        <f t="shared" si="7"/>
        <v>0</v>
      </c>
      <c r="P30" s="58">
        <f t="shared" si="7"/>
        <v>0</v>
      </c>
      <c r="Q30" s="58">
        <f t="shared" si="7"/>
        <v>0</v>
      </c>
      <c r="R30" s="58">
        <f t="shared" si="7"/>
        <v>0</v>
      </c>
    </row>
    <row r="33" spans="1:43">
      <c r="A33" s="3" t="s">
        <v>0</v>
      </c>
      <c r="B33" s="4" t="s">
        <v>140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3">
      <c r="I34" s="133">
        <v>1</v>
      </c>
      <c r="J34" s="133">
        <f>IF(J35="","",I34+1)</f>
        <v>2</v>
      </c>
      <c r="K34" s="133">
        <f t="shared" ref="K34:AQ34" si="8">IF(K35="","",J34+1)</f>
        <v>3</v>
      </c>
      <c r="L34" s="133">
        <f t="shared" si="8"/>
        <v>4</v>
      </c>
      <c r="M34" s="133">
        <f t="shared" si="8"/>
        <v>5</v>
      </c>
      <c r="N34" s="133">
        <f t="shared" si="8"/>
        <v>6</v>
      </c>
      <c r="O34" s="133">
        <f t="shared" si="8"/>
        <v>7</v>
      </c>
      <c r="P34" s="133">
        <f t="shared" si="8"/>
        <v>8</v>
      </c>
      <c r="Q34" s="133">
        <f t="shared" si="8"/>
        <v>9</v>
      </c>
      <c r="R34" s="133">
        <f t="shared" si="8"/>
        <v>10</v>
      </c>
      <c r="S34" s="133">
        <f t="shared" si="8"/>
        <v>11</v>
      </c>
      <c r="T34" s="133">
        <f t="shared" si="8"/>
        <v>12</v>
      </c>
      <c r="U34" s="133">
        <f t="shared" si="8"/>
        <v>13</v>
      </c>
      <c r="V34" s="133">
        <f t="shared" si="8"/>
        <v>14</v>
      </c>
      <c r="W34" s="133">
        <f t="shared" si="8"/>
        <v>15</v>
      </c>
      <c r="X34" s="133">
        <f t="shared" si="8"/>
        <v>16</v>
      </c>
      <c r="Y34" s="133">
        <f t="shared" si="8"/>
        <v>17</v>
      </c>
      <c r="Z34" s="133">
        <f t="shared" si="8"/>
        <v>18</v>
      </c>
      <c r="AA34" s="133">
        <f t="shared" si="8"/>
        <v>19</v>
      </c>
      <c r="AB34" s="133">
        <f t="shared" si="8"/>
        <v>20</v>
      </c>
      <c r="AC34" s="133">
        <f t="shared" si="8"/>
        <v>21</v>
      </c>
      <c r="AD34" s="133">
        <f t="shared" si="8"/>
        <v>22</v>
      </c>
      <c r="AE34" s="133">
        <f t="shared" si="8"/>
        <v>23</v>
      </c>
      <c r="AF34" s="133">
        <f t="shared" si="8"/>
        <v>24</v>
      </c>
      <c r="AG34" s="133">
        <f t="shared" si="8"/>
        <v>25</v>
      </c>
      <c r="AH34" s="133">
        <f t="shared" si="8"/>
        <v>26</v>
      </c>
      <c r="AI34" s="133">
        <f t="shared" si="8"/>
        <v>27</v>
      </c>
      <c r="AJ34" s="133">
        <f t="shared" si="8"/>
        <v>28</v>
      </c>
      <c r="AK34" s="133">
        <f t="shared" si="8"/>
        <v>29</v>
      </c>
      <c r="AL34" s="133">
        <f t="shared" si="8"/>
        <v>30</v>
      </c>
      <c r="AM34" s="133">
        <f t="shared" si="8"/>
        <v>31</v>
      </c>
      <c r="AN34" s="133">
        <f t="shared" si="8"/>
        <v>32</v>
      </c>
      <c r="AO34" s="133">
        <f t="shared" si="8"/>
        <v>33</v>
      </c>
      <c r="AP34" s="133">
        <f t="shared" si="8"/>
        <v>34</v>
      </c>
      <c r="AQ34" s="133">
        <f t="shared" si="8"/>
        <v>35</v>
      </c>
    </row>
    <row r="35" spans="1:43" ht="12" thickBot="1">
      <c r="B35" s="9"/>
      <c r="C35" s="8"/>
      <c r="D35" s="8"/>
      <c r="E35" s="9" t="s">
        <v>48</v>
      </c>
      <c r="F35" s="9" t="s">
        <v>72</v>
      </c>
      <c r="G35" s="8"/>
      <c r="H35" s="8"/>
      <c r="I35" s="9">
        <f>YEAR(Now)</f>
        <v>2016</v>
      </c>
      <c r="J35" s="9">
        <f t="shared" ref="J35:AQ35" si="9">IFERROR(IF(I35+1&gt;End,"",I35+1),"")</f>
        <v>2017</v>
      </c>
      <c r="K35" s="9">
        <f t="shared" si="9"/>
        <v>2018</v>
      </c>
      <c r="L35" s="9">
        <f t="shared" si="9"/>
        <v>2019</v>
      </c>
      <c r="M35" s="9">
        <f t="shared" si="9"/>
        <v>2020</v>
      </c>
      <c r="N35" s="9">
        <f t="shared" si="9"/>
        <v>2021</v>
      </c>
      <c r="O35" s="9">
        <f t="shared" si="9"/>
        <v>2022</v>
      </c>
      <c r="P35" s="9">
        <f t="shared" si="9"/>
        <v>2023</v>
      </c>
      <c r="Q35" s="9">
        <f t="shared" si="9"/>
        <v>2024</v>
      </c>
      <c r="R35" s="9">
        <f t="shared" si="9"/>
        <v>2025</v>
      </c>
      <c r="S35" s="9">
        <f t="shared" si="9"/>
        <v>2026</v>
      </c>
      <c r="T35" s="9">
        <f t="shared" si="9"/>
        <v>2027</v>
      </c>
      <c r="U35" s="9">
        <f t="shared" si="9"/>
        <v>2028</v>
      </c>
      <c r="V35" s="9">
        <f t="shared" si="9"/>
        <v>2029</v>
      </c>
      <c r="W35" s="9">
        <f t="shared" si="9"/>
        <v>2030</v>
      </c>
      <c r="X35" s="9">
        <f t="shared" si="9"/>
        <v>2031</v>
      </c>
      <c r="Y35" s="9">
        <f t="shared" si="9"/>
        <v>2032</v>
      </c>
      <c r="Z35" s="9">
        <f t="shared" si="9"/>
        <v>2033</v>
      </c>
      <c r="AA35" s="9">
        <f t="shared" si="9"/>
        <v>2034</v>
      </c>
      <c r="AB35" s="9">
        <f t="shared" si="9"/>
        <v>2035</v>
      </c>
      <c r="AC35" s="9">
        <f t="shared" si="9"/>
        <v>2036</v>
      </c>
      <c r="AD35" s="9">
        <f t="shared" si="9"/>
        <v>2037</v>
      </c>
      <c r="AE35" s="9">
        <f t="shared" si="9"/>
        <v>2038</v>
      </c>
      <c r="AF35" s="9">
        <f t="shared" si="9"/>
        <v>2039</v>
      </c>
      <c r="AG35" s="9">
        <f t="shared" si="9"/>
        <v>2040</v>
      </c>
      <c r="AH35" s="9">
        <f t="shared" si="9"/>
        <v>2041</v>
      </c>
      <c r="AI35" s="9">
        <f t="shared" si="9"/>
        <v>2042</v>
      </c>
      <c r="AJ35" s="9">
        <f t="shared" si="9"/>
        <v>2043</v>
      </c>
      <c r="AK35" s="9">
        <f t="shared" si="9"/>
        <v>2044</v>
      </c>
      <c r="AL35" s="9">
        <f t="shared" si="9"/>
        <v>2045</v>
      </c>
      <c r="AM35" s="9">
        <f t="shared" si="9"/>
        <v>2046</v>
      </c>
      <c r="AN35" s="9">
        <f t="shared" si="9"/>
        <v>2047</v>
      </c>
      <c r="AO35" s="9">
        <f t="shared" si="9"/>
        <v>2048</v>
      </c>
      <c r="AP35" s="9">
        <f t="shared" si="9"/>
        <v>2049</v>
      </c>
      <c r="AQ35" s="9">
        <f t="shared" si="9"/>
        <v>2050</v>
      </c>
    </row>
    <row r="36" spans="1:43">
      <c r="B36" s="3" t="s">
        <v>84</v>
      </c>
      <c r="E36" s="3" t="str">
        <f>Currency&amp;"mm"</f>
        <v>CADmm</v>
      </c>
      <c r="F36" s="3" t="s">
        <v>57</v>
      </c>
      <c r="I36" s="70">
        <f>'Cash Flow Waterfall'!I12</f>
        <v>0</v>
      </c>
      <c r="J36" s="70">
        <f>'Cash Flow Waterfall'!J12</f>
        <v>0</v>
      </c>
      <c r="K36" s="70">
        <f>'Cash Flow Waterfall'!K12</f>
        <v>0</v>
      </c>
      <c r="L36" s="70">
        <f>'Cash Flow Waterfall'!L12</f>
        <v>0</v>
      </c>
      <c r="M36" s="70">
        <f>'Cash Flow Waterfall'!M12</f>
        <v>972.5</v>
      </c>
      <c r="N36" s="70">
        <f>'Cash Flow Waterfall'!N12</f>
        <v>973.7</v>
      </c>
      <c r="O36" s="70">
        <f>'Cash Flow Waterfall'!O12</f>
        <v>974.92399999999998</v>
      </c>
      <c r="P36" s="70">
        <f>'Cash Flow Waterfall'!P12</f>
        <v>976.17248000000018</v>
      </c>
      <c r="Q36" s="70">
        <f>'Cash Flow Waterfall'!Q12</f>
        <v>977.4459296</v>
      </c>
      <c r="R36" s="70">
        <f>'Cash Flow Waterfall'!R12</f>
        <v>978.74484819200029</v>
      </c>
      <c r="S36" s="70">
        <f>'Cash Flow Waterfall'!S12</f>
        <v>980.06974515584</v>
      </c>
      <c r="T36" s="70">
        <f>'Cash Flow Waterfall'!T12</f>
        <v>981.42114005895712</v>
      </c>
      <c r="U36" s="70">
        <f>'Cash Flow Waterfall'!U12</f>
        <v>982.79956286013635</v>
      </c>
      <c r="V36" s="70">
        <f>'Cash Flow Waterfall'!V12</f>
        <v>984.20555411733915</v>
      </c>
      <c r="W36" s="70">
        <f>'Cash Flow Waterfall'!W12</f>
        <v>985.63966519968562</v>
      </c>
      <c r="X36" s="70">
        <f>'Cash Flow Waterfall'!X12</f>
        <v>987.1024585036796</v>
      </c>
      <c r="Y36" s="70">
        <f>'Cash Flow Waterfall'!Y12</f>
        <v>988.59450767375324</v>
      </c>
      <c r="Z36" s="70">
        <f>'Cash Flow Waterfall'!Z12</f>
        <v>990.11639782722818</v>
      </c>
      <c r="AA36" s="70">
        <f>'Cash Flow Waterfall'!AA12</f>
        <v>991.66872578377274</v>
      </c>
      <c r="AB36" s="70">
        <f>'Cash Flow Waterfall'!AB12</f>
        <v>993.25210029944822</v>
      </c>
      <c r="AC36" s="70">
        <f>'Cash Flow Waterfall'!AC12</f>
        <v>994.86714230543726</v>
      </c>
      <c r="AD36" s="70">
        <f>'Cash Flow Waterfall'!AD12</f>
        <v>996.51448515154595</v>
      </c>
      <c r="AE36" s="70">
        <f>'Cash Flow Waterfall'!AE12</f>
        <v>998.19477485457685</v>
      </c>
      <c r="AF36" s="70">
        <f>'Cash Flow Waterfall'!AF12</f>
        <v>999.90867035166843</v>
      </c>
      <c r="AG36" s="70">
        <f>'Cash Flow Waterfall'!AG12</f>
        <v>1001.6568437587017</v>
      </c>
      <c r="AH36" s="70">
        <f>'Cash Flow Waterfall'!AH12</f>
        <v>1003.4399806338757</v>
      </c>
      <c r="AI36" s="70">
        <f>'Cash Flow Waterfall'!AI12</f>
        <v>1005.2587802465532</v>
      </c>
      <c r="AJ36" s="70">
        <f>'Cash Flow Waterfall'!AJ12</f>
        <v>1007.1139558514845</v>
      </c>
      <c r="AK36" s="70">
        <f>'Cash Flow Waterfall'!AK12</f>
        <v>1009.0062349685141</v>
      </c>
      <c r="AL36" s="70">
        <f>'Cash Flow Waterfall'!AL12</f>
        <v>1010.9363596678845</v>
      </c>
      <c r="AM36" s="70">
        <f>'Cash Flow Waterfall'!AM12</f>
        <v>1012.9050868612421</v>
      </c>
      <c r="AN36" s="70">
        <f>'Cash Flow Waterfall'!AN12</f>
        <v>1014.9131885984673</v>
      </c>
      <c r="AO36" s="70">
        <f>'Cash Flow Waterfall'!AO12</f>
        <v>1016.9614523704363</v>
      </c>
      <c r="AP36" s="70">
        <f>'Cash Flow Waterfall'!AP12</f>
        <v>1019.0506814178451</v>
      </c>
      <c r="AQ36" s="70">
        <f>'Cash Flow Waterfall'!AQ12</f>
        <v>1021.181695046202</v>
      </c>
    </row>
    <row r="37" spans="1:43">
      <c r="B37" s="12" t="s">
        <v>80</v>
      </c>
      <c r="E37" s="3" t="s">
        <v>51</v>
      </c>
      <c r="F37" s="3" t="s">
        <v>57</v>
      </c>
      <c r="J37" s="125" t="str">
        <f>IFERROR(J36/I36-1,"n/a")</f>
        <v>n/a</v>
      </c>
      <c r="K37" s="125" t="str">
        <f t="shared" ref="K37:AQ37" si="10">IFERROR(K36/J36-1,"n/a")</f>
        <v>n/a</v>
      </c>
      <c r="L37" s="125" t="str">
        <f t="shared" si="10"/>
        <v>n/a</v>
      </c>
      <c r="M37" s="125" t="str">
        <f t="shared" si="10"/>
        <v>n/a</v>
      </c>
      <c r="N37" s="125">
        <f t="shared" si="10"/>
        <v>1.2339331619537486E-3</v>
      </c>
      <c r="O37" s="125">
        <f t="shared" si="10"/>
        <v>1.2570606963129283E-3</v>
      </c>
      <c r="P37" s="125">
        <f t="shared" si="10"/>
        <v>1.2805921282070809E-3</v>
      </c>
      <c r="Q37" s="125">
        <f t="shared" si="10"/>
        <v>1.3045333955734595E-3</v>
      </c>
      <c r="R37" s="125">
        <f t="shared" si="10"/>
        <v>1.3288904814732216E-3</v>
      </c>
      <c r="S37" s="125">
        <f t="shared" si="10"/>
        <v>1.353669412704539E-3</v>
      </c>
      <c r="T37" s="125">
        <f t="shared" si="10"/>
        <v>1.3788762583444303E-3</v>
      </c>
      <c r="U37" s="125">
        <f t="shared" si="10"/>
        <v>1.4045171281886759E-3</v>
      </c>
      <c r="V37" s="125">
        <f t="shared" si="10"/>
        <v>1.4305981711175697E-3</v>
      </c>
      <c r="W37" s="125">
        <f t="shared" si="10"/>
        <v>1.457125573359086E-3</v>
      </c>
      <c r="X37" s="125">
        <f t="shared" si="10"/>
        <v>1.4841055566667816E-3</v>
      </c>
      <c r="Y37" s="125">
        <f t="shared" si="10"/>
        <v>1.5115443763917824E-3</v>
      </c>
      <c r="Z37" s="125">
        <f t="shared" si="10"/>
        <v>1.5394483194692832E-3</v>
      </c>
      <c r="AA37" s="125">
        <f t="shared" si="10"/>
        <v>1.5678237022951347E-3</v>
      </c>
      <c r="AB37" s="125">
        <f t="shared" si="10"/>
        <v>1.596676868501623E-3</v>
      </c>
      <c r="AC37" s="125">
        <f t="shared" si="10"/>
        <v>1.6260141866319966E-3</v>
      </c>
      <c r="AD37" s="125">
        <f t="shared" si="10"/>
        <v>1.6558420477041924E-3</v>
      </c>
      <c r="AE37" s="125">
        <f t="shared" si="10"/>
        <v>1.6861668626677595E-3</v>
      </c>
      <c r="AF37" s="125">
        <f t="shared" si="10"/>
        <v>1.7169950597479833E-3</v>
      </c>
      <c r="AG37" s="125">
        <f t="shared" si="10"/>
        <v>1.7483330816787657E-3</v>
      </c>
      <c r="AH37" s="125">
        <f t="shared" si="10"/>
        <v>1.7801873828193759E-3</v>
      </c>
      <c r="AI37" s="125">
        <f t="shared" si="10"/>
        <v>1.812564426153962E-3</v>
      </c>
      <c r="AJ37" s="125">
        <f t="shared" si="10"/>
        <v>1.8454706801729337E-3</v>
      </c>
      <c r="AK37" s="125">
        <f t="shared" si="10"/>
        <v>1.8789126156331104E-3</v>
      </c>
      <c r="AL37" s="125">
        <f t="shared" si="10"/>
        <v>1.9128967021999621E-3</v>
      </c>
      <c r="AM37" s="125">
        <f t="shared" si="10"/>
        <v>1.9474294049572904E-3</v>
      </c>
      <c r="AN37" s="125">
        <f t="shared" si="10"/>
        <v>1.9825171808030007E-3</v>
      </c>
      <c r="AO37" s="125">
        <f t="shared" si="10"/>
        <v>2.0181664747085382E-3</v>
      </c>
      <c r="AP37" s="125">
        <f t="shared" si="10"/>
        <v>2.0543837158615297E-3</v>
      </c>
      <c r="AQ37" s="125">
        <f t="shared" si="10"/>
        <v>2.091175313667426E-3</v>
      </c>
    </row>
    <row r="39" spans="1:43">
      <c r="B39" s="3" t="s">
        <v>143</v>
      </c>
      <c r="E39" s="3" t="str">
        <f>Currency&amp;"mm"</f>
        <v>CADmm</v>
      </c>
      <c r="F39" s="3" t="s">
        <v>57</v>
      </c>
      <c r="I39" s="70">
        <f>'Cash Flow Waterfall'!I18</f>
        <v>-20</v>
      </c>
      <c r="J39" s="70">
        <f>'Cash Flow Waterfall'!J18</f>
        <v>-20.399999999999999</v>
      </c>
      <c r="K39" s="70">
        <f>'Cash Flow Waterfall'!K18</f>
        <v>-20.808</v>
      </c>
      <c r="L39" s="70">
        <f>'Cash Flow Waterfall'!L18</f>
        <v>-21.224159999999998</v>
      </c>
      <c r="M39" s="70">
        <f>'Cash Flow Waterfall'!M18</f>
        <v>880.85135679999996</v>
      </c>
      <c r="N39" s="70">
        <f>'Cash Flow Waterfall'!N18</f>
        <v>880.21838393600001</v>
      </c>
      <c r="O39" s="70">
        <f>'Cash Flow Waterfall'!O18</f>
        <v>879.57275161472</v>
      </c>
      <c r="P39" s="70">
        <f>'Cash Flow Waterfall'!P18</f>
        <v>878.91420664701457</v>
      </c>
      <c r="Q39" s="70">
        <f>'Cash Flow Waterfall'!Q18</f>
        <v>878.24249077995466</v>
      </c>
      <c r="R39" s="70">
        <f>'Cash Flow Waterfall'!R18</f>
        <v>877.55734059555402</v>
      </c>
      <c r="S39" s="70">
        <f>'Cash Flow Waterfall'!S18</f>
        <v>876.85848740746485</v>
      </c>
      <c r="T39" s="70">
        <f>'Cash Flow Waterfall'!T18</f>
        <v>876.14565715561446</v>
      </c>
      <c r="U39" s="70">
        <f>'Cash Flow Waterfall'!U18</f>
        <v>875.41857029872688</v>
      </c>
      <c r="V39" s="70">
        <f>'Cash Flow Waterfall'!V18</f>
        <v>874.67694170470145</v>
      </c>
      <c r="W39" s="70">
        <f>'Cash Flow Waterfall'!W18</f>
        <v>873.92048053879512</v>
      </c>
      <c r="X39" s="70">
        <f>'Cash Flow Waterfall'!X18</f>
        <v>873.14889014957134</v>
      </c>
      <c r="Y39" s="70">
        <f>'Cash Flow Waterfall'!Y18</f>
        <v>872.36186795256276</v>
      </c>
      <c r="Z39" s="70">
        <f>'Cash Flow Waterfall'!Z18</f>
        <v>871.55910531161396</v>
      </c>
      <c r="AA39" s="70">
        <f>'Cash Flow Waterfall'!AA18</f>
        <v>870.74028741784628</v>
      </c>
      <c r="AB39" s="70">
        <f>'Cash Flow Waterfall'!AB18</f>
        <v>869.90509316620319</v>
      </c>
      <c r="AC39" s="70">
        <f>'Cash Flow Waterfall'!AC18</f>
        <v>869.05319502952739</v>
      </c>
      <c r="AD39" s="70">
        <f>'Cash Flow Waterfall'!AD18</f>
        <v>868.18425893011784</v>
      </c>
      <c r="AE39" s="70">
        <f>'Cash Flow Waterfall'!AE18</f>
        <v>867.29794410872023</v>
      </c>
      <c r="AF39" s="70">
        <f>'Cash Flow Waterfall'!AF18</f>
        <v>866.39390299089462</v>
      </c>
      <c r="AG39" s="70">
        <f>'Cash Flow Waterfall'!AG18</f>
        <v>865.47178105071248</v>
      </c>
      <c r="AH39" s="70">
        <f>'Cash Flow Waterfall'!AH18</f>
        <v>864.53121667172672</v>
      </c>
      <c r="AI39" s="70">
        <f>'Cash Flow Waterfall'!AI18</f>
        <v>863.5718410051611</v>
      </c>
      <c r="AJ39" s="70">
        <f>'Cash Flow Waterfall'!AJ18</f>
        <v>862.59327782526464</v>
      </c>
      <c r="AK39" s="70">
        <f>'Cash Flow Waterfall'!AK18</f>
        <v>861.59514338176984</v>
      </c>
      <c r="AL39" s="70">
        <f>'Cash Flow Waterfall'!AL18</f>
        <v>860.57704624940538</v>
      </c>
      <c r="AM39" s="70">
        <f>'Cash Flow Waterfall'!AM18</f>
        <v>857.33971577213219</v>
      </c>
      <c r="AN39" s="70">
        <f>'Cash Flow Waterfall'!AN18</f>
        <v>856.2365100875752</v>
      </c>
      <c r="AO39" s="70">
        <f>'Cash Flow Waterfall'!AO18</f>
        <v>855.11124028932625</v>
      </c>
      <c r="AP39" s="70">
        <f>'Cash Flow Waterfall'!AP18</f>
        <v>853.96346509511295</v>
      </c>
      <c r="AQ39" s="70">
        <f>'Cash Flow Waterfall'!AQ18</f>
        <v>852.79273439701512</v>
      </c>
    </row>
    <row r="40" spans="1:43">
      <c r="B40" s="12" t="s">
        <v>278</v>
      </c>
      <c r="E40" s="3" t="s">
        <v>51</v>
      </c>
      <c r="F40" s="3" t="s">
        <v>57</v>
      </c>
      <c r="I40" s="189" t="str">
        <f>IFERROR(I39/I36,"n/a")</f>
        <v>n/a</v>
      </c>
      <c r="J40" s="189" t="str">
        <f t="shared" ref="J40:AQ40" si="11">IFERROR(J39/J36,"n/a")</f>
        <v>n/a</v>
      </c>
      <c r="K40" s="189" t="str">
        <f t="shared" si="11"/>
        <v>n/a</v>
      </c>
      <c r="L40" s="189" t="str">
        <f t="shared" si="11"/>
        <v>n/a</v>
      </c>
      <c r="M40" s="189">
        <f t="shared" si="11"/>
        <v>0.90575974992287911</v>
      </c>
      <c r="N40" s="189">
        <f t="shared" si="11"/>
        <v>0.90399341063571936</v>
      </c>
      <c r="O40" s="189">
        <f t="shared" si="11"/>
        <v>0.90219622413102973</v>
      </c>
      <c r="P40" s="189">
        <f t="shared" si="11"/>
        <v>0.90036773690548455</v>
      </c>
      <c r="Q40" s="189">
        <f t="shared" si="11"/>
        <v>0.89850749200966817</v>
      </c>
      <c r="R40" s="189">
        <f t="shared" si="11"/>
        <v>0.89661502915354674</v>
      </c>
      <c r="S40" s="189">
        <f t="shared" si="11"/>
        <v>0.89468988481838752</v>
      </c>
      <c r="T40" s="189">
        <f t="shared" si="11"/>
        <v>0.89273159237529931</v>
      </c>
      <c r="U40" s="189">
        <f t="shared" si="11"/>
        <v>0.89073968221057198</v>
      </c>
      <c r="V40" s="189">
        <f t="shared" si="11"/>
        <v>0.88871368185798771</v>
      </c>
      <c r="W40" s="189">
        <f t="shared" si="11"/>
        <v>0.8866531161382829</v>
      </c>
      <c r="X40" s="189">
        <f t="shared" si="11"/>
        <v>0.8845575073059313</v>
      </c>
      <c r="Y40" s="189">
        <f t="shared" si="11"/>
        <v>0.88242637520342315</v>
      </c>
      <c r="Z40" s="189">
        <f t="shared" si="11"/>
        <v>0.88025923742321244</v>
      </c>
      <c r="AA40" s="189">
        <f t="shared" si="11"/>
        <v>0.87805560947749983</v>
      </c>
      <c r="AB40" s="189">
        <f t="shared" si="11"/>
        <v>0.87581500497601961</v>
      </c>
      <c r="AC40" s="189">
        <f t="shared" si="11"/>
        <v>0.87353693581199476</v>
      </c>
      <c r="AD40" s="189">
        <f t="shared" si="11"/>
        <v>0.87122091235641985</v>
      </c>
      <c r="AE40" s="189">
        <f t="shared" si="11"/>
        <v>0.8688664436608311</v>
      </c>
      <c r="AF40" s="189">
        <f t="shared" si="11"/>
        <v>0.86647303766871364</v>
      </c>
      <c r="AG40" s="189">
        <f t="shared" si="11"/>
        <v>0.86404020143569638</v>
      </c>
      <c r="AH40" s="189">
        <f t="shared" si="11"/>
        <v>0.86156744135867502</v>
      </c>
      <c r="AI40" s="189">
        <f t="shared" si="11"/>
        <v>0.85905426341400226</v>
      </c>
      <c r="AJ40" s="189">
        <f t="shared" si="11"/>
        <v>0.8565001734048735</v>
      </c>
      <c r="AK40" s="189">
        <f t="shared" si="11"/>
        <v>0.85390467721803098</v>
      </c>
      <c r="AL40" s="189">
        <f t="shared" si="11"/>
        <v>0.85126728108990402</v>
      </c>
      <c r="AM40" s="189">
        <f t="shared" si="11"/>
        <v>0.84641663556930991</v>
      </c>
      <c r="AN40" s="189">
        <f t="shared" si="11"/>
        <v>0.84365492507786322</v>
      </c>
      <c r="AO40" s="189">
        <f t="shared" si="11"/>
        <v>0.84084921635539556</v>
      </c>
      <c r="AP40" s="189">
        <f t="shared" si="11"/>
        <v>0.83799901287241196</v>
      </c>
      <c r="AQ40" s="189">
        <f t="shared" si="11"/>
        <v>0.83510381995089689</v>
      </c>
    </row>
    <row r="42" spans="1:43">
      <c r="B42" s="39" t="s">
        <v>280</v>
      </c>
      <c r="E42" s="3" t="str">
        <f t="shared" ref="E42:E54" si="12">Currency&amp;"mm"</f>
        <v>CADmm</v>
      </c>
      <c r="F42" s="3" t="s">
        <v>57</v>
      </c>
      <c r="I42" s="70">
        <f>'Cash Flow Waterfall'!I21</f>
        <v>1.6438356164383561</v>
      </c>
      <c r="J42" s="70">
        <f>'Cash Flow Waterfall'!J21</f>
        <v>3.2876712328766988E-2</v>
      </c>
      <c r="K42" s="70">
        <f>'Cash Flow Waterfall'!K21</f>
        <v>3.3534246575342763E-2</v>
      </c>
      <c r="L42" s="70">
        <f>'Cash Flow Waterfall'!L21</f>
        <v>3.420493150684889E-2</v>
      </c>
      <c r="M42" s="70">
        <f>'Cash Flow Waterfall'!M21</f>
        <v>-74.143193161643836</v>
      </c>
      <c r="N42" s="70">
        <f>'Cash Flow Waterfall'!N21</f>
        <v>5.2025166904109632E-2</v>
      </c>
      <c r="O42" s="70">
        <f>'Cash Flow Waterfall'!O21</f>
        <v>5.3065670242190777E-2</v>
      </c>
      <c r="P42" s="70">
        <f>'Cash Flow Waterfall'!P21</f>
        <v>5.4126983647020843E-2</v>
      </c>
      <c r="Q42" s="70">
        <f>'Cash Flow Waterfall'!Q21</f>
        <v>5.5209523319993181E-2</v>
      </c>
      <c r="R42" s="70">
        <f>'Cash Flow Waterfall'!R21</f>
        <v>5.6313713786350306E-2</v>
      </c>
      <c r="S42" s="70">
        <f>'Cash Flow Waterfall'!S21</f>
        <v>5.7439988062128577E-2</v>
      </c>
      <c r="T42" s="70">
        <f>'Cash Flow Waterfall'!T21</f>
        <v>5.8588787823323329E-2</v>
      </c>
      <c r="U42" s="70">
        <f>'Cash Flow Waterfall'!U21</f>
        <v>5.9760563579796866E-2</v>
      </c>
      <c r="V42" s="70">
        <f>'Cash Flow Waterfall'!V21</f>
        <v>6.0955774851407796E-2</v>
      </c>
      <c r="W42" s="70">
        <f>'Cash Flow Waterfall'!W21</f>
        <v>6.2174890348458689E-2</v>
      </c>
      <c r="X42" s="70">
        <f>'Cash Flow Waterfall'!X21</f>
        <v>6.3418388155389138E-2</v>
      </c>
      <c r="Y42" s="70">
        <f>'Cash Flow Waterfall'!Y21</f>
        <v>6.4686755918508254E-2</v>
      </c>
      <c r="Z42" s="70">
        <f>'Cash Flow Waterfall'!Z21</f>
        <v>6.598049103689263E-2</v>
      </c>
      <c r="AA42" s="70">
        <f>'Cash Flow Waterfall'!AA21</f>
        <v>6.7300100857618617E-2</v>
      </c>
      <c r="AB42" s="70">
        <f>'Cash Flow Waterfall'!AB21</f>
        <v>6.8646102874778236E-2</v>
      </c>
      <c r="AC42" s="70">
        <f>'Cash Flow Waterfall'!AC21</f>
        <v>7.0019024932248541E-2</v>
      </c>
      <c r="AD42" s="70">
        <f>'Cash Flow Waterfall'!AD21</f>
        <v>7.1419405430930283E-2</v>
      </c>
      <c r="AE42" s="70">
        <f>'Cash Flow Waterfall'!AE21</f>
        <v>7.2847793539525085E-2</v>
      </c>
      <c r="AF42" s="70">
        <f>'Cash Flow Waterfall'!AF21</f>
        <v>7.4304749410309512E-2</v>
      </c>
      <c r="AG42" s="70">
        <f>'Cash Flow Waterfall'!AG21</f>
        <v>7.579084439855599E-2</v>
      </c>
      <c r="AH42" s="70">
        <f>'Cash Flow Waterfall'!AH21</f>
        <v>7.7306661286488776E-2</v>
      </c>
      <c r="AI42" s="70">
        <f>'Cash Flow Waterfall'!AI21</f>
        <v>7.8852794512238589E-2</v>
      </c>
      <c r="AJ42" s="70">
        <f>'Cash Flow Waterfall'!AJ21</f>
        <v>8.0429850402451208E-2</v>
      </c>
      <c r="AK42" s="70">
        <f>'Cash Flow Waterfall'!AK21</f>
        <v>8.2038447410527127E-2</v>
      </c>
      <c r="AL42" s="70">
        <f>'Cash Flow Waterfall'!AL21</f>
        <v>8.3679216358731878E-2</v>
      </c>
      <c r="AM42" s="70">
        <f>'Cash Flow Waterfall'!AM21</f>
        <v>0.26608195703615145</v>
      </c>
      <c r="AN42" s="70">
        <f>'Cash Flow Waterfall'!AN21</f>
        <v>9.0674439826601727E-2</v>
      </c>
      <c r="AO42" s="70">
        <f>'Cash Flow Waterfall'!AO21</f>
        <v>9.2487928623199878E-2</v>
      </c>
      <c r="AP42" s="70">
        <f>'Cash Flow Waterfall'!AP21</f>
        <v>9.4337687195615416E-2</v>
      </c>
      <c r="AQ42" s="70">
        <f>'Cash Flow Waterfall'!AQ21</f>
        <v>9.6224440939529643E-2</v>
      </c>
    </row>
    <row r="43" spans="1:43">
      <c r="B43" s="39" t="s">
        <v>279</v>
      </c>
      <c r="E43" s="3" t="str">
        <f t="shared" si="12"/>
        <v>CADmm</v>
      </c>
      <c r="F43" s="3" t="s">
        <v>57</v>
      </c>
      <c r="I43" s="70">
        <f>'Cash Flow Waterfall'!I43</f>
        <v>0</v>
      </c>
      <c r="J43" s="70">
        <f>'Cash Flow Waterfall'!J43</f>
        <v>0</v>
      </c>
      <c r="K43" s="70">
        <f>'Cash Flow Waterfall'!K43</f>
        <v>0</v>
      </c>
      <c r="L43" s="70">
        <f>'Cash Flow Waterfall'!L43</f>
        <v>0</v>
      </c>
      <c r="M43" s="70">
        <f>'Cash Flow Waterfall'!M43</f>
        <v>-291.39166163426984</v>
      </c>
      <c r="N43" s="70">
        <f>'Cash Flow Waterfall'!N43</f>
        <v>-288.71740834274681</v>
      </c>
      <c r="O43" s="70">
        <f>'Cash Flow Waterfall'!O43</f>
        <v>-286.03872424117577</v>
      </c>
      <c r="P43" s="70">
        <f>'Cash Flow Waterfall'!P43</f>
        <v>-283.35552071335587</v>
      </c>
      <c r="Q43" s="70">
        <f>'Cash Flow Waterfall'!Q43</f>
        <v>-280.66770737076189</v>
      </c>
      <c r="R43" s="70">
        <f>'Cash Flow Waterfall'!R43</f>
        <v>-277.97519201709855</v>
      </c>
      <c r="S43" s="70">
        <f>'Cash Flow Waterfall'!S43</f>
        <v>-275.27788061214432</v>
      </c>
      <c r="T43" s="70">
        <f>'Cash Flow Waterfall'!T43</f>
        <v>-272.57567723487364</v>
      </c>
      <c r="U43" s="70">
        <f>'Cash Flow Waterfall'!U43</f>
        <v>-268.93879654583992</v>
      </c>
      <c r="V43" s="70">
        <f>'Cash Flow Waterfall'!V43</f>
        <v>-265.29682624880803</v>
      </c>
      <c r="W43" s="70">
        <f>'Cash Flow Waterfall'!W43</f>
        <v>-262.57935205161778</v>
      </c>
      <c r="X43" s="70">
        <f>'Cash Flow Waterfall'!X43</f>
        <v>-259.8565826262664</v>
      </c>
      <c r="Y43" s="70">
        <f>'Cash Flow Waterfall'!Y43</f>
        <v>-257.12841206819041</v>
      </c>
      <c r="Z43" s="70">
        <f>'Cash Flow Waterfall'!Z43</f>
        <v>-254.39473235473525</v>
      </c>
      <c r="AA43" s="70">
        <f>'Cash Flow Waterfall'!AA43</f>
        <v>-251.65543330279354</v>
      </c>
      <c r="AB43" s="70">
        <f>'Cash Flow Waterfall'!AB43</f>
        <v>-248.91040252559546</v>
      </c>
      <c r="AC43" s="70">
        <f>'Cash Flow Waterfall'!AC43</f>
        <v>-247.05874905118986</v>
      </c>
      <c r="AD43" s="70">
        <f>'Cash Flow Waterfall'!AD43</f>
        <v>-246.22202553051542</v>
      </c>
      <c r="AE43" s="70">
        <f>'Cash Flow Waterfall'!AE43</f>
        <v>-245.42146793805202</v>
      </c>
      <c r="AF43" s="70">
        <f>'Cash Flow Waterfall'!AF43</f>
        <v>-244.83161604681311</v>
      </c>
      <c r="AG43" s="70">
        <f>'Cash Flow Waterfall'!AG43</f>
        <v>-244.50887336774935</v>
      </c>
      <c r="AH43" s="70">
        <f>'Cash Flow Waterfall'!AH43</f>
        <v>-244.17967583510429</v>
      </c>
      <c r="AI43" s="70">
        <f>'Cash Flow Waterfall'!AI43</f>
        <v>-243.84389435180637</v>
      </c>
      <c r="AJ43" s="70">
        <f>'Cash Flow Waterfall'!AJ43</f>
        <v>-243.50139723884266</v>
      </c>
      <c r="AK43" s="70">
        <f>'Cash Flow Waterfall'!AK43</f>
        <v>-242.22236268361942</v>
      </c>
      <c r="AL43" s="70">
        <f>'Cash Flow Waterfall'!AL43</f>
        <v>-240.93634118729182</v>
      </c>
      <c r="AM43" s="70">
        <f>'Cash Flow Waterfall'!AM43</f>
        <v>-239.80327552024625</v>
      </c>
      <c r="AN43" s="70">
        <f>'Cash Flow Waterfall'!AN43</f>
        <v>-239.41715353065126</v>
      </c>
      <c r="AO43" s="70">
        <f>'Cash Flow Waterfall'!AO43</f>
        <v>-239.9529966012642</v>
      </c>
      <c r="AP43" s="70">
        <f>'Cash Flow Waterfall'!AP43</f>
        <v>-240.48096278328953</v>
      </c>
      <c r="AQ43" s="70">
        <f>'Cash Flow Waterfall'!AQ43</f>
        <v>-240.07120703895527</v>
      </c>
    </row>
    <row r="44" spans="1:43">
      <c r="B44" s="39" t="s">
        <v>263</v>
      </c>
      <c r="E44" s="3" t="str">
        <f t="shared" si="12"/>
        <v>CADmm</v>
      </c>
      <c r="F44" s="3" t="s">
        <v>57</v>
      </c>
      <c r="I44" s="70">
        <f>'Cash Flow Waterfall'!I26+'Cash Flow Waterfall'!I44</f>
        <v>-218.75</v>
      </c>
      <c r="J44" s="70">
        <f>'Cash Flow Waterfall'!J26+'Cash Flow Waterfall'!J44</f>
        <v>-125.00000000000004</v>
      </c>
      <c r="K44" s="70">
        <f>'Cash Flow Waterfall'!K26+'Cash Flow Waterfall'!K44</f>
        <v>-124.99999999999997</v>
      </c>
      <c r="L44" s="70">
        <f>'Cash Flow Waterfall'!L26+'Cash Flow Waterfall'!L44</f>
        <v>-156.25</v>
      </c>
      <c r="M44" s="70">
        <f>'Cash Flow Waterfall'!M26+'Cash Flow Waterfall'!M44</f>
        <v>-156.25</v>
      </c>
      <c r="N44" s="70">
        <f>'Cash Flow Waterfall'!N26+'Cash Flow Waterfall'!N44</f>
        <v>-156.25</v>
      </c>
      <c r="O44" s="70">
        <f>'Cash Flow Waterfall'!O26+'Cash Flow Waterfall'!O44</f>
        <v>-156.25</v>
      </c>
      <c r="P44" s="70">
        <f>'Cash Flow Waterfall'!P26+'Cash Flow Waterfall'!P44</f>
        <v>-156.25</v>
      </c>
      <c r="Q44" s="70">
        <f>'Cash Flow Waterfall'!Q26+'Cash Flow Waterfall'!Q44</f>
        <v>-156.25</v>
      </c>
      <c r="R44" s="70">
        <f>'Cash Flow Waterfall'!R26+'Cash Flow Waterfall'!R44</f>
        <v>-156.25</v>
      </c>
      <c r="S44" s="70">
        <f>'Cash Flow Waterfall'!S26+'Cash Flow Waterfall'!S44</f>
        <v>-156.25</v>
      </c>
      <c r="T44" s="70">
        <f>'Cash Flow Waterfall'!T26+'Cash Flow Waterfall'!T44</f>
        <v>-156.25</v>
      </c>
      <c r="U44" s="70">
        <f>'Cash Flow Waterfall'!U26+'Cash Flow Waterfall'!U44</f>
        <v>-262.5</v>
      </c>
      <c r="V44" s="70">
        <f>'Cash Flow Waterfall'!V26+'Cash Flow Waterfall'!V44</f>
        <v>-156.25</v>
      </c>
      <c r="W44" s="70">
        <f>'Cash Flow Waterfall'!W26+'Cash Flow Waterfall'!W44</f>
        <v>-156.25</v>
      </c>
      <c r="X44" s="70">
        <f>'Cash Flow Waterfall'!X26+'Cash Flow Waterfall'!X44</f>
        <v>-156.25</v>
      </c>
      <c r="Y44" s="70">
        <f>'Cash Flow Waterfall'!Y26+'Cash Flow Waterfall'!Y44</f>
        <v>-156.25</v>
      </c>
      <c r="Z44" s="70">
        <f>'Cash Flow Waterfall'!Z26+'Cash Flow Waterfall'!Z44</f>
        <v>-156.25</v>
      </c>
      <c r="AA44" s="70">
        <f>'Cash Flow Waterfall'!AA26+'Cash Flow Waterfall'!AA44</f>
        <v>-156.25</v>
      </c>
      <c r="AB44" s="70">
        <f>'Cash Flow Waterfall'!AB26+'Cash Flow Waterfall'!AB44</f>
        <v>-156.25</v>
      </c>
      <c r="AC44" s="70">
        <f>'Cash Flow Waterfall'!AC26+'Cash Flow Waterfall'!AC44</f>
        <v>-262.5</v>
      </c>
      <c r="AD44" s="70">
        <f>'Cash Flow Waterfall'!AD26+'Cash Flow Waterfall'!AD44</f>
        <v>-156.25</v>
      </c>
      <c r="AE44" s="70">
        <f>'Cash Flow Waterfall'!AE26+'Cash Flow Waterfall'!AE44</f>
        <v>-156.25</v>
      </c>
      <c r="AF44" s="70">
        <f>'Cash Flow Waterfall'!AF26+'Cash Flow Waterfall'!AF44</f>
        <v>-156.25</v>
      </c>
      <c r="AG44" s="70">
        <f>'Cash Flow Waterfall'!AG26+'Cash Flow Waterfall'!AG44</f>
        <v>-156.25</v>
      </c>
      <c r="AH44" s="70">
        <f>'Cash Flow Waterfall'!AH26+'Cash Flow Waterfall'!AH44</f>
        <v>-156.25</v>
      </c>
      <c r="AI44" s="70">
        <f>'Cash Flow Waterfall'!AI26+'Cash Flow Waterfall'!AI44</f>
        <v>-156.25</v>
      </c>
      <c r="AJ44" s="70">
        <f>'Cash Flow Waterfall'!AJ26+'Cash Flow Waterfall'!AJ44</f>
        <v>-156.25</v>
      </c>
      <c r="AK44" s="70">
        <f>'Cash Flow Waterfall'!AK26+'Cash Flow Waterfall'!AK44</f>
        <v>-262.5</v>
      </c>
      <c r="AL44" s="70">
        <f>'Cash Flow Waterfall'!AL26+'Cash Flow Waterfall'!AL44</f>
        <v>-156.25</v>
      </c>
      <c r="AM44" s="70">
        <f>'Cash Flow Waterfall'!AM26+'Cash Flow Waterfall'!AM44</f>
        <v>-156.25</v>
      </c>
      <c r="AN44" s="70">
        <f>'Cash Flow Waterfall'!AN26+'Cash Flow Waterfall'!AN44</f>
        <v>-156.25</v>
      </c>
      <c r="AO44" s="70">
        <f>'Cash Flow Waterfall'!AO26+'Cash Flow Waterfall'!AO44</f>
        <v>-156.25</v>
      </c>
      <c r="AP44" s="70">
        <f>'Cash Flow Waterfall'!AP26+'Cash Flow Waterfall'!AP44</f>
        <v>-156.25</v>
      </c>
      <c r="AQ44" s="70">
        <f>'Cash Flow Waterfall'!AQ26+'Cash Flow Waterfall'!AQ44</f>
        <v>-156.25</v>
      </c>
    </row>
    <row r="45" spans="1:43">
      <c r="B45" s="39" t="s">
        <v>281</v>
      </c>
      <c r="E45" s="3" t="str">
        <f t="shared" si="12"/>
        <v>CADmm</v>
      </c>
      <c r="F45" s="3" t="s">
        <v>57</v>
      </c>
      <c r="I45" s="70">
        <f>'Cash Flow Waterfall'!I28</f>
        <v>-4.8045399999999994</v>
      </c>
      <c r="J45" s="70">
        <f>'Cash Flow Waterfall'!J28</f>
        <v>0</v>
      </c>
      <c r="K45" s="70">
        <f>'Cash Flow Waterfall'!K28</f>
        <v>0</v>
      </c>
      <c r="L45" s="70">
        <f>'Cash Flow Waterfall'!L28</f>
        <v>0</v>
      </c>
      <c r="M45" s="70">
        <f>'Cash Flow Waterfall'!M28</f>
        <v>0</v>
      </c>
      <c r="N45" s="70">
        <f>'Cash Flow Waterfall'!N28</f>
        <v>0</v>
      </c>
      <c r="O45" s="70">
        <f>'Cash Flow Waterfall'!O28</f>
        <v>0</v>
      </c>
      <c r="P45" s="70">
        <f>'Cash Flow Waterfall'!P28</f>
        <v>0</v>
      </c>
      <c r="Q45" s="70">
        <f>'Cash Flow Waterfall'!Q28</f>
        <v>0</v>
      </c>
      <c r="R45" s="70">
        <f>'Cash Flow Waterfall'!R28</f>
        <v>0</v>
      </c>
      <c r="S45" s="70">
        <f>'Cash Flow Waterfall'!S28</f>
        <v>0</v>
      </c>
      <c r="T45" s="70">
        <f>'Cash Flow Waterfall'!T28</f>
        <v>0</v>
      </c>
      <c r="U45" s="70">
        <f>'Cash Flow Waterfall'!U28</f>
        <v>0</v>
      </c>
      <c r="V45" s="70">
        <f>'Cash Flow Waterfall'!V28</f>
        <v>0</v>
      </c>
      <c r="W45" s="70">
        <f>'Cash Flow Waterfall'!W28</f>
        <v>0</v>
      </c>
      <c r="X45" s="70">
        <f>'Cash Flow Waterfall'!X28</f>
        <v>0</v>
      </c>
      <c r="Y45" s="70">
        <f>'Cash Flow Waterfall'!Y28</f>
        <v>0</v>
      </c>
      <c r="Z45" s="70">
        <f>'Cash Flow Waterfall'!Z28</f>
        <v>0</v>
      </c>
      <c r="AA45" s="70">
        <f>'Cash Flow Waterfall'!AA28</f>
        <v>0</v>
      </c>
      <c r="AB45" s="70">
        <f>'Cash Flow Waterfall'!AB28</f>
        <v>0</v>
      </c>
      <c r="AC45" s="70">
        <f>'Cash Flow Waterfall'!AC28</f>
        <v>0</v>
      </c>
      <c r="AD45" s="70">
        <f>'Cash Flow Waterfall'!AD28</f>
        <v>0</v>
      </c>
      <c r="AE45" s="70">
        <f>'Cash Flow Waterfall'!AE28</f>
        <v>0</v>
      </c>
      <c r="AF45" s="70">
        <f>'Cash Flow Waterfall'!AF28</f>
        <v>0</v>
      </c>
      <c r="AG45" s="70">
        <f>'Cash Flow Waterfall'!AG28</f>
        <v>0</v>
      </c>
      <c r="AH45" s="70">
        <f>'Cash Flow Waterfall'!AH28</f>
        <v>0</v>
      </c>
      <c r="AI45" s="70">
        <f>'Cash Flow Waterfall'!AI28</f>
        <v>0</v>
      </c>
      <c r="AJ45" s="70">
        <f>'Cash Flow Waterfall'!AJ28</f>
        <v>0</v>
      </c>
      <c r="AK45" s="70">
        <f>'Cash Flow Waterfall'!AK28</f>
        <v>0</v>
      </c>
      <c r="AL45" s="70">
        <f>'Cash Flow Waterfall'!AL28</f>
        <v>0</v>
      </c>
      <c r="AM45" s="70">
        <f>'Cash Flow Waterfall'!AM28</f>
        <v>0</v>
      </c>
      <c r="AN45" s="70">
        <f>'Cash Flow Waterfall'!AN28</f>
        <v>0</v>
      </c>
      <c r="AO45" s="70">
        <f>'Cash Flow Waterfall'!AO28</f>
        <v>0</v>
      </c>
      <c r="AP45" s="70">
        <f>'Cash Flow Waterfall'!AP28</f>
        <v>0</v>
      </c>
      <c r="AQ45" s="70">
        <f>'Cash Flow Waterfall'!AQ28</f>
        <v>0</v>
      </c>
    </row>
    <row r="46" spans="1:43">
      <c r="B46" s="39" t="s">
        <v>283</v>
      </c>
      <c r="E46" s="3" t="str">
        <f t="shared" si="12"/>
        <v>CADmm</v>
      </c>
      <c r="F46" s="3" t="s">
        <v>57</v>
      </c>
      <c r="I46" s="70">
        <f>'Cash Flow Waterfall'!I27</f>
        <v>-4.3685045273572687</v>
      </c>
      <c r="J46" s="70">
        <f>'Cash Flow Waterfall'!J27</f>
        <v>-7.1235277862805324</v>
      </c>
      <c r="K46" s="70">
        <f>'Cash Flow Waterfall'!K27</f>
        <v>-9.9786220714497684</v>
      </c>
      <c r="L46" s="70">
        <f>'Cash Flow Waterfall'!L27</f>
        <v>-13.497821240238666</v>
      </c>
      <c r="M46" s="70">
        <f>'Cash Flow Waterfall'!M27</f>
        <v>0</v>
      </c>
      <c r="N46" s="70">
        <f>'Cash Flow Waterfall'!N27</f>
        <v>0</v>
      </c>
      <c r="O46" s="70">
        <f>'Cash Flow Waterfall'!O27</f>
        <v>0</v>
      </c>
      <c r="P46" s="70">
        <f>'Cash Flow Waterfall'!P27</f>
        <v>0</v>
      </c>
      <c r="Q46" s="70">
        <f>'Cash Flow Waterfall'!Q27</f>
        <v>0</v>
      </c>
      <c r="R46" s="70">
        <f>'Cash Flow Waterfall'!R27</f>
        <v>0</v>
      </c>
      <c r="S46" s="70">
        <f>'Cash Flow Waterfall'!S27</f>
        <v>0</v>
      </c>
      <c r="T46" s="70">
        <f>'Cash Flow Waterfall'!T27</f>
        <v>0</v>
      </c>
      <c r="U46" s="70">
        <f>'Cash Flow Waterfall'!U27</f>
        <v>0</v>
      </c>
      <c r="V46" s="70">
        <f>'Cash Flow Waterfall'!V27</f>
        <v>0</v>
      </c>
      <c r="W46" s="70">
        <f>'Cash Flow Waterfall'!W27</f>
        <v>0</v>
      </c>
      <c r="X46" s="70">
        <f>'Cash Flow Waterfall'!X27</f>
        <v>0</v>
      </c>
      <c r="Y46" s="70">
        <f>'Cash Flow Waterfall'!Y27</f>
        <v>0</v>
      </c>
      <c r="Z46" s="70">
        <f>'Cash Flow Waterfall'!Z27</f>
        <v>0</v>
      </c>
      <c r="AA46" s="70">
        <f>'Cash Flow Waterfall'!AA27</f>
        <v>0</v>
      </c>
      <c r="AB46" s="70">
        <f>'Cash Flow Waterfall'!AB27</f>
        <v>0</v>
      </c>
      <c r="AC46" s="70">
        <f>'Cash Flow Waterfall'!AC27</f>
        <v>0</v>
      </c>
      <c r="AD46" s="70">
        <f>'Cash Flow Waterfall'!AD27</f>
        <v>0</v>
      </c>
      <c r="AE46" s="70">
        <f>'Cash Flow Waterfall'!AE27</f>
        <v>0</v>
      </c>
      <c r="AF46" s="70">
        <f>'Cash Flow Waterfall'!AF27</f>
        <v>0</v>
      </c>
      <c r="AG46" s="70">
        <f>'Cash Flow Waterfall'!AG27</f>
        <v>0</v>
      </c>
      <c r="AH46" s="70">
        <f>'Cash Flow Waterfall'!AH27</f>
        <v>0</v>
      </c>
      <c r="AI46" s="70">
        <f>'Cash Flow Waterfall'!AI27</f>
        <v>0</v>
      </c>
      <c r="AJ46" s="70">
        <f>'Cash Flow Waterfall'!AJ27</f>
        <v>0</v>
      </c>
      <c r="AK46" s="70">
        <f>'Cash Flow Waterfall'!AK27</f>
        <v>0</v>
      </c>
      <c r="AL46" s="70">
        <f>'Cash Flow Waterfall'!AL27</f>
        <v>0</v>
      </c>
      <c r="AM46" s="70">
        <f>'Cash Flow Waterfall'!AM27</f>
        <v>0</v>
      </c>
      <c r="AN46" s="70">
        <f>'Cash Flow Waterfall'!AN27</f>
        <v>0</v>
      </c>
      <c r="AO46" s="70">
        <f>'Cash Flow Waterfall'!AO27</f>
        <v>0</v>
      </c>
      <c r="AP46" s="70">
        <f>'Cash Flow Waterfall'!AP27</f>
        <v>0</v>
      </c>
      <c r="AQ46" s="70">
        <f>'Cash Flow Waterfall'!AQ27</f>
        <v>0</v>
      </c>
    </row>
    <row r="47" spans="1:43">
      <c r="B47" s="121" t="s">
        <v>282</v>
      </c>
      <c r="C47" s="118"/>
      <c r="D47" s="118"/>
      <c r="E47" s="118" t="str">
        <f t="shared" si="12"/>
        <v>CADmm</v>
      </c>
      <c r="F47" s="118" t="s">
        <v>57</v>
      </c>
      <c r="G47" s="118"/>
      <c r="H47" s="118"/>
      <c r="I47" s="122">
        <f>'Cash Flow Waterfall'!I37</f>
        <v>247.92304452735726</v>
      </c>
      <c r="J47" s="122">
        <f>'Cash Flow Waterfall'!J37</f>
        <v>152.52352778628054</v>
      </c>
      <c r="K47" s="122">
        <f>'Cash Flow Waterfall'!K37</f>
        <v>155.78662207144973</v>
      </c>
      <c r="L47" s="122">
        <f>'Cash Flow Waterfall'!L37</f>
        <v>190.97198124023865</v>
      </c>
      <c r="M47" s="122">
        <f>'Cash Flow Waterfall'!M37</f>
        <v>0</v>
      </c>
      <c r="N47" s="122">
        <f>'Cash Flow Waterfall'!N37</f>
        <v>0</v>
      </c>
      <c r="O47" s="122">
        <f>'Cash Flow Waterfall'!O37</f>
        <v>0</v>
      </c>
      <c r="P47" s="122">
        <f>'Cash Flow Waterfall'!P37</f>
        <v>0</v>
      </c>
      <c r="Q47" s="122">
        <f>'Cash Flow Waterfall'!Q37</f>
        <v>0</v>
      </c>
      <c r="R47" s="122">
        <f>'Cash Flow Waterfall'!R37</f>
        <v>0</v>
      </c>
      <c r="S47" s="122">
        <f>'Cash Flow Waterfall'!S37</f>
        <v>0</v>
      </c>
      <c r="T47" s="122">
        <f>'Cash Flow Waterfall'!T37</f>
        <v>0</v>
      </c>
      <c r="U47" s="122">
        <f>'Cash Flow Waterfall'!U37</f>
        <v>0</v>
      </c>
      <c r="V47" s="122">
        <f>'Cash Flow Waterfall'!V37</f>
        <v>0</v>
      </c>
      <c r="W47" s="122">
        <f>'Cash Flow Waterfall'!W37</f>
        <v>0</v>
      </c>
      <c r="X47" s="122">
        <f>'Cash Flow Waterfall'!X37</f>
        <v>0</v>
      </c>
      <c r="Y47" s="122">
        <f>'Cash Flow Waterfall'!Y37</f>
        <v>0</v>
      </c>
      <c r="Z47" s="122">
        <f>'Cash Flow Waterfall'!Z37</f>
        <v>0</v>
      </c>
      <c r="AA47" s="122">
        <f>'Cash Flow Waterfall'!AA37</f>
        <v>0</v>
      </c>
      <c r="AB47" s="122">
        <f>'Cash Flow Waterfall'!AB37</f>
        <v>0</v>
      </c>
      <c r="AC47" s="122">
        <f>'Cash Flow Waterfall'!AC37</f>
        <v>0</v>
      </c>
      <c r="AD47" s="122">
        <f>'Cash Flow Waterfall'!AD37</f>
        <v>0</v>
      </c>
      <c r="AE47" s="122">
        <f>'Cash Flow Waterfall'!AE37</f>
        <v>0</v>
      </c>
      <c r="AF47" s="122">
        <f>'Cash Flow Waterfall'!AF37</f>
        <v>0</v>
      </c>
      <c r="AG47" s="122">
        <f>'Cash Flow Waterfall'!AG37</f>
        <v>0</v>
      </c>
      <c r="AH47" s="122">
        <f>'Cash Flow Waterfall'!AH37</f>
        <v>0</v>
      </c>
      <c r="AI47" s="122">
        <f>'Cash Flow Waterfall'!AI37</f>
        <v>0</v>
      </c>
      <c r="AJ47" s="122">
        <f>'Cash Flow Waterfall'!AJ37</f>
        <v>0</v>
      </c>
      <c r="AK47" s="122">
        <f>'Cash Flow Waterfall'!AK37</f>
        <v>0</v>
      </c>
      <c r="AL47" s="122">
        <f>'Cash Flow Waterfall'!AL37</f>
        <v>0</v>
      </c>
      <c r="AM47" s="122">
        <f>'Cash Flow Waterfall'!AM37</f>
        <v>0</v>
      </c>
      <c r="AN47" s="122">
        <f>'Cash Flow Waterfall'!AN37</f>
        <v>0</v>
      </c>
      <c r="AO47" s="122">
        <f>'Cash Flow Waterfall'!AO37</f>
        <v>0</v>
      </c>
      <c r="AP47" s="122">
        <f>'Cash Flow Waterfall'!AP37</f>
        <v>0</v>
      </c>
      <c r="AQ47" s="122">
        <f>'Cash Flow Waterfall'!AQ37</f>
        <v>0</v>
      </c>
    </row>
    <row r="48" spans="1:43">
      <c r="B48" s="3" t="s">
        <v>205</v>
      </c>
      <c r="E48" s="3" t="str">
        <f t="shared" si="12"/>
        <v>CADmm</v>
      </c>
      <c r="F48" s="3" t="s">
        <v>57</v>
      </c>
      <c r="I48" s="70">
        <f>SUM(I39:I47)</f>
        <v>1.6438356164383663</v>
      </c>
      <c r="J48" s="70">
        <f t="shared" ref="J48:AQ48" si="13">SUM(J39:J47)</f>
        <v>3.2876712328743452E-2</v>
      </c>
      <c r="K48" s="70">
        <f t="shared" si="13"/>
        <v>3.3534246575328552E-2</v>
      </c>
      <c r="L48" s="70">
        <f t="shared" si="13"/>
        <v>3.4204931506849334E-2</v>
      </c>
      <c r="M48" s="70">
        <f t="shared" si="13"/>
        <v>359.9722617540092</v>
      </c>
      <c r="N48" s="70">
        <f t="shared" si="13"/>
        <v>436.206994170793</v>
      </c>
      <c r="O48" s="70">
        <f t="shared" si="13"/>
        <v>438.23928926791746</v>
      </c>
      <c r="P48" s="70">
        <f t="shared" si="13"/>
        <v>440.26318065421128</v>
      </c>
      <c r="Q48" s="70">
        <f t="shared" si="13"/>
        <v>442.27850042452246</v>
      </c>
      <c r="R48" s="70">
        <f t="shared" si="13"/>
        <v>444.28507732139542</v>
      </c>
      <c r="S48" s="70">
        <f t="shared" si="13"/>
        <v>446.2827366682011</v>
      </c>
      <c r="T48" s="70">
        <f t="shared" si="13"/>
        <v>448.2713003009394</v>
      </c>
      <c r="U48" s="70">
        <f t="shared" si="13"/>
        <v>344.93027399867719</v>
      </c>
      <c r="V48" s="70">
        <f t="shared" si="13"/>
        <v>454.07978491260292</v>
      </c>
      <c r="W48" s="70">
        <f t="shared" si="13"/>
        <v>456.03995649366414</v>
      </c>
      <c r="X48" s="70">
        <f t="shared" si="13"/>
        <v>457.99028341876624</v>
      </c>
      <c r="Y48" s="70">
        <f t="shared" si="13"/>
        <v>459.93056901549426</v>
      </c>
      <c r="Z48" s="70">
        <f t="shared" si="13"/>
        <v>461.86061268533877</v>
      </c>
      <c r="AA48" s="70">
        <f t="shared" si="13"/>
        <v>463.78020982538794</v>
      </c>
      <c r="AB48" s="70">
        <f t="shared" si="13"/>
        <v>465.68915174845858</v>
      </c>
      <c r="AC48" s="70">
        <f t="shared" si="13"/>
        <v>360.43800193908169</v>
      </c>
      <c r="AD48" s="70">
        <f t="shared" si="13"/>
        <v>466.65487371738971</v>
      </c>
      <c r="AE48" s="70">
        <f t="shared" si="13"/>
        <v>466.56819040786854</v>
      </c>
      <c r="AF48" s="70">
        <f t="shared" si="13"/>
        <v>466.25306473116052</v>
      </c>
      <c r="AG48" s="70">
        <f t="shared" si="13"/>
        <v>465.65273872879743</v>
      </c>
      <c r="AH48" s="70">
        <f t="shared" si="13"/>
        <v>465.04041493926763</v>
      </c>
      <c r="AI48" s="70">
        <f t="shared" si="13"/>
        <v>464.41585371128099</v>
      </c>
      <c r="AJ48" s="70">
        <f t="shared" si="13"/>
        <v>463.77881061022936</v>
      </c>
      <c r="AK48" s="70">
        <f t="shared" si="13"/>
        <v>357.80872382277903</v>
      </c>
      <c r="AL48" s="70">
        <f t="shared" si="13"/>
        <v>464.32565155956217</v>
      </c>
      <c r="AM48" s="70">
        <f t="shared" si="13"/>
        <v>462.39893884449134</v>
      </c>
      <c r="AN48" s="70">
        <f t="shared" si="13"/>
        <v>461.50368592182838</v>
      </c>
      <c r="AO48" s="70">
        <f t="shared" si="13"/>
        <v>459.84158083304067</v>
      </c>
      <c r="AP48" s="70">
        <f t="shared" si="13"/>
        <v>458.16483901189144</v>
      </c>
      <c r="AQ48" s="70">
        <f t="shared" si="13"/>
        <v>457.4028556189503</v>
      </c>
    </row>
    <row r="49" spans="1:43">
      <c r="B49" s="39" t="s">
        <v>284</v>
      </c>
      <c r="E49" s="3" t="str">
        <f t="shared" si="12"/>
        <v>CADmm</v>
      </c>
      <c r="F49" s="3" t="s">
        <v>57</v>
      </c>
      <c r="I49" s="70">
        <f>SUM('Cash Flow Waterfall'!I49:I50)</f>
        <v>0</v>
      </c>
      <c r="J49" s="70">
        <f>SUM('Cash Flow Waterfall'!J49:J50)</f>
        <v>0</v>
      </c>
      <c r="K49" s="70">
        <f>SUM('Cash Flow Waterfall'!K49:K50)</f>
        <v>0</v>
      </c>
      <c r="L49" s="70">
        <f>SUM('Cash Flow Waterfall'!L49:L50)</f>
        <v>0</v>
      </c>
      <c r="M49" s="70">
        <f>SUM('Cash Flow Waterfall'!M49:M50)</f>
        <v>-37.132537221135237</v>
      </c>
      <c r="N49" s="70">
        <f>SUM('Cash Flow Waterfall'!N49:N50)</f>
        <v>-36.327788047201054</v>
      </c>
      <c r="O49" s="70">
        <f>SUM('Cash Flow Waterfall'!O49:O50)</f>
        <v>-35.52303887326687</v>
      </c>
      <c r="P49" s="70">
        <f>SUM('Cash Flow Waterfall'!P49:P50)</f>
        <v>-34.718289699332686</v>
      </c>
      <c r="Q49" s="70">
        <f>SUM('Cash Flow Waterfall'!Q49:Q50)</f>
        <v>-33.91354052539851</v>
      </c>
      <c r="R49" s="70">
        <f>SUM('Cash Flow Waterfall'!R49:R50)</f>
        <v>-33.108791351464326</v>
      </c>
      <c r="S49" s="70">
        <f>SUM('Cash Flow Waterfall'!S49:S50)</f>
        <v>-32.30404217753015</v>
      </c>
      <c r="T49" s="70">
        <f>SUM('Cash Flow Waterfall'!T49:T50)</f>
        <v>-31.499293003595966</v>
      </c>
      <c r="U49" s="70">
        <f>SUM('Cash Flow Waterfall'!U49:U50)</f>
        <v>-30.694543829661786</v>
      </c>
      <c r="V49" s="70">
        <f>SUM('Cash Flow Waterfall'!V49:V50)</f>
        <v>-29.889794655727602</v>
      </c>
      <c r="W49" s="70">
        <f>SUM('Cash Flow Waterfall'!W49:W50)</f>
        <v>-29.085045481793422</v>
      </c>
      <c r="X49" s="70">
        <f>SUM('Cash Flow Waterfall'!X49:X50)</f>
        <v>-28.280296307859238</v>
      </c>
      <c r="Y49" s="70">
        <f>SUM('Cash Flow Waterfall'!Y49:Y50)</f>
        <v>-27.475547133925058</v>
      </c>
      <c r="Z49" s="70">
        <f>SUM('Cash Flow Waterfall'!Z49:Z50)</f>
        <v>-26.670797959990878</v>
      </c>
      <c r="AA49" s="70">
        <f>SUM('Cash Flow Waterfall'!AA49:AA50)</f>
        <v>-25.866048786056698</v>
      </c>
      <c r="AB49" s="70">
        <f>SUM('Cash Flow Waterfall'!AB49:AB50)</f>
        <v>-25.061299612122514</v>
      </c>
      <c r="AC49" s="70">
        <f>SUM('Cash Flow Waterfall'!AC49:AC50)</f>
        <v>-17.014008110365541</v>
      </c>
      <c r="AD49" s="70">
        <f>SUM('Cash Flow Waterfall'!AD49:AD50)</f>
        <v>-10.255720811822064</v>
      </c>
      <c r="AE49" s="70">
        <f>SUM('Cash Flow Waterfall'!AE49:AE50)</f>
        <v>-4.6144975531257888</v>
      </c>
      <c r="AF49" s="70">
        <f>SUM('Cash Flow Waterfall'!AF49:AF50)</f>
        <v>-7.8159700933611021E-16</v>
      </c>
      <c r="AG49" s="70">
        <f>SUM('Cash Flow Waterfall'!AG49:AG50)</f>
        <v>-7.8159700933611021E-16</v>
      </c>
      <c r="AH49" s="70">
        <f>SUM('Cash Flow Waterfall'!AH49:AH50)</f>
        <v>-7.8159700933611021E-16</v>
      </c>
      <c r="AI49" s="70">
        <f>SUM('Cash Flow Waterfall'!AI49:AI50)</f>
        <v>-7.8159700933611021E-16</v>
      </c>
      <c r="AJ49" s="70">
        <f>SUM('Cash Flow Waterfall'!AJ49:AJ50)</f>
        <v>-7.8159700933611021E-16</v>
      </c>
      <c r="AK49" s="70">
        <f>SUM('Cash Flow Waterfall'!AK49:AK50)</f>
        <v>-7.8159700933611021E-16</v>
      </c>
      <c r="AL49" s="70">
        <f>SUM('Cash Flow Waterfall'!AL49:AL50)</f>
        <v>-7.8159700933611021E-16</v>
      </c>
      <c r="AM49" s="70">
        <f>SUM('Cash Flow Waterfall'!AM49:AM50)</f>
        <v>-7.8159700933611021E-16</v>
      </c>
      <c r="AN49" s="70">
        <f>SUM('Cash Flow Waterfall'!AN49:AN50)</f>
        <v>-7.8159700933611021E-16</v>
      </c>
      <c r="AO49" s="70">
        <f>SUM('Cash Flow Waterfall'!AO49:AO50)</f>
        <v>-7.8159700933611021E-16</v>
      </c>
      <c r="AP49" s="70">
        <f>SUM('Cash Flow Waterfall'!AP49:AP50)</f>
        <v>-7.8159700933611021E-16</v>
      </c>
      <c r="AQ49" s="70">
        <f>SUM('Cash Flow Waterfall'!AQ49:AQ50)</f>
        <v>-7.8159700933611021E-16</v>
      </c>
    </row>
    <row r="50" spans="1:43">
      <c r="B50" s="39" t="s">
        <v>254</v>
      </c>
      <c r="E50" s="3" t="str">
        <f t="shared" si="12"/>
        <v>CADmm</v>
      </c>
      <c r="F50" s="3" t="s">
        <v>57</v>
      </c>
      <c r="I50" s="70">
        <f>SUM('Cash Flow Waterfall'!I55:I56)</f>
        <v>0</v>
      </c>
      <c r="J50" s="70">
        <f>SUM('Cash Flow Waterfall'!J55:J56)</f>
        <v>0</v>
      </c>
      <c r="K50" s="70">
        <f>SUM('Cash Flow Waterfall'!K55:K56)</f>
        <v>0</v>
      </c>
      <c r="L50" s="70">
        <f>SUM('Cash Flow Waterfall'!L55:L56)</f>
        <v>0</v>
      </c>
      <c r="M50" s="70">
        <f>SUM('Cash Flow Waterfall'!M55:M56)</f>
        <v>-300</v>
      </c>
      <c r="N50" s="70">
        <f>SUM('Cash Flow Waterfall'!N55:N56)</f>
        <v>-300</v>
      </c>
      <c r="O50" s="70">
        <f>SUM('Cash Flow Waterfall'!O55:O56)</f>
        <v>0</v>
      </c>
      <c r="P50" s="70">
        <f>SUM('Cash Flow Waterfall'!P55:P56)</f>
        <v>0</v>
      </c>
      <c r="Q50" s="70">
        <f>SUM('Cash Flow Waterfall'!Q55:Q56)</f>
        <v>0</v>
      </c>
      <c r="R50" s="70">
        <f>SUM('Cash Flow Waterfall'!R55:R56)</f>
        <v>0</v>
      </c>
      <c r="S50" s="70">
        <f>SUM('Cash Flow Waterfall'!S55:S56)</f>
        <v>0</v>
      </c>
      <c r="T50" s="70">
        <f>SUM('Cash Flow Waterfall'!T55:T56)</f>
        <v>0</v>
      </c>
      <c r="U50" s="70">
        <f>SUM('Cash Flow Waterfall'!U55:U56)</f>
        <v>0</v>
      </c>
      <c r="V50" s="70">
        <f>SUM('Cash Flow Waterfall'!V55:V56)</f>
        <v>0</v>
      </c>
      <c r="W50" s="70">
        <f>SUM('Cash Flow Waterfall'!W55:W56)</f>
        <v>0</v>
      </c>
      <c r="X50" s="70">
        <f>SUM('Cash Flow Waterfall'!X55:X56)</f>
        <v>0</v>
      </c>
      <c r="Y50" s="70">
        <f>SUM('Cash Flow Waterfall'!Y55:Y56)</f>
        <v>0</v>
      </c>
      <c r="Z50" s="70">
        <f>SUM('Cash Flow Waterfall'!Z55:Z56)</f>
        <v>0</v>
      </c>
      <c r="AA50" s="70">
        <f>SUM('Cash Flow Waterfall'!AA55:AA56)</f>
        <v>0</v>
      </c>
      <c r="AB50" s="70">
        <f>SUM('Cash Flow Waterfall'!AB55:AB56)</f>
        <v>0</v>
      </c>
      <c r="AC50" s="70">
        <f>SUM('Cash Flow Waterfall'!AC55:AC56)</f>
        <v>0</v>
      </c>
      <c r="AD50" s="70">
        <f>SUM('Cash Flow Waterfall'!AD55:AD56)</f>
        <v>0</v>
      </c>
      <c r="AE50" s="70">
        <f>SUM('Cash Flow Waterfall'!AE55:AE56)</f>
        <v>0</v>
      </c>
      <c r="AF50" s="70">
        <f>SUM('Cash Flow Waterfall'!AF55:AF56)</f>
        <v>0</v>
      </c>
      <c r="AG50" s="70">
        <f>SUM('Cash Flow Waterfall'!AG55:AG56)</f>
        <v>0</v>
      </c>
      <c r="AH50" s="70">
        <f>SUM('Cash Flow Waterfall'!AH55:AH56)</f>
        <v>0</v>
      </c>
      <c r="AI50" s="70">
        <f>SUM('Cash Flow Waterfall'!AI55:AI56)</f>
        <v>0</v>
      </c>
      <c r="AJ50" s="70">
        <f>SUM('Cash Flow Waterfall'!AJ55:AJ56)</f>
        <v>0</v>
      </c>
      <c r="AK50" s="70">
        <f>SUM('Cash Flow Waterfall'!AK55:AK56)</f>
        <v>0</v>
      </c>
      <c r="AL50" s="70">
        <f>SUM('Cash Flow Waterfall'!AL55:AL56)</f>
        <v>0</v>
      </c>
      <c r="AM50" s="70">
        <f>SUM('Cash Flow Waterfall'!AM55:AM56)</f>
        <v>0</v>
      </c>
      <c r="AN50" s="70">
        <f>SUM('Cash Flow Waterfall'!AN55:AN56)</f>
        <v>0</v>
      </c>
      <c r="AO50" s="70">
        <f>SUM('Cash Flow Waterfall'!AO55:AO56)</f>
        <v>0</v>
      </c>
      <c r="AP50" s="70">
        <f>SUM('Cash Flow Waterfall'!AP55:AP56)</f>
        <v>0</v>
      </c>
      <c r="AQ50" s="70">
        <f>SUM('Cash Flow Waterfall'!AQ55:AQ56)</f>
        <v>0</v>
      </c>
    </row>
    <row r="51" spans="1:43">
      <c r="B51" s="121" t="s">
        <v>257</v>
      </c>
      <c r="C51" s="118"/>
      <c r="D51" s="118"/>
      <c r="E51" s="118" t="str">
        <f t="shared" si="12"/>
        <v>CADmm</v>
      </c>
      <c r="F51" s="118" t="s">
        <v>57</v>
      </c>
      <c r="G51" s="118"/>
      <c r="H51" s="118"/>
      <c r="I51" s="122">
        <f>'Cash Flow Waterfall'!I65</f>
        <v>0</v>
      </c>
      <c r="J51" s="122">
        <f>'Cash Flow Waterfall'!J65</f>
        <v>0</v>
      </c>
      <c r="K51" s="122">
        <f>'Cash Flow Waterfall'!K65</f>
        <v>0</v>
      </c>
      <c r="L51" s="122">
        <f>'Cash Flow Waterfall'!L65</f>
        <v>0</v>
      </c>
      <c r="M51" s="122">
        <f>'Cash Flow Waterfall'!M65</f>
        <v>0</v>
      </c>
      <c r="N51" s="122">
        <f>'Cash Flow Waterfall'!N65</f>
        <v>1</v>
      </c>
      <c r="O51" s="122">
        <f>'Cash Flow Waterfall'!O65</f>
        <v>1</v>
      </c>
      <c r="P51" s="122">
        <f>'Cash Flow Waterfall'!P65</f>
        <v>1</v>
      </c>
      <c r="Q51" s="122">
        <f>'Cash Flow Waterfall'!Q65</f>
        <v>1</v>
      </c>
      <c r="R51" s="122">
        <f>'Cash Flow Waterfall'!R65</f>
        <v>1</v>
      </c>
      <c r="S51" s="122">
        <f>'Cash Flow Waterfall'!S65</f>
        <v>1</v>
      </c>
      <c r="T51" s="122">
        <f>'Cash Flow Waterfall'!T65</f>
        <v>1</v>
      </c>
      <c r="U51" s="122">
        <f>'Cash Flow Waterfall'!U65</f>
        <v>1</v>
      </c>
      <c r="V51" s="122">
        <f>'Cash Flow Waterfall'!V65</f>
        <v>1</v>
      </c>
      <c r="W51" s="122">
        <f>'Cash Flow Waterfall'!W65</f>
        <v>1</v>
      </c>
      <c r="X51" s="122">
        <f>'Cash Flow Waterfall'!X65</f>
        <v>1</v>
      </c>
      <c r="Y51" s="122">
        <f>'Cash Flow Waterfall'!Y65</f>
        <v>1</v>
      </c>
      <c r="Z51" s="122">
        <f>'Cash Flow Waterfall'!Z65</f>
        <v>1</v>
      </c>
      <c r="AA51" s="122">
        <f>'Cash Flow Waterfall'!AA65</f>
        <v>1</v>
      </c>
      <c r="AB51" s="122">
        <f>'Cash Flow Waterfall'!AB65</f>
        <v>1</v>
      </c>
      <c r="AC51" s="122">
        <f>'Cash Flow Waterfall'!AC65</f>
        <v>1</v>
      </c>
      <c r="AD51" s="122">
        <f>'Cash Flow Waterfall'!AD65</f>
        <v>1</v>
      </c>
      <c r="AE51" s="122">
        <f>'Cash Flow Waterfall'!AE65</f>
        <v>1</v>
      </c>
      <c r="AF51" s="122">
        <f>'Cash Flow Waterfall'!AF65</f>
        <v>1</v>
      </c>
      <c r="AG51" s="122">
        <f>'Cash Flow Waterfall'!AG65</f>
        <v>1</v>
      </c>
      <c r="AH51" s="122">
        <f>'Cash Flow Waterfall'!AH65</f>
        <v>1</v>
      </c>
      <c r="AI51" s="122">
        <f>'Cash Flow Waterfall'!AI65</f>
        <v>1</v>
      </c>
      <c r="AJ51" s="122">
        <f>'Cash Flow Waterfall'!AJ65</f>
        <v>1</v>
      </c>
      <c r="AK51" s="122">
        <f>'Cash Flow Waterfall'!AK65</f>
        <v>1</v>
      </c>
      <c r="AL51" s="122">
        <f>'Cash Flow Waterfall'!AL65</f>
        <v>1</v>
      </c>
      <c r="AM51" s="122">
        <f>'Cash Flow Waterfall'!AM65</f>
        <v>1</v>
      </c>
      <c r="AN51" s="122">
        <f>'Cash Flow Waterfall'!AN65</f>
        <v>1</v>
      </c>
      <c r="AO51" s="122">
        <f>'Cash Flow Waterfall'!AO65</f>
        <v>1</v>
      </c>
      <c r="AP51" s="122">
        <f>'Cash Flow Waterfall'!AP65</f>
        <v>1</v>
      </c>
      <c r="AQ51" s="122">
        <f>'Cash Flow Waterfall'!AQ65</f>
        <v>1</v>
      </c>
    </row>
    <row r="52" spans="1:43">
      <c r="B52" s="3" t="s">
        <v>198</v>
      </c>
      <c r="E52" s="3" t="str">
        <f t="shared" si="12"/>
        <v>CADmm</v>
      </c>
      <c r="F52" s="3" t="s">
        <v>57</v>
      </c>
      <c r="I52" s="70">
        <f>-'Cash Flow Waterfall'!I68</f>
        <v>0</v>
      </c>
      <c r="J52" s="70">
        <f>-'Cash Flow Waterfall'!J68</f>
        <v>0</v>
      </c>
      <c r="K52" s="70">
        <f>-'Cash Flow Waterfall'!K68</f>
        <v>0</v>
      </c>
      <c r="L52" s="70">
        <f>-'Cash Flow Waterfall'!L68</f>
        <v>0</v>
      </c>
      <c r="M52" s="70">
        <f>-'Cash Flow Waterfall'!M68</f>
        <v>0</v>
      </c>
      <c r="N52" s="70">
        <f>-'Cash Flow Waterfall'!N68</f>
        <v>122.65362900275656</v>
      </c>
      <c r="O52" s="70">
        <f>-'Cash Flow Waterfall'!O68</f>
        <v>401.81405417051951</v>
      </c>
      <c r="P52" s="70">
        <f>-'Cash Flow Waterfall'!P68</f>
        <v>404.64452321797307</v>
      </c>
      <c r="Q52" s="70">
        <f>-'Cash Flow Waterfall'!Q68</f>
        <v>407.46645240711428</v>
      </c>
      <c r="R52" s="70">
        <f>-'Cash Flow Waterfall'!R68</f>
        <v>410.27967094077763</v>
      </c>
      <c r="S52" s="70">
        <f>-'Cash Flow Waterfall'!S68</f>
        <v>413.0840046058525</v>
      </c>
      <c r="T52" s="70">
        <f>-'Cash Flow Waterfall'!T68</f>
        <v>415.87927570496817</v>
      </c>
      <c r="U52" s="70">
        <f>-'Cash Flow Waterfall'!U68</f>
        <v>313.34499048680487</v>
      </c>
      <c r="V52" s="70">
        <f>-'Cash Flow Waterfall'!V68</f>
        <v>423.30127657501731</v>
      </c>
      <c r="W52" s="70">
        <f>-'Cash Flow Waterfall'!W68</f>
        <v>426.06825789573247</v>
      </c>
      <c r="X52" s="70">
        <f>-'Cash Flow Waterfall'!X68</f>
        <v>428.82542960360104</v>
      </c>
      <c r="Y52" s="70">
        <f>-'Cash Flow Waterfall'!Y68</f>
        <v>431.57259550636581</v>
      </c>
      <c r="Z52" s="70">
        <f>-'Cash Flow Waterfall'!Z68</f>
        <v>434.30955548792474</v>
      </c>
      <c r="AA52" s="70">
        <f>-'Cash Flow Waterfall'!AA68</f>
        <v>437.03610542985371</v>
      </c>
      <c r="AB52" s="70">
        <f>-'Cash Flow Waterfall'!AB68</f>
        <v>439.75203713136005</v>
      </c>
      <c r="AC52" s="70">
        <f>-'Cash Flow Waterfall'!AC68</f>
        <v>342.55045689290426</v>
      </c>
      <c r="AD52" s="70">
        <f>-'Cash Flow Waterfall'!AD68</f>
        <v>455.52793199321121</v>
      </c>
      <c r="AE52" s="70">
        <f>-'Cash Flow Waterfall'!AE68</f>
        <v>461.08482641108191</v>
      </c>
      <c r="AF52" s="70">
        <f>-'Cash Flow Waterfall'!AF68</f>
        <v>465.38659169349182</v>
      </c>
      <c r="AG52" s="70">
        <f>-'Cash Flow Waterfall'!AG68</f>
        <v>464.7886985273617</v>
      </c>
      <c r="AH52" s="70">
        <f>-'Cash Flow Waterfall'!AH68</f>
        <v>464.17884749790892</v>
      </c>
      <c r="AI52" s="70">
        <f>-'Cash Flow Waterfall'!AI68</f>
        <v>463.55679944786698</v>
      </c>
      <c r="AJ52" s="70">
        <f>-'Cash Flow Waterfall'!AJ68</f>
        <v>462.92231043682443</v>
      </c>
      <c r="AK52" s="70">
        <f>-'Cash Flow Waterfall'!AK68</f>
        <v>356.95481914556103</v>
      </c>
      <c r="AL52" s="70">
        <f>-'Cash Flow Waterfall'!AL68</f>
        <v>463.47438427847237</v>
      </c>
      <c r="AM52" s="70">
        <f>-'Cash Flow Waterfall'!AM68</f>
        <v>461.55252220892203</v>
      </c>
      <c r="AN52" s="70">
        <f>-'Cash Flow Waterfall'!AN68</f>
        <v>460.66003099675049</v>
      </c>
      <c r="AO52" s="70">
        <f>-'Cash Flow Waterfall'!AO68</f>
        <v>459.00073161668524</v>
      </c>
      <c r="AP52" s="70">
        <f>-'Cash Flow Waterfall'!AP68</f>
        <v>457.32683999901906</v>
      </c>
      <c r="AQ52" s="70">
        <f>-'Cash Flow Waterfall'!AQ68</f>
        <v>456.56775179899932</v>
      </c>
    </row>
    <row r="53" spans="1:43">
      <c r="B53" s="118" t="s">
        <v>287</v>
      </c>
      <c r="C53" s="118"/>
      <c r="D53" s="118"/>
      <c r="E53" s="118" t="str">
        <f t="shared" si="12"/>
        <v>CADmm</v>
      </c>
      <c r="F53" s="118" t="s">
        <v>57</v>
      </c>
      <c r="G53" s="118"/>
      <c r="H53" s="118"/>
      <c r="I53" s="122">
        <f>-I25</f>
        <v>-79.415035253895212</v>
      </c>
      <c r="J53" s="122">
        <f t="shared" ref="J53:AQ53" si="14">-J25</f>
        <v>-47.41010422518243</v>
      </c>
      <c r="K53" s="122">
        <f t="shared" si="14"/>
        <v>-47.543139455745525</v>
      </c>
      <c r="L53" s="122">
        <f t="shared" si="14"/>
        <v>-57.868421065176769</v>
      </c>
      <c r="M53" s="122">
        <f t="shared" si="14"/>
        <v>0</v>
      </c>
      <c r="N53" s="122">
        <f t="shared" si="14"/>
        <v>0</v>
      </c>
      <c r="O53" s="122">
        <f t="shared" si="14"/>
        <v>0</v>
      </c>
      <c r="P53" s="122">
        <f t="shared" si="14"/>
        <v>0</v>
      </c>
      <c r="Q53" s="122">
        <f t="shared" si="14"/>
        <v>0</v>
      </c>
      <c r="R53" s="122">
        <f t="shared" si="14"/>
        <v>0</v>
      </c>
      <c r="S53" s="122">
        <f t="shared" si="14"/>
        <v>0</v>
      </c>
      <c r="T53" s="122">
        <f t="shared" si="14"/>
        <v>0</v>
      </c>
      <c r="U53" s="122">
        <f t="shared" si="14"/>
        <v>0</v>
      </c>
      <c r="V53" s="122">
        <f t="shared" si="14"/>
        <v>0</v>
      </c>
      <c r="W53" s="122">
        <f t="shared" si="14"/>
        <v>0</v>
      </c>
      <c r="X53" s="122">
        <f t="shared" si="14"/>
        <v>0</v>
      </c>
      <c r="Y53" s="122">
        <f t="shared" si="14"/>
        <v>0</v>
      </c>
      <c r="Z53" s="122">
        <f t="shared" si="14"/>
        <v>0</v>
      </c>
      <c r="AA53" s="122">
        <f t="shared" si="14"/>
        <v>0</v>
      </c>
      <c r="AB53" s="122">
        <f t="shared" si="14"/>
        <v>0</v>
      </c>
      <c r="AC53" s="122">
        <f t="shared" si="14"/>
        <v>0</v>
      </c>
      <c r="AD53" s="122">
        <f t="shared" si="14"/>
        <v>0</v>
      </c>
      <c r="AE53" s="122">
        <f t="shared" si="14"/>
        <v>0</v>
      </c>
      <c r="AF53" s="122">
        <f t="shared" si="14"/>
        <v>0</v>
      </c>
      <c r="AG53" s="122">
        <f t="shared" si="14"/>
        <v>0</v>
      </c>
      <c r="AH53" s="122">
        <f t="shared" si="14"/>
        <v>0</v>
      </c>
      <c r="AI53" s="122">
        <f t="shared" si="14"/>
        <v>0</v>
      </c>
      <c r="AJ53" s="122">
        <f t="shared" si="14"/>
        <v>0</v>
      </c>
      <c r="AK53" s="122">
        <f t="shared" si="14"/>
        <v>0</v>
      </c>
      <c r="AL53" s="122">
        <f t="shared" si="14"/>
        <v>0</v>
      </c>
      <c r="AM53" s="122">
        <f t="shared" si="14"/>
        <v>0</v>
      </c>
      <c r="AN53" s="122">
        <f t="shared" si="14"/>
        <v>0</v>
      </c>
      <c r="AO53" s="122">
        <f t="shared" si="14"/>
        <v>0</v>
      </c>
      <c r="AP53" s="122">
        <f t="shared" si="14"/>
        <v>0</v>
      </c>
      <c r="AQ53" s="122">
        <f t="shared" si="14"/>
        <v>0</v>
      </c>
    </row>
    <row r="54" spans="1:43">
      <c r="B54" s="190" t="s">
        <v>288</v>
      </c>
      <c r="C54" s="190"/>
      <c r="D54" s="190"/>
      <c r="E54" s="190" t="str">
        <f t="shared" si="12"/>
        <v>CADmm</v>
      </c>
      <c r="F54" s="190" t="s">
        <v>57</v>
      </c>
      <c r="G54" s="190"/>
      <c r="H54" s="190"/>
      <c r="I54" s="191">
        <f>I52+I53</f>
        <v>-79.415035253895212</v>
      </c>
      <c r="J54" s="191">
        <f t="shared" ref="J54:AQ54" si="15">J52+J53</f>
        <v>-47.41010422518243</v>
      </c>
      <c r="K54" s="191">
        <f t="shared" si="15"/>
        <v>-47.543139455745525</v>
      </c>
      <c r="L54" s="191">
        <f t="shared" si="15"/>
        <v>-57.868421065176769</v>
      </c>
      <c r="M54" s="191">
        <f t="shared" si="15"/>
        <v>0</v>
      </c>
      <c r="N54" s="191">
        <f t="shared" si="15"/>
        <v>122.65362900275656</v>
      </c>
      <c r="O54" s="191">
        <f t="shared" si="15"/>
        <v>401.81405417051951</v>
      </c>
      <c r="P54" s="191">
        <f t="shared" si="15"/>
        <v>404.64452321797307</v>
      </c>
      <c r="Q54" s="191">
        <f t="shared" si="15"/>
        <v>407.46645240711428</v>
      </c>
      <c r="R54" s="191">
        <f t="shared" si="15"/>
        <v>410.27967094077763</v>
      </c>
      <c r="S54" s="191">
        <f t="shared" si="15"/>
        <v>413.0840046058525</v>
      </c>
      <c r="T54" s="191">
        <f t="shared" si="15"/>
        <v>415.87927570496817</v>
      </c>
      <c r="U54" s="191">
        <f t="shared" si="15"/>
        <v>313.34499048680487</v>
      </c>
      <c r="V54" s="191">
        <f t="shared" si="15"/>
        <v>423.30127657501731</v>
      </c>
      <c r="W54" s="191">
        <f t="shared" si="15"/>
        <v>426.06825789573247</v>
      </c>
      <c r="X54" s="191">
        <f t="shared" si="15"/>
        <v>428.82542960360104</v>
      </c>
      <c r="Y54" s="191">
        <f t="shared" si="15"/>
        <v>431.57259550636581</v>
      </c>
      <c r="Z54" s="191">
        <f t="shared" si="15"/>
        <v>434.30955548792474</v>
      </c>
      <c r="AA54" s="191">
        <f t="shared" si="15"/>
        <v>437.03610542985371</v>
      </c>
      <c r="AB54" s="191">
        <f t="shared" si="15"/>
        <v>439.75203713136005</v>
      </c>
      <c r="AC54" s="191">
        <f t="shared" si="15"/>
        <v>342.55045689290426</v>
      </c>
      <c r="AD54" s="191">
        <f t="shared" si="15"/>
        <v>455.52793199321121</v>
      </c>
      <c r="AE54" s="191">
        <f t="shared" si="15"/>
        <v>461.08482641108191</v>
      </c>
      <c r="AF54" s="191">
        <f t="shared" si="15"/>
        <v>465.38659169349182</v>
      </c>
      <c r="AG54" s="191">
        <f t="shared" si="15"/>
        <v>464.7886985273617</v>
      </c>
      <c r="AH54" s="191">
        <f t="shared" si="15"/>
        <v>464.17884749790892</v>
      </c>
      <c r="AI54" s="191">
        <f t="shared" si="15"/>
        <v>463.55679944786698</v>
      </c>
      <c r="AJ54" s="191">
        <f t="shared" si="15"/>
        <v>462.92231043682443</v>
      </c>
      <c r="AK54" s="191">
        <f t="shared" si="15"/>
        <v>356.95481914556103</v>
      </c>
      <c r="AL54" s="191">
        <f t="shared" si="15"/>
        <v>463.47438427847237</v>
      </c>
      <c r="AM54" s="191">
        <f t="shared" si="15"/>
        <v>461.55252220892203</v>
      </c>
      <c r="AN54" s="191">
        <f t="shared" si="15"/>
        <v>460.66003099675049</v>
      </c>
      <c r="AO54" s="191">
        <f t="shared" si="15"/>
        <v>459.00073161668524</v>
      </c>
      <c r="AP54" s="191">
        <f t="shared" si="15"/>
        <v>457.32683999901906</v>
      </c>
      <c r="AQ54" s="191">
        <f t="shared" si="15"/>
        <v>456.56775179899932</v>
      </c>
    </row>
    <row r="55" spans="1:43">
      <c r="B55" s="15" t="s">
        <v>286</v>
      </c>
      <c r="C55" s="15"/>
      <c r="D55" s="15"/>
      <c r="E55" s="15" t="s">
        <v>51</v>
      </c>
      <c r="F55" s="15" t="s">
        <v>57</v>
      </c>
      <c r="G55" s="15"/>
      <c r="H55" s="108">
        <f>IRR(I54:AQ54)</f>
        <v>0.45758288096636468</v>
      </c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</row>
    <row r="57" spans="1:43">
      <c r="A57" s="3" t="s">
        <v>0</v>
      </c>
      <c r="B57" s="4" t="s">
        <v>146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>
      <c r="I58" s="133">
        <v>1</v>
      </c>
      <c r="J58" s="133">
        <f>IF(J59="","",I58+1)</f>
        <v>2</v>
      </c>
      <c r="K58" s="133">
        <f t="shared" ref="K58:AQ58" si="16">IF(K59="","",J58+1)</f>
        <v>3</v>
      </c>
      <c r="L58" s="133">
        <f t="shared" si="16"/>
        <v>4</v>
      </c>
      <c r="M58" s="133">
        <f t="shared" si="16"/>
        <v>5</v>
      </c>
      <c r="N58" s="133">
        <f t="shared" si="16"/>
        <v>6</v>
      </c>
      <c r="O58" s="133">
        <f t="shared" si="16"/>
        <v>7</v>
      </c>
      <c r="P58" s="133">
        <f t="shared" si="16"/>
        <v>8</v>
      </c>
      <c r="Q58" s="133">
        <f t="shared" si="16"/>
        <v>9</v>
      </c>
      <c r="R58" s="133">
        <f t="shared" si="16"/>
        <v>10</v>
      </c>
      <c r="S58" s="133">
        <f t="shared" si="16"/>
        <v>11</v>
      </c>
      <c r="T58" s="133">
        <f t="shared" si="16"/>
        <v>12</v>
      </c>
      <c r="U58" s="133">
        <f t="shared" si="16"/>
        <v>13</v>
      </c>
      <c r="V58" s="133">
        <f t="shared" si="16"/>
        <v>14</v>
      </c>
      <c r="W58" s="133">
        <f t="shared" si="16"/>
        <v>15</v>
      </c>
      <c r="X58" s="133">
        <f t="shared" si="16"/>
        <v>16</v>
      </c>
      <c r="Y58" s="133">
        <f t="shared" si="16"/>
        <v>17</v>
      </c>
      <c r="Z58" s="133">
        <f t="shared" si="16"/>
        <v>18</v>
      </c>
      <c r="AA58" s="133">
        <f t="shared" si="16"/>
        <v>19</v>
      </c>
      <c r="AB58" s="133">
        <f t="shared" si="16"/>
        <v>20</v>
      </c>
      <c r="AC58" s="133">
        <f t="shared" si="16"/>
        <v>21</v>
      </c>
      <c r="AD58" s="133">
        <f t="shared" si="16"/>
        <v>22</v>
      </c>
      <c r="AE58" s="133">
        <f t="shared" si="16"/>
        <v>23</v>
      </c>
      <c r="AF58" s="133">
        <f t="shared" si="16"/>
        <v>24</v>
      </c>
      <c r="AG58" s="133">
        <f t="shared" si="16"/>
        <v>25</v>
      </c>
      <c r="AH58" s="133">
        <f t="shared" si="16"/>
        <v>26</v>
      </c>
      <c r="AI58" s="133">
        <f t="shared" si="16"/>
        <v>27</v>
      </c>
      <c r="AJ58" s="133">
        <f t="shared" si="16"/>
        <v>28</v>
      </c>
      <c r="AK58" s="133">
        <f t="shared" si="16"/>
        <v>29</v>
      </c>
      <c r="AL58" s="133">
        <f t="shared" si="16"/>
        <v>30</v>
      </c>
      <c r="AM58" s="133">
        <f t="shared" si="16"/>
        <v>31</v>
      </c>
      <c r="AN58" s="133">
        <f t="shared" si="16"/>
        <v>32</v>
      </c>
      <c r="AO58" s="133">
        <f t="shared" si="16"/>
        <v>33</v>
      </c>
      <c r="AP58" s="133">
        <f t="shared" si="16"/>
        <v>34</v>
      </c>
      <c r="AQ58" s="133">
        <f t="shared" si="16"/>
        <v>35</v>
      </c>
    </row>
    <row r="59" spans="1:43" ht="12" thickBot="1">
      <c r="B59" s="9"/>
      <c r="C59" s="8"/>
      <c r="D59" s="8"/>
      <c r="E59" s="9" t="s">
        <v>48</v>
      </c>
      <c r="F59" s="9" t="s">
        <v>72</v>
      </c>
      <c r="G59" s="8"/>
      <c r="H59" s="8"/>
      <c r="I59" s="9">
        <f>YEAR(Now)</f>
        <v>2016</v>
      </c>
      <c r="J59" s="9">
        <f t="shared" ref="J59:AQ59" si="17">IFERROR(IF(I59+1&gt;End,"",I59+1),"")</f>
        <v>2017</v>
      </c>
      <c r="K59" s="9">
        <f t="shared" si="17"/>
        <v>2018</v>
      </c>
      <c r="L59" s="9">
        <f t="shared" si="17"/>
        <v>2019</v>
      </c>
      <c r="M59" s="9">
        <f t="shared" si="17"/>
        <v>2020</v>
      </c>
      <c r="N59" s="9">
        <f t="shared" si="17"/>
        <v>2021</v>
      </c>
      <c r="O59" s="9">
        <f t="shared" si="17"/>
        <v>2022</v>
      </c>
      <c r="P59" s="9">
        <f t="shared" si="17"/>
        <v>2023</v>
      </c>
      <c r="Q59" s="9">
        <f t="shared" si="17"/>
        <v>2024</v>
      </c>
      <c r="R59" s="9">
        <f t="shared" si="17"/>
        <v>2025</v>
      </c>
      <c r="S59" s="9">
        <f t="shared" si="17"/>
        <v>2026</v>
      </c>
      <c r="T59" s="9">
        <f t="shared" si="17"/>
        <v>2027</v>
      </c>
      <c r="U59" s="9">
        <f t="shared" si="17"/>
        <v>2028</v>
      </c>
      <c r="V59" s="9">
        <f t="shared" si="17"/>
        <v>2029</v>
      </c>
      <c r="W59" s="9">
        <f t="shared" si="17"/>
        <v>2030</v>
      </c>
      <c r="X59" s="9">
        <f t="shared" si="17"/>
        <v>2031</v>
      </c>
      <c r="Y59" s="9">
        <f t="shared" si="17"/>
        <v>2032</v>
      </c>
      <c r="Z59" s="9">
        <f t="shared" si="17"/>
        <v>2033</v>
      </c>
      <c r="AA59" s="9">
        <f t="shared" si="17"/>
        <v>2034</v>
      </c>
      <c r="AB59" s="9">
        <f t="shared" si="17"/>
        <v>2035</v>
      </c>
      <c r="AC59" s="9">
        <f t="shared" si="17"/>
        <v>2036</v>
      </c>
      <c r="AD59" s="9">
        <f t="shared" si="17"/>
        <v>2037</v>
      </c>
      <c r="AE59" s="9">
        <f t="shared" si="17"/>
        <v>2038</v>
      </c>
      <c r="AF59" s="9">
        <f t="shared" si="17"/>
        <v>2039</v>
      </c>
      <c r="AG59" s="9">
        <f t="shared" si="17"/>
        <v>2040</v>
      </c>
      <c r="AH59" s="9">
        <f t="shared" si="17"/>
        <v>2041</v>
      </c>
      <c r="AI59" s="9">
        <f t="shared" si="17"/>
        <v>2042</v>
      </c>
      <c r="AJ59" s="9">
        <f t="shared" si="17"/>
        <v>2043</v>
      </c>
      <c r="AK59" s="9">
        <f t="shared" si="17"/>
        <v>2044</v>
      </c>
      <c r="AL59" s="9">
        <f t="shared" si="17"/>
        <v>2045</v>
      </c>
      <c r="AM59" s="9">
        <f t="shared" si="17"/>
        <v>2046</v>
      </c>
      <c r="AN59" s="9">
        <f t="shared" si="17"/>
        <v>2047</v>
      </c>
      <c r="AO59" s="9">
        <f t="shared" si="17"/>
        <v>2048</v>
      </c>
      <c r="AP59" s="9">
        <f t="shared" si="17"/>
        <v>2049</v>
      </c>
      <c r="AQ59" s="9">
        <f t="shared" si="17"/>
        <v>2050</v>
      </c>
    </row>
    <row r="60" spans="1:43">
      <c r="B60" s="3" t="s">
        <v>151</v>
      </c>
      <c r="E60" s="3" t="str">
        <f>Currency&amp;"mm"</f>
        <v>CADmm</v>
      </c>
      <c r="F60" s="3" t="s">
        <v>57</v>
      </c>
      <c r="H60" s="70"/>
      <c r="I60" s="70">
        <f>'Debt Schedule'!I9</f>
        <v>0</v>
      </c>
      <c r="J60" s="70">
        <f>'Debt Schedule'!J9</f>
        <v>166.16560175781453</v>
      </c>
      <c r="K60" s="70">
        <f>'Debt Schedule'!K9</f>
        <v>270.99549414035221</v>
      </c>
      <c r="L60" s="70">
        <f>'Debt Schedule'!L9</f>
        <v>379.65610766654061</v>
      </c>
      <c r="M60" s="70">
        <f>'Debt Schedule'!M9</f>
        <v>513.60336082338995</v>
      </c>
      <c r="N60" s="70">
        <f>'Debt Schedule'!N9</f>
        <v>484.1386098885755</v>
      </c>
      <c r="O60" s="70">
        <f>'Debt Schedule'!O9</f>
        <v>454.67385895376094</v>
      </c>
      <c r="P60" s="70">
        <f>'Debt Schedule'!P9</f>
        <v>425.20910801894632</v>
      </c>
      <c r="Q60" s="70">
        <f>'Debt Schedule'!Q9</f>
        <v>395.74435708413176</v>
      </c>
      <c r="R60" s="70">
        <f>'Debt Schedule'!R9</f>
        <v>366.27960614931726</v>
      </c>
      <c r="S60" s="70">
        <f>'Debt Schedule'!S9</f>
        <v>336.8148552145027</v>
      </c>
      <c r="T60" s="70">
        <f>'Debt Schedule'!T9</f>
        <v>307.35010427968808</v>
      </c>
      <c r="U60" s="70">
        <f>'Debt Schedule'!U9</f>
        <v>277.88535334487358</v>
      </c>
      <c r="V60" s="70">
        <f>'Debt Schedule'!V9</f>
        <v>248.42060241005902</v>
      </c>
      <c r="W60" s="70">
        <f>'Debt Schedule'!W9</f>
        <v>218.95585147524446</v>
      </c>
      <c r="X60" s="70">
        <f>'Debt Schedule'!X9</f>
        <v>189.4911005404299</v>
      </c>
      <c r="Y60" s="70">
        <f>'Debt Schedule'!Y9</f>
        <v>160.02634960561537</v>
      </c>
      <c r="Z60" s="70">
        <f>'Debt Schedule'!Z9</f>
        <v>130.56159867080083</v>
      </c>
      <c r="AA60" s="70">
        <f>'Debt Schedule'!AA9</f>
        <v>101.09684773598626</v>
      </c>
      <c r="AB60" s="70">
        <f>'Debt Schedule'!AB9</f>
        <v>71.632096801171713</v>
      </c>
      <c r="AC60" s="70">
        <f>'Debt Schedule'!AC9</f>
        <v>42.167345866357167</v>
      </c>
      <c r="AD60" s="70">
        <f>'Debt Schedule'!AD9</f>
        <v>20.188426794925345</v>
      </c>
      <c r="AE60" s="70">
        <f>'Debt Schedule'!AE9</f>
        <v>4.614497553125811</v>
      </c>
      <c r="AF60" s="70">
        <f>'Debt Schedule'!AF9</f>
        <v>2.3092638912203256E-14</v>
      </c>
      <c r="AG60" s="70">
        <f>'Debt Schedule'!AG9</f>
        <v>2.3092638912203256E-14</v>
      </c>
      <c r="AH60" s="70">
        <f>'Debt Schedule'!AH9</f>
        <v>2.3092638912203256E-14</v>
      </c>
      <c r="AI60" s="70">
        <f>'Debt Schedule'!AI9</f>
        <v>2.3092638912203256E-14</v>
      </c>
      <c r="AJ60" s="70">
        <f>'Debt Schedule'!AJ9</f>
        <v>2.3092638912203256E-14</v>
      </c>
      <c r="AK60" s="70">
        <f>'Debt Schedule'!AK9</f>
        <v>2.3092638912203256E-14</v>
      </c>
      <c r="AL60" s="70">
        <f>'Debt Schedule'!AL9</f>
        <v>2.3092638912203256E-14</v>
      </c>
      <c r="AM60" s="70">
        <f>'Debt Schedule'!AM9</f>
        <v>2.3092638912203256E-14</v>
      </c>
      <c r="AN60" s="70">
        <f>'Debt Schedule'!AN9</f>
        <v>2.3092638912203256E-14</v>
      </c>
      <c r="AO60" s="70">
        <f>'Debt Schedule'!AO9</f>
        <v>2.3092638912203256E-14</v>
      </c>
      <c r="AP60" s="70">
        <f>'Debt Schedule'!AP9</f>
        <v>2.3092638912203256E-14</v>
      </c>
      <c r="AQ60" s="70">
        <f>'Debt Schedule'!AQ9</f>
        <v>2.3092638912203256E-14</v>
      </c>
    </row>
    <row r="61" spans="1:43">
      <c r="B61" s="39" t="s">
        <v>171</v>
      </c>
      <c r="E61" s="3" t="str">
        <f>Currency&amp;"mm"</f>
        <v>CADmm</v>
      </c>
      <c r="F61" s="3" t="s">
        <v>57</v>
      </c>
      <c r="I61" s="70">
        <f>'Debt Schedule'!I10</f>
        <v>129.94377459066629</v>
      </c>
      <c r="J61" s="70">
        <f>'Debt Schedule'!J10</f>
        <v>77.575334155063913</v>
      </c>
      <c r="K61" s="70">
        <f>'Debt Schedule'!K10</f>
        <v>77.793014597534778</v>
      </c>
      <c r="L61" s="70">
        <f>'Debt Schedule'!L10</f>
        <v>94.687876656735043</v>
      </c>
      <c r="M61" s="70">
        <f>'Debt Schedule'!M10</f>
        <v>0</v>
      </c>
      <c r="N61" s="70">
        <f>'Debt Schedule'!N10</f>
        <v>0</v>
      </c>
      <c r="O61" s="70">
        <f>'Debt Schedule'!O10</f>
        <v>0</v>
      </c>
      <c r="P61" s="70">
        <f>'Debt Schedule'!P10</f>
        <v>0</v>
      </c>
      <c r="Q61" s="70">
        <f>'Debt Schedule'!Q10</f>
        <v>0</v>
      </c>
      <c r="R61" s="70">
        <f>'Debt Schedule'!R10</f>
        <v>0</v>
      </c>
      <c r="S61" s="70">
        <f>'Debt Schedule'!S10</f>
        <v>0</v>
      </c>
      <c r="T61" s="70">
        <f>'Debt Schedule'!T10</f>
        <v>0</v>
      </c>
      <c r="U61" s="70">
        <f>'Debt Schedule'!U10</f>
        <v>0</v>
      </c>
      <c r="V61" s="70">
        <f>'Debt Schedule'!V10</f>
        <v>0</v>
      </c>
      <c r="W61" s="70">
        <f>'Debt Schedule'!W10</f>
        <v>0</v>
      </c>
      <c r="X61" s="70">
        <f>'Debt Schedule'!X10</f>
        <v>0</v>
      </c>
      <c r="Y61" s="70">
        <f>'Debt Schedule'!Y10</f>
        <v>0</v>
      </c>
      <c r="Z61" s="70">
        <f>'Debt Schedule'!Z10</f>
        <v>0</v>
      </c>
      <c r="AA61" s="70">
        <f>'Debt Schedule'!AA10</f>
        <v>0</v>
      </c>
      <c r="AB61" s="70">
        <f>'Debt Schedule'!AB10</f>
        <v>0</v>
      </c>
      <c r="AC61" s="70">
        <f>'Debt Schedule'!AC10</f>
        <v>0</v>
      </c>
      <c r="AD61" s="70">
        <f>'Debt Schedule'!AD10</f>
        <v>0</v>
      </c>
      <c r="AE61" s="70">
        <f>'Debt Schedule'!AE10</f>
        <v>0</v>
      </c>
      <c r="AF61" s="70">
        <f>'Debt Schedule'!AF10</f>
        <v>0</v>
      </c>
      <c r="AG61" s="70">
        <f>'Debt Schedule'!AG10</f>
        <v>0</v>
      </c>
      <c r="AH61" s="70">
        <f>'Debt Schedule'!AH10</f>
        <v>0</v>
      </c>
      <c r="AI61" s="70">
        <f>'Debt Schedule'!AI10</f>
        <v>0</v>
      </c>
      <c r="AJ61" s="70">
        <f>'Debt Schedule'!AJ10</f>
        <v>0</v>
      </c>
      <c r="AK61" s="70">
        <f>'Debt Schedule'!AK10</f>
        <v>0</v>
      </c>
      <c r="AL61" s="70">
        <f>'Debt Schedule'!AL10</f>
        <v>0</v>
      </c>
      <c r="AM61" s="70">
        <f>'Debt Schedule'!AM10</f>
        <v>0</v>
      </c>
      <c r="AN61" s="70">
        <f>'Debt Schedule'!AN10</f>
        <v>0</v>
      </c>
      <c r="AO61" s="70">
        <f>'Debt Schedule'!AO10</f>
        <v>0</v>
      </c>
      <c r="AP61" s="70">
        <f>'Debt Schedule'!AP10</f>
        <v>0</v>
      </c>
      <c r="AQ61" s="70">
        <f>'Debt Schedule'!AQ10</f>
        <v>0</v>
      </c>
    </row>
    <row r="62" spans="1:43">
      <c r="B62" s="39" t="s">
        <v>181</v>
      </c>
      <c r="E62" s="3" t="str">
        <f>Currency&amp;"mm"</f>
        <v>CADmm</v>
      </c>
      <c r="F62" s="3" t="s">
        <v>57</v>
      </c>
      <c r="I62" s="70">
        <f>'Debt Schedule'!I11</f>
        <v>4.3685045273572687</v>
      </c>
      <c r="J62" s="70">
        <f>'Debt Schedule'!J11</f>
        <v>7.1235277862805324</v>
      </c>
      <c r="K62" s="70">
        <f>'Debt Schedule'!K11</f>
        <v>9.9786220714497684</v>
      </c>
      <c r="L62" s="70">
        <f>'Debt Schedule'!L11</f>
        <v>13.497821240238666</v>
      </c>
      <c r="M62" s="70">
        <f>'Debt Schedule'!M11</f>
        <v>0</v>
      </c>
      <c r="N62" s="70">
        <f>'Debt Schedule'!N11</f>
        <v>0</v>
      </c>
      <c r="O62" s="70">
        <f>'Debt Schedule'!O11</f>
        <v>0</v>
      </c>
      <c r="P62" s="70">
        <f>'Debt Schedule'!P11</f>
        <v>0</v>
      </c>
      <c r="Q62" s="70">
        <f>'Debt Schedule'!Q11</f>
        <v>0</v>
      </c>
      <c r="R62" s="70">
        <f>'Debt Schedule'!R11</f>
        <v>0</v>
      </c>
      <c r="S62" s="70">
        <f>'Debt Schedule'!S11</f>
        <v>0</v>
      </c>
      <c r="T62" s="70">
        <f>'Debt Schedule'!T11</f>
        <v>0</v>
      </c>
      <c r="U62" s="70">
        <f>'Debt Schedule'!U11</f>
        <v>0</v>
      </c>
      <c r="V62" s="70">
        <f>'Debt Schedule'!V11</f>
        <v>0</v>
      </c>
      <c r="W62" s="70">
        <f>'Debt Schedule'!W11</f>
        <v>0</v>
      </c>
      <c r="X62" s="70">
        <f>'Debt Schedule'!X11</f>
        <v>0</v>
      </c>
      <c r="Y62" s="70">
        <f>'Debt Schedule'!Y11</f>
        <v>0</v>
      </c>
      <c r="Z62" s="70">
        <f>'Debt Schedule'!Z11</f>
        <v>0</v>
      </c>
      <c r="AA62" s="70">
        <f>'Debt Schedule'!AA11</f>
        <v>0</v>
      </c>
      <c r="AB62" s="70">
        <f>'Debt Schedule'!AB11</f>
        <v>0</v>
      </c>
      <c r="AC62" s="70">
        <f>'Debt Schedule'!AC11</f>
        <v>0</v>
      </c>
      <c r="AD62" s="70">
        <f>'Debt Schedule'!AD11</f>
        <v>0</v>
      </c>
      <c r="AE62" s="70">
        <f>'Debt Schedule'!AE11</f>
        <v>0</v>
      </c>
      <c r="AF62" s="70">
        <f>'Debt Schedule'!AF11</f>
        <v>0</v>
      </c>
      <c r="AG62" s="70">
        <f>'Debt Schedule'!AG11</f>
        <v>0</v>
      </c>
      <c r="AH62" s="70">
        <f>'Debt Schedule'!AH11</f>
        <v>0</v>
      </c>
      <c r="AI62" s="70">
        <f>'Debt Schedule'!AI11</f>
        <v>0</v>
      </c>
      <c r="AJ62" s="70">
        <f>'Debt Schedule'!AJ11</f>
        <v>0</v>
      </c>
      <c r="AK62" s="70">
        <f>'Debt Schedule'!AK11</f>
        <v>0</v>
      </c>
      <c r="AL62" s="70">
        <f>'Debt Schedule'!AL11</f>
        <v>0</v>
      </c>
      <c r="AM62" s="70">
        <f>'Debt Schedule'!AM11</f>
        <v>0</v>
      </c>
      <c r="AN62" s="70">
        <f>'Debt Schedule'!AN11</f>
        <v>0</v>
      </c>
      <c r="AO62" s="70">
        <f>'Debt Schedule'!AO11</f>
        <v>0</v>
      </c>
      <c r="AP62" s="70">
        <f>'Debt Schedule'!AP11</f>
        <v>0</v>
      </c>
      <c r="AQ62" s="70">
        <f>'Debt Schedule'!AQ11</f>
        <v>0</v>
      </c>
    </row>
    <row r="63" spans="1:43">
      <c r="B63" s="39" t="s">
        <v>172</v>
      </c>
      <c r="E63" s="3" t="str">
        <f>Currency&amp;"mm"</f>
        <v>CADmm</v>
      </c>
      <c r="F63" s="3" t="s">
        <v>57</v>
      </c>
      <c r="I63" s="70">
        <f>'Debt Schedule'!I12</f>
        <v>0</v>
      </c>
      <c r="J63" s="70">
        <f>'Debt Schedule'!J12</f>
        <v>0</v>
      </c>
      <c r="K63" s="70">
        <f>'Debt Schedule'!K12</f>
        <v>0</v>
      </c>
      <c r="L63" s="70">
        <f>'Debt Schedule'!L12</f>
        <v>0</v>
      </c>
      <c r="M63" s="70">
        <f>'Debt Schedule'!M12</f>
        <v>-23.985035090477677</v>
      </c>
      <c r="N63" s="70">
        <f>'Debt Schedule'!N12</f>
        <v>-23.985035090477677</v>
      </c>
      <c r="O63" s="70">
        <f>'Debt Schedule'!O12</f>
        <v>-23.985035090477677</v>
      </c>
      <c r="P63" s="70">
        <f>'Debt Schedule'!P12</f>
        <v>-23.985035090477677</v>
      </c>
      <c r="Q63" s="70">
        <f>'Debt Schedule'!Q12</f>
        <v>-23.985035090477677</v>
      </c>
      <c r="R63" s="70">
        <f>'Debt Schedule'!R12</f>
        <v>-23.985035090477677</v>
      </c>
      <c r="S63" s="70">
        <f>'Debt Schedule'!S12</f>
        <v>-23.985035090477677</v>
      </c>
      <c r="T63" s="70">
        <f>'Debt Schedule'!T12</f>
        <v>-23.985035090477677</v>
      </c>
      <c r="U63" s="70">
        <f>'Debt Schedule'!U12</f>
        <v>-23.985035090477677</v>
      </c>
      <c r="V63" s="70">
        <f>'Debt Schedule'!V12</f>
        <v>-23.985035090477677</v>
      </c>
      <c r="W63" s="70">
        <f>'Debt Schedule'!W12</f>
        <v>-23.985035090477677</v>
      </c>
      <c r="X63" s="70">
        <f>'Debt Schedule'!X12</f>
        <v>-23.985035090477677</v>
      </c>
      <c r="Y63" s="70">
        <f>'Debt Schedule'!Y12</f>
        <v>-23.985035090477677</v>
      </c>
      <c r="Z63" s="70">
        <f>'Debt Schedule'!Z12</f>
        <v>-23.985035090477677</v>
      </c>
      <c r="AA63" s="70">
        <f>'Debt Schedule'!AA12</f>
        <v>-23.985035090477677</v>
      </c>
      <c r="AB63" s="70">
        <f>'Debt Schedule'!AB12</f>
        <v>-23.985035090477677</v>
      </c>
      <c r="AC63" s="70">
        <f>'Debt Schedule'!AC12</f>
        <v>-16.499203227094945</v>
      </c>
      <c r="AD63" s="70">
        <f>'Debt Schedule'!AD12</f>
        <v>-10.09421339746266</v>
      </c>
      <c r="AE63" s="70">
        <f>'Debt Schedule'!AE12</f>
        <v>-4.6144975531257879</v>
      </c>
      <c r="AF63" s="70">
        <f>'Debt Schedule'!AF12</f>
        <v>0</v>
      </c>
      <c r="AG63" s="70">
        <f>'Debt Schedule'!AG12</f>
        <v>0</v>
      </c>
      <c r="AH63" s="70">
        <f>'Debt Schedule'!AH12</f>
        <v>0</v>
      </c>
      <c r="AI63" s="70">
        <f>'Debt Schedule'!AI12</f>
        <v>0</v>
      </c>
      <c r="AJ63" s="70">
        <f>'Debt Schedule'!AJ12</f>
        <v>0</v>
      </c>
      <c r="AK63" s="70">
        <f>'Debt Schedule'!AK12</f>
        <v>0</v>
      </c>
      <c r="AL63" s="70">
        <f>'Debt Schedule'!AL12</f>
        <v>0</v>
      </c>
      <c r="AM63" s="70">
        <f>'Debt Schedule'!AM12</f>
        <v>0</v>
      </c>
      <c r="AN63" s="70">
        <f>'Debt Schedule'!AN12</f>
        <v>0</v>
      </c>
      <c r="AO63" s="70">
        <f>'Debt Schedule'!AO12</f>
        <v>0</v>
      </c>
      <c r="AP63" s="70">
        <f>'Debt Schedule'!AP12</f>
        <v>0</v>
      </c>
      <c r="AQ63" s="70">
        <f>'Debt Schedule'!AQ12</f>
        <v>0</v>
      </c>
    </row>
    <row r="64" spans="1:43">
      <c r="B64" s="121" t="s">
        <v>173</v>
      </c>
      <c r="C64" s="118"/>
      <c r="D64" s="118"/>
      <c r="E64" s="118" t="str">
        <f>Currency&amp;"mm"</f>
        <v>CADmm</v>
      </c>
      <c r="F64" s="118" t="s">
        <v>57</v>
      </c>
      <c r="G64" s="118"/>
      <c r="H64" s="118"/>
      <c r="I64" s="122">
        <f>'Debt Schedule'!I13</f>
        <v>0</v>
      </c>
      <c r="J64" s="122">
        <f>'Debt Schedule'!J13</f>
        <v>0</v>
      </c>
      <c r="K64" s="122">
        <f>'Debt Schedule'!K13</f>
        <v>0</v>
      </c>
      <c r="L64" s="122">
        <f>'Debt Schedule'!L13</f>
        <v>0</v>
      </c>
      <c r="M64" s="122">
        <f>'Debt Schedule'!M13</f>
        <v>0</v>
      </c>
      <c r="N64" s="122">
        <f>'Debt Schedule'!N13</f>
        <v>0</v>
      </c>
      <c r="O64" s="122">
        <f>'Debt Schedule'!O13</f>
        <v>0</v>
      </c>
      <c r="P64" s="122">
        <f>'Debt Schedule'!P13</f>
        <v>0</v>
      </c>
      <c r="Q64" s="122">
        <f>'Debt Schedule'!Q13</f>
        <v>0</v>
      </c>
      <c r="R64" s="122">
        <f>'Debt Schedule'!R13</f>
        <v>0</v>
      </c>
      <c r="S64" s="122">
        <f>'Debt Schedule'!S13</f>
        <v>0</v>
      </c>
      <c r="T64" s="122">
        <f>'Debt Schedule'!T13</f>
        <v>0</v>
      </c>
      <c r="U64" s="122">
        <f>'Debt Schedule'!U13</f>
        <v>0</v>
      </c>
      <c r="V64" s="122">
        <f>'Debt Schedule'!V13</f>
        <v>0</v>
      </c>
      <c r="W64" s="122">
        <f>'Debt Schedule'!W13</f>
        <v>0</v>
      </c>
      <c r="X64" s="122">
        <f>'Debt Schedule'!X13</f>
        <v>0</v>
      </c>
      <c r="Y64" s="122">
        <f>'Debt Schedule'!Y13</f>
        <v>0</v>
      </c>
      <c r="Z64" s="122">
        <f>'Debt Schedule'!Z13</f>
        <v>0</v>
      </c>
      <c r="AA64" s="122">
        <f>'Debt Schedule'!AA13</f>
        <v>0</v>
      </c>
      <c r="AB64" s="122">
        <f>'Debt Schedule'!AB13</f>
        <v>0</v>
      </c>
      <c r="AC64" s="122">
        <f>'Debt Schedule'!AC13</f>
        <v>0</v>
      </c>
      <c r="AD64" s="122">
        <f>'Debt Schedule'!AD13</f>
        <v>0</v>
      </c>
      <c r="AE64" s="122">
        <f>'Debt Schedule'!AE13</f>
        <v>0</v>
      </c>
      <c r="AF64" s="122">
        <f>'Debt Schedule'!AF13</f>
        <v>0</v>
      </c>
      <c r="AG64" s="122">
        <f>'Debt Schedule'!AG13</f>
        <v>0</v>
      </c>
      <c r="AH64" s="122">
        <f>'Debt Schedule'!AH13</f>
        <v>0</v>
      </c>
      <c r="AI64" s="122">
        <f>'Debt Schedule'!AI13</f>
        <v>0</v>
      </c>
      <c r="AJ64" s="122">
        <f>'Debt Schedule'!AJ13</f>
        <v>0</v>
      </c>
      <c r="AK64" s="122">
        <f>'Debt Schedule'!AK13</f>
        <v>0</v>
      </c>
      <c r="AL64" s="122">
        <f>'Debt Schedule'!AL13</f>
        <v>0</v>
      </c>
      <c r="AM64" s="122">
        <f>'Debt Schedule'!AM13</f>
        <v>0</v>
      </c>
      <c r="AN64" s="122">
        <f>'Debt Schedule'!AN13</f>
        <v>0</v>
      </c>
      <c r="AO64" s="122">
        <f>'Debt Schedule'!AO13</f>
        <v>0</v>
      </c>
      <c r="AP64" s="122">
        <f>'Debt Schedule'!AP13</f>
        <v>0</v>
      </c>
      <c r="AQ64" s="122">
        <f>'Debt Schedule'!AQ13</f>
        <v>0</v>
      </c>
    </row>
    <row r="65" spans="2:43">
      <c r="B65" s="15" t="s">
        <v>152</v>
      </c>
      <c r="C65" s="48"/>
      <c r="D65" s="48"/>
      <c r="E65" s="15" t="s">
        <v>88</v>
      </c>
      <c r="F65" s="15" t="s">
        <v>57</v>
      </c>
      <c r="G65" s="48"/>
      <c r="H65" s="48"/>
      <c r="I65" s="58">
        <f t="shared" ref="I65" si="18">I108+I126+I144+I162</f>
        <v>0</v>
      </c>
      <c r="J65" s="58">
        <f t="shared" ref="J65:AQ65" si="19">J108+J126+J144+J162</f>
        <v>0</v>
      </c>
      <c r="K65" s="58">
        <f t="shared" si="19"/>
        <v>0</v>
      </c>
      <c r="L65" s="58">
        <f t="shared" si="19"/>
        <v>0</v>
      </c>
      <c r="M65" s="58">
        <f t="shared" si="19"/>
        <v>0</v>
      </c>
      <c r="N65" s="58">
        <f t="shared" si="19"/>
        <v>0</v>
      </c>
      <c r="O65" s="58">
        <f t="shared" si="19"/>
        <v>0</v>
      </c>
      <c r="P65" s="58">
        <f t="shared" si="19"/>
        <v>0</v>
      </c>
      <c r="Q65" s="58">
        <f t="shared" si="19"/>
        <v>0</v>
      </c>
      <c r="R65" s="58">
        <f t="shared" si="19"/>
        <v>0</v>
      </c>
      <c r="S65" s="58">
        <f t="shared" si="19"/>
        <v>0</v>
      </c>
      <c r="T65" s="58">
        <f t="shared" si="19"/>
        <v>0</v>
      </c>
      <c r="U65" s="58">
        <f t="shared" si="19"/>
        <v>0</v>
      </c>
      <c r="V65" s="58">
        <f t="shared" si="19"/>
        <v>0</v>
      </c>
      <c r="W65" s="58">
        <f t="shared" si="19"/>
        <v>0</v>
      </c>
      <c r="X65" s="58">
        <f t="shared" si="19"/>
        <v>0</v>
      </c>
      <c r="Y65" s="58">
        <f t="shared" si="19"/>
        <v>0</v>
      </c>
      <c r="Z65" s="58">
        <f t="shared" si="19"/>
        <v>0</v>
      </c>
      <c r="AA65" s="58">
        <f t="shared" si="19"/>
        <v>0</v>
      </c>
      <c r="AB65" s="58">
        <f t="shared" si="19"/>
        <v>0</v>
      </c>
      <c r="AC65" s="58">
        <f t="shared" si="19"/>
        <v>0</v>
      </c>
      <c r="AD65" s="58">
        <f t="shared" si="19"/>
        <v>0</v>
      </c>
      <c r="AE65" s="58">
        <f t="shared" si="19"/>
        <v>0</v>
      </c>
      <c r="AF65" s="58">
        <f t="shared" si="19"/>
        <v>0</v>
      </c>
      <c r="AG65" s="58">
        <f t="shared" si="19"/>
        <v>0</v>
      </c>
      <c r="AH65" s="58">
        <f t="shared" si="19"/>
        <v>0</v>
      </c>
      <c r="AI65" s="58">
        <f t="shared" si="19"/>
        <v>0</v>
      </c>
      <c r="AJ65" s="58">
        <f t="shared" si="19"/>
        <v>0</v>
      </c>
      <c r="AK65" s="58">
        <f t="shared" si="19"/>
        <v>0</v>
      </c>
      <c r="AL65" s="58">
        <f t="shared" si="19"/>
        <v>0</v>
      </c>
      <c r="AM65" s="58">
        <f t="shared" si="19"/>
        <v>0</v>
      </c>
      <c r="AN65" s="58">
        <f t="shared" si="19"/>
        <v>0</v>
      </c>
      <c r="AO65" s="58">
        <f t="shared" si="19"/>
        <v>0</v>
      </c>
      <c r="AP65" s="58">
        <f t="shared" si="19"/>
        <v>0</v>
      </c>
      <c r="AQ65" s="58">
        <f t="shared" si="19"/>
        <v>0</v>
      </c>
    </row>
    <row r="66" spans="2:43" s="7" customFormat="1">
      <c r="B66" s="160" t="s">
        <v>210</v>
      </c>
      <c r="I66" s="161">
        <f>IF(I65&gt;0.0001,1,0)</f>
        <v>0</v>
      </c>
      <c r="J66" s="161">
        <f t="shared" ref="J66:AQ66" si="20">IF(J65&gt;0.0001,1,0)</f>
        <v>0</v>
      </c>
      <c r="K66" s="161">
        <f t="shared" si="20"/>
        <v>0</v>
      </c>
      <c r="L66" s="161">
        <f t="shared" si="20"/>
        <v>0</v>
      </c>
      <c r="M66" s="161">
        <f t="shared" si="20"/>
        <v>0</v>
      </c>
      <c r="N66" s="161">
        <f t="shared" si="20"/>
        <v>0</v>
      </c>
      <c r="O66" s="161">
        <f t="shared" si="20"/>
        <v>0</v>
      </c>
      <c r="P66" s="161">
        <f t="shared" si="20"/>
        <v>0</v>
      </c>
      <c r="Q66" s="161">
        <f t="shared" si="20"/>
        <v>0</v>
      </c>
      <c r="R66" s="161">
        <f t="shared" si="20"/>
        <v>0</v>
      </c>
      <c r="S66" s="161">
        <f t="shared" si="20"/>
        <v>0</v>
      </c>
      <c r="T66" s="161">
        <f t="shared" si="20"/>
        <v>0</v>
      </c>
      <c r="U66" s="161">
        <f t="shared" si="20"/>
        <v>0</v>
      </c>
      <c r="V66" s="161">
        <f t="shared" si="20"/>
        <v>0</v>
      </c>
      <c r="W66" s="161">
        <f t="shared" si="20"/>
        <v>0</v>
      </c>
      <c r="X66" s="161">
        <f t="shared" si="20"/>
        <v>0</v>
      </c>
      <c r="Y66" s="161">
        <f t="shared" si="20"/>
        <v>0</v>
      </c>
      <c r="Z66" s="161">
        <f t="shared" si="20"/>
        <v>0</v>
      </c>
      <c r="AA66" s="161">
        <f t="shared" si="20"/>
        <v>0</v>
      </c>
      <c r="AB66" s="161">
        <f t="shared" si="20"/>
        <v>0</v>
      </c>
      <c r="AC66" s="161">
        <f t="shared" si="20"/>
        <v>0</v>
      </c>
      <c r="AD66" s="161">
        <f t="shared" si="20"/>
        <v>0</v>
      </c>
      <c r="AE66" s="161">
        <f t="shared" si="20"/>
        <v>0</v>
      </c>
      <c r="AF66" s="161">
        <f t="shared" si="20"/>
        <v>0</v>
      </c>
      <c r="AG66" s="161">
        <f t="shared" si="20"/>
        <v>0</v>
      </c>
      <c r="AH66" s="161">
        <f t="shared" si="20"/>
        <v>0</v>
      </c>
      <c r="AI66" s="161">
        <f t="shared" si="20"/>
        <v>0</v>
      </c>
      <c r="AJ66" s="161">
        <f t="shared" si="20"/>
        <v>0</v>
      </c>
      <c r="AK66" s="161">
        <f t="shared" si="20"/>
        <v>0</v>
      </c>
      <c r="AL66" s="161">
        <f t="shared" si="20"/>
        <v>0</v>
      </c>
      <c r="AM66" s="161">
        <f t="shared" si="20"/>
        <v>0</v>
      </c>
      <c r="AN66" s="161">
        <f t="shared" si="20"/>
        <v>0</v>
      </c>
      <c r="AO66" s="161">
        <f t="shared" si="20"/>
        <v>0</v>
      </c>
      <c r="AP66" s="161">
        <f t="shared" si="20"/>
        <v>0</v>
      </c>
      <c r="AQ66" s="161">
        <f t="shared" si="20"/>
        <v>0</v>
      </c>
    </row>
    <row r="67" spans="2:43">
      <c r="B67" s="11"/>
      <c r="I67" s="134"/>
      <c r="J67" s="134"/>
      <c r="K67" s="134"/>
      <c r="L67" s="134"/>
      <c r="M67" s="134"/>
      <c r="N67" s="13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4"/>
      <c r="AB67" s="134"/>
      <c r="AC67" s="134"/>
      <c r="AD67" s="134"/>
      <c r="AE67" s="134"/>
      <c r="AF67" s="134"/>
      <c r="AG67" s="134"/>
      <c r="AH67" s="134"/>
      <c r="AI67" s="134"/>
      <c r="AJ67" s="134"/>
      <c r="AK67" s="134"/>
      <c r="AL67" s="134"/>
      <c r="AM67" s="134"/>
      <c r="AN67" s="134"/>
      <c r="AO67" s="134"/>
      <c r="AP67" s="134"/>
      <c r="AQ67" s="134"/>
    </row>
    <row r="68" spans="2:43">
      <c r="B68" s="7" t="s">
        <v>149</v>
      </c>
      <c r="C68" s="7"/>
      <c r="D68" s="7"/>
      <c r="E68" s="3" t="str">
        <f>Currency&amp;"mm"</f>
        <v>CADmm</v>
      </c>
      <c r="F68" s="3" t="s">
        <v>57</v>
      </c>
      <c r="G68" s="7"/>
      <c r="H68" s="7"/>
      <c r="I68" s="157">
        <f>'Debt Schedule'!I17</f>
        <v>4.3685045273572687</v>
      </c>
      <c r="J68" s="157">
        <f>'Debt Schedule'!J17</f>
        <v>7.1235277862805324</v>
      </c>
      <c r="K68" s="157">
        <f>'Debt Schedule'!K17</f>
        <v>9.9786220714497684</v>
      </c>
      <c r="L68" s="157">
        <f>'Debt Schedule'!L17</f>
        <v>13.497821240238666</v>
      </c>
      <c r="M68" s="157">
        <f>'Debt Schedule'!M17</f>
        <v>13.147502130657557</v>
      </c>
      <c r="N68" s="157">
        <f>'Debt Schedule'!N17</f>
        <v>12.342752956723377</v>
      </c>
      <c r="O68" s="157">
        <f>'Debt Schedule'!O17</f>
        <v>11.538003782789193</v>
      </c>
      <c r="P68" s="157">
        <f>'Debt Schedule'!P17</f>
        <v>10.733254608855013</v>
      </c>
      <c r="Q68" s="157">
        <f>'Debt Schedule'!Q17</f>
        <v>9.9285054349208313</v>
      </c>
      <c r="R68" s="157">
        <f>'Debt Schedule'!R17</f>
        <v>9.1237562609866512</v>
      </c>
      <c r="S68" s="157">
        <f>'Debt Schedule'!S17</f>
        <v>8.3190070870524711</v>
      </c>
      <c r="T68" s="157">
        <f>'Debt Schedule'!T17</f>
        <v>7.5142579131182892</v>
      </c>
      <c r="U68" s="157">
        <f>'Debt Schedule'!U17</f>
        <v>6.7095087391841082</v>
      </c>
      <c r="V68" s="157">
        <f>'Debt Schedule'!V17</f>
        <v>5.9047595652499254</v>
      </c>
      <c r="W68" s="157">
        <f>'Debt Schedule'!W17</f>
        <v>5.1000103913157453</v>
      </c>
      <c r="X68" s="157">
        <f>'Debt Schedule'!X17</f>
        <v>4.2952612173815634</v>
      </c>
      <c r="Y68" s="157">
        <f>'Debt Schedule'!Y17</f>
        <v>3.4905120434473824</v>
      </c>
      <c r="Z68" s="157">
        <f>'Debt Schedule'!Z17</f>
        <v>2.685762869513201</v>
      </c>
      <c r="AA68" s="157">
        <f>'Debt Schedule'!AA17</f>
        <v>1.8810136955790202</v>
      </c>
      <c r="AB68" s="157">
        <f>'Debt Schedule'!AB17</f>
        <v>1.076264521644839</v>
      </c>
      <c r="AC68" s="157">
        <f>'Debt Schedule'!AC17</f>
        <v>0.51480488327059648</v>
      </c>
      <c r="AD68" s="157">
        <f>'Debt Schedule'!AD17</f>
        <v>0.16150741435940336</v>
      </c>
      <c r="AE68" s="157">
        <f>'Debt Schedule'!AE17</f>
        <v>7.8159700933611021E-16</v>
      </c>
      <c r="AF68" s="157">
        <f>'Debt Schedule'!AF17</f>
        <v>7.8159700933611021E-16</v>
      </c>
      <c r="AG68" s="157">
        <f>'Debt Schedule'!AG17</f>
        <v>7.8159700933611021E-16</v>
      </c>
      <c r="AH68" s="157">
        <f>'Debt Schedule'!AH17</f>
        <v>7.8159700933611021E-16</v>
      </c>
      <c r="AI68" s="157">
        <f>'Debt Schedule'!AI17</f>
        <v>7.8159700933611021E-16</v>
      </c>
      <c r="AJ68" s="157">
        <f>'Debt Schedule'!AJ17</f>
        <v>7.8159700933611021E-16</v>
      </c>
      <c r="AK68" s="157">
        <f>'Debt Schedule'!AK17</f>
        <v>7.8159700933611021E-16</v>
      </c>
      <c r="AL68" s="157">
        <f>'Debt Schedule'!AL17</f>
        <v>7.8159700933611021E-16</v>
      </c>
      <c r="AM68" s="157">
        <f>'Debt Schedule'!AM17</f>
        <v>7.8159700933611021E-16</v>
      </c>
      <c r="AN68" s="157">
        <f>'Debt Schedule'!AN17</f>
        <v>7.8159700933611021E-16</v>
      </c>
      <c r="AO68" s="157">
        <f>'Debt Schedule'!AO17</f>
        <v>7.8159700933611021E-16</v>
      </c>
      <c r="AP68" s="157">
        <f>'Debt Schedule'!AP17</f>
        <v>7.8159700933611021E-16</v>
      </c>
      <c r="AQ68" s="157">
        <f>'Debt Schedule'!AQ17</f>
        <v>7.8159700933611021E-16</v>
      </c>
    </row>
    <row r="69" spans="2:43">
      <c r="B69" s="117" t="s">
        <v>206</v>
      </c>
      <c r="C69" s="118"/>
      <c r="D69" s="118"/>
      <c r="E69" s="118" t="s">
        <v>51</v>
      </c>
      <c r="F69" s="118" t="s">
        <v>57</v>
      </c>
      <c r="G69" s="118"/>
      <c r="H69" s="118"/>
      <c r="I69" s="156">
        <f>'Debt Schedule'!I18</f>
        <v>6.5049964992680301E-2</v>
      </c>
      <c r="J69" s="156">
        <f>'Debt Schedule'!J18</f>
        <v>3.6988358820312213E-2</v>
      </c>
      <c r="K69" s="156">
        <f>'Debt Schedule'!K18</f>
        <v>3.4541354555185921E-2</v>
      </c>
      <c r="L69" s="156">
        <f>'Debt Schedule'!L18</f>
        <v>3.3972825719339454E-2</v>
      </c>
      <c r="M69" s="156">
        <f>'Debt Schedule'!M18</f>
        <v>2.9068525233657095E-2</v>
      </c>
      <c r="N69" s="156">
        <f>'Debt Schedule'!N18</f>
        <v>2.9002975394966598E-2</v>
      </c>
      <c r="O69" s="156">
        <f>'Debt Schedule'!O18</f>
        <v>2.8928641098600775E-2</v>
      </c>
      <c r="P69" s="156">
        <f>'Debt Schedule'!P18</f>
        <v>2.8843629693011404E-2</v>
      </c>
      <c r="Q69" s="156">
        <f>'Debt Schedule'!Q18</f>
        <v>2.8745462749998261E-2</v>
      </c>
      <c r="R69" s="156">
        <f>'Debt Schedule'!R18</f>
        <v>2.863083043646299E-2</v>
      </c>
      <c r="S69" s="156">
        <f>'Debt Schedule'!S18</f>
        <v>2.8495210975612056E-2</v>
      </c>
      <c r="T69" s="156">
        <f>'Debt Schedule'!T18</f>
        <v>2.8332260037473227E-2</v>
      </c>
      <c r="U69" s="156">
        <f>'Debt Schedule'!U18</f>
        <v>2.8132789591900072E-2</v>
      </c>
      <c r="V69" s="156">
        <f>'Debt Schedule'!V18</f>
        <v>2.7882973560663552E-2</v>
      </c>
      <c r="W69" s="156">
        <f>'Debt Schedule'!W18</f>
        <v>2.7560998586361077E-2</v>
      </c>
      <c r="X69" s="156">
        <f>'Debt Schedule'!X18</f>
        <v>2.7130322630478373E-2</v>
      </c>
      <c r="Y69" s="156">
        <f>'Debt Schedule'!Y18</f>
        <v>2.6524719109923545E-2</v>
      </c>
      <c r="Z69" s="156">
        <f>'Debt Schedule'!Z18</f>
        <v>2.5610453026753851E-2</v>
      </c>
      <c r="AA69" s="156">
        <f>'Debt Schedule'!AA18</f>
        <v>2.4070844439437147E-2</v>
      </c>
      <c r="AB69" s="156">
        <f>'Debt Schedule'!AB18</f>
        <v>2.0930851939837482E-2</v>
      </c>
      <c r="AC69" s="156">
        <f>'Debt Schedule'!AC18</f>
        <v>1.810269248894961E-2</v>
      </c>
      <c r="AD69" s="156">
        <f>'Debt Schedule'!AD18</f>
        <v>1.3023255813953527E-2</v>
      </c>
      <c r="AE69" s="156">
        <f>'Debt Schedule'!AE18</f>
        <v>3.3875714542601105E-16</v>
      </c>
      <c r="AF69" s="156">
        <f>'Debt Schedule'!AF18</f>
        <v>3.3846153846153845E-2</v>
      </c>
      <c r="AG69" s="156">
        <f>'Debt Schedule'!AG18</f>
        <v>3.3846153846153845E-2</v>
      </c>
      <c r="AH69" s="156">
        <f>'Debt Schedule'!AH18</f>
        <v>3.3846153846153845E-2</v>
      </c>
      <c r="AI69" s="156">
        <f>'Debt Schedule'!AI18</f>
        <v>3.3846153846153845E-2</v>
      </c>
      <c r="AJ69" s="156">
        <f>'Debt Schedule'!AJ18</f>
        <v>3.3846153846153845E-2</v>
      </c>
      <c r="AK69" s="156">
        <f>'Debt Schedule'!AK18</f>
        <v>3.3846153846153845E-2</v>
      </c>
      <c r="AL69" s="156">
        <f>'Debt Schedule'!AL18</f>
        <v>3.3846153846153845E-2</v>
      </c>
      <c r="AM69" s="156">
        <f>'Debt Schedule'!AM18</f>
        <v>3.3846153846153845E-2</v>
      </c>
      <c r="AN69" s="156">
        <f>'Debt Schedule'!AN18</f>
        <v>3.3846153846153845E-2</v>
      </c>
      <c r="AO69" s="156">
        <f>'Debt Schedule'!AO18</f>
        <v>3.3846153846153845E-2</v>
      </c>
      <c r="AP69" s="156">
        <f>'Debt Schedule'!AP18</f>
        <v>3.3846153846153845E-2</v>
      </c>
      <c r="AQ69" s="156">
        <f>'Debt Schedule'!AQ18</f>
        <v>3.3846153846153845E-2</v>
      </c>
    </row>
    <row r="70" spans="2:43">
      <c r="B70" s="15" t="s">
        <v>207</v>
      </c>
      <c r="C70" s="15"/>
      <c r="D70" s="15"/>
      <c r="E70" s="15"/>
      <c r="F70" s="15"/>
      <c r="G70" s="15"/>
      <c r="H70" s="15"/>
      <c r="I70" s="58">
        <f>SUM(-I63,I68)</f>
        <v>4.3685045273572687</v>
      </c>
      <c r="J70" s="58">
        <f t="shared" ref="J70:AQ70" si="21">SUM(-J63,J68)</f>
        <v>7.1235277862805324</v>
      </c>
      <c r="K70" s="58">
        <f t="shared" si="21"/>
        <v>9.9786220714497684</v>
      </c>
      <c r="L70" s="58">
        <f t="shared" si="21"/>
        <v>13.497821240238666</v>
      </c>
      <c r="M70" s="58">
        <f t="shared" si="21"/>
        <v>37.132537221135237</v>
      </c>
      <c r="N70" s="58">
        <f t="shared" si="21"/>
        <v>36.327788047201054</v>
      </c>
      <c r="O70" s="58">
        <f t="shared" si="21"/>
        <v>35.52303887326687</v>
      </c>
      <c r="P70" s="58">
        <f t="shared" si="21"/>
        <v>34.718289699332686</v>
      </c>
      <c r="Q70" s="58">
        <f t="shared" si="21"/>
        <v>33.91354052539851</v>
      </c>
      <c r="R70" s="58">
        <f t="shared" si="21"/>
        <v>33.108791351464326</v>
      </c>
      <c r="S70" s="58">
        <f t="shared" si="21"/>
        <v>32.30404217753015</v>
      </c>
      <c r="T70" s="58">
        <f t="shared" si="21"/>
        <v>31.499293003595966</v>
      </c>
      <c r="U70" s="58">
        <f t="shared" si="21"/>
        <v>30.694543829661786</v>
      </c>
      <c r="V70" s="58">
        <f t="shared" si="21"/>
        <v>29.889794655727602</v>
      </c>
      <c r="W70" s="58">
        <f t="shared" si="21"/>
        <v>29.085045481793422</v>
      </c>
      <c r="X70" s="58">
        <f t="shared" si="21"/>
        <v>28.280296307859238</v>
      </c>
      <c r="Y70" s="58">
        <f t="shared" si="21"/>
        <v>27.475547133925058</v>
      </c>
      <c r="Z70" s="58">
        <f t="shared" si="21"/>
        <v>26.670797959990878</v>
      </c>
      <c r="AA70" s="58">
        <f t="shared" si="21"/>
        <v>25.866048786056698</v>
      </c>
      <c r="AB70" s="58">
        <f t="shared" si="21"/>
        <v>25.061299612122514</v>
      </c>
      <c r="AC70" s="58">
        <f t="shared" si="21"/>
        <v>17.014008110365541</v>
      </c>
      <c r="AD70" s="58">
        <f t="shared" si="21"/>
        <v>10.255720811822064</v>
      </c>
      <c r="AE70" s="58">
        <f t="shared" si="21"/>
        <v>4.6144975531257888</v>
      </c>
      <c r="AF70" s="58">
        <f t="shared" si="21"/>
        <v>7.8159700933611021E-16</v>
      </c>
      <c r="AG70" s="58">
        <f t="shared" si="21"/>
        <v>7.8159700933611021E-16</v>
      </c>
      <c r="AH70" s="58">
        <f t="shared" si="21"/>
        <v>7.8159700933611021E-16</v>
      </c>
      <c r="AI70" s="58">
        <f t="shared" si="21"/>
        <v>7.8159700933611021E-16</v>
      </c>
      <c r="AJ70" s="58">
        <f t="shared" si="21"/>
        <v>7.8159700933611021E-16</v>
      </c>
      <c r="AK70" s="58">
        <f t="shared" si="21"/>
        <v>7.8159700933611021E-16</v>
      </c>
      <c r="AL70" s="58">
        <f t="shared" si="21"/>
        <v>7.8159700933611021E-16</v>
      </c>
      <c r="AM70" s="58">
        <f t="shared" si="21"/>
        <v>7.8159700933611021E-16</v>
      </c>
      <c r="AN70" s="58">
        <f t="shared" si="21"/>
        <v>7.8159700933611021E-16</v>
      </c>
      <c r="AO70" s="58">
        <f t="shared" si="21"/>
        <v>7.8159700933611021E-16</v>
      </c>
      <c r="AP70" s="58">
        <f t="shared" si="21"/>
        <v>7.8159700933611021E-16</v>
      </c>
      <c r="AQ70" s="58">
        <f t="shared" si="21"/>
        <v>7.8159700933611021E-16</v>
      </c>
    </row>
    <row r="72" spans="2:43" ht="12" thickBot="1">
      <c r="B72" s="147" t="s">
        <v>254</v>
      </c>
      <c r="C72" s="131"/>
      <c r="D72" s="131"/>
      <c r="E72" s="131"/>
      <c r="F72" s="131"/>
      <c r="G72" s="131"/>
      <c r="H72" s="131"/>
      <c r="I72" s="131"/>
      <c r="J72" s="131"/>
      <c r="K72" s="131"/>
      <c r="L72" s="131"/>
      <c r="M72" s="131"/>
      <c r="N72" s="131"/>
      <c r="O72" s="131"/>
      <c r="P72" s="131"/>
      <c r="Q72" s="131"/>
      <c r="R72" s="131"/>
      <c r="S72" s="131"/>
      <c r="T72" s="131"/>
      <c r="U72" s="131"/>
      <c r="V72" s="131"/>
      <c r="W72" s="131"/>
      <c r="X72" s="131"/>
      <c r="Y72" s="131"/>
      <c r="Z72" s="131"/>
      <c r="AA72" s="131"/>
      <c r="AB72" s="131"/>
      <c r="AC72" s="131"/>
      <c r="AD72" s="131"/>
      <c r="AE72" s="131"/>
      <c r="AF72" s="131"/>
      <c r="AG72" s="131"/>
      <c r="AH72" s="131"/>
      <c r="AI72" s="131"/>
      <c r="AJ72" s="131"/>
      <c r="AK72" s="131"/>
      <c r="AL72" s="131"/>
      <c r="AM72" s="131"/>
      <c r="AN72" s="131"/>
      <c r="AO72" s="131"/>
      <c r="AP72" s="131"/>
      <c r="AQ72" s="131"/>
    </row>
    <row r="73" spans="2:43">
      <c r="B73" s="100" t="s">
        <v>233</v>
      </c>
      <c r="E73" s="3" t="str">
        <f>Currency&amp;"mm"</f>
        <v>CADmm</v>
      </c>
      <c r="F73" s="3" t="s">
        <v>57</v>
      </c>
      <c r="I73" s="134">
        <f>'Financial Statements'!I33</f>
        <v>0</v>
      </c>
      <c r="J73" s="134">
        <f>'Financial Statements'!J33</f>
        <v>0</v>
      </c>
      <c r="K73" s="134">
        <f>'Financial Statements'!K33</f>
        <v>0</v>
      </c>
      <c r="L73" s="134">
        <f>'Financial Statements'!L33</f>
        <v>0</v>
      </c>
      <c r="M73" s="134">
        <f>'Financial Statements'!M33</f>
        <v>300</v>
      </c>
      <c r="N73" s="134">
        <f>'Financial Statements'!N33</f>
        <v>300</v>
      </c>
      <c r="O73" s="134">
        <f>'Financial Statements'!O33</f>
        <v>300</v>
      </c>
      <c r="P73" s="134">
        <f>'Financial Statements'!P33</f>
        <v>300</v>
      </c>
      <c r="Q73" s="134">
        <f>'Financial Statements'!Q33</f>
        <v>300</v>
      </c>
      <c r="R73" s="134">
        <f>'Financial Statements'!R33</f>
        <v>300</v>
      </c>
      <c r="S73" s="134">
        <f>'Financial Statements'!S33</f>
        <v>300</v>
      </c>
      <c r="T73" s="134">
        <f>'Financial Statements'!T33</f>
        <v>300</v>
      </c>
      <c r="U73" s="134">
        <f>'Financial Statements'!U33</f>
        <v>300</v>
      </c>
      <c r="V73" s="134">
        <f>'Financial Statements'!V33</f>
        <v>300</v>
      </c>
      <c r="W73" s="134">
        <f>'Financial Statements'!W33</f>
        <v>300</v>
      </c>
      <c r="X73" s="134">
        <f>'Financial Statements'!X33</f>
        <v>300</v>
      </c>
      <c r="Y73" s="134">
        <f>'Financial Statements'!Y33</f>
        <v>300</v>
      </c>
      <c r="Z73" s="134">
        <f>'Financial Statements'!Z33</f>
        <v>300</v>
      </c>
      <c r="AA73" s="134">
        <f>'Financial Statements'!AA33</f>
        <v>300</v>
      </c>
      <c r="AB73" s="134">
        <f>'Financial Statements'!AB33</f>
        <v>300</v>
      </c>
      <c r="AC73" s="134">
        <f>'Financial Statements'!AC33</f>
        <v>300</v>
      </c>
      <c r="AD73" s="134">
        <f>'Financial Statements'!AD33</f>
        <v>300</v>
      </c>
      <c r="AE73" s="134">
        <f>'Financial Statements'!AE33</f>
        <v>300</v>
      </c>
      <c r="AF73" s="134">
        <f>'Financial Statements'!AF33</f>
        <v>300</v>
      </c>
      <c r="AG73" s="134">
        <f>'Financial Statements'!AG33</f>
        <v>300</v>
      </c>
      <c r="AH73" s="134">
        <f>'Financial Statements'!AH33</f>
        <v>300</v>
      </c>
      <c r="AI73" s="134">
        <f>'Financial Statements'!AI33</f>
        <v>300</v>
      </c>
      <c r="AJ73" s="134">
        <f>'Financial Statements'!AJ33</f>
        <v>300</v>
      </c>
      <c r="AK73" s="134">
        <f>'Financial Statements'!AK33</f>
        <v>300</v>
      </c>
      <c r="AL73" s="134">
        <f>'Financial Statements'!AL33</f>
        <v>300</v>
      </c>
      <c r="AM73" s="134">
        <f>'Financial Statements'!AM33</f>
        <v>300</v>
      </c>
      <c r="AN73" s="134">
        <f>'Financial Statements'!AN33</f>
        <v>300</v>
      </c>
      <c r="AO73" s="134">
        <f>'Financial Statements'!AO33</f>
        <v>300</v>
      </c>
      <c r="AP73" s="134">
        <f>'Financial Statements'!AP33</f>
        <v>300</v>
      </c>
      <c r="AQ73" s="134">
        <f>'Financial Statements'!AQ33</f>
        <v>300</v>
      </c>
    </row>
    <row r="74" spans="2:43">
      <c r="B74" s="100" t="s">
        <v>255</v>
      </c>
      <c r="E74" s="3" t="str">
        <f>Currency&amp;"mm"</f>
        <v>CADmm</v>
      </c>
      <c r="F74" s="3" t="s">
        <v>57</v>
      </c>
      <c r="I74" s="134">
        <f>'Financial Statements'!I34</f>
        <v>0</v>
      </c>
      <c r="J74" s="134">
        <f>'Financial Statements'!J34</f>
        <v>0</v>
      </c>
      <c r="K74" s="134">
        <f>'Financial Statements'!K34</f>
        <v>0</v>
      </c>
      <c r="L74" s="134">
        <f>'Financial Statements'!L34</f>
        <v>0</v>
      </c>
      <c r="M74" s="134">
        <f>'Financial Statements'!M34</f>
        <v>0</v>
      </c>
      <c r="N74" s="134">
        <f>'Financial Statements'!N34</f>
        <v>300</v>
      </c>
      <c r="O74" s="134">
        <f>'Financial Statements'!O34</f>
        <v>300</v>
      </c>
      <c r="P74" s="134">
        <f>'Financial Statements'!P34</f>
        <v>300</v>
      </c>
      <c r="Q74" s="134">
        <f>'Financial Statements'!Q34</f>
        <v>300</v>
      </c>
      <c r="R74" s="134">
        <f>'Financial Statements'!R34</f>
        <v>300</v>
      </c>
      <c r="S74" s="134">
        <f>'Financial Statements'!S34</f>
        <v>300</v>
      </c>
      <c r="T74" s="134">
        <f>'Financial Statements'!T34</f>
        <v>300</v>
      </c>
      <c r="U74" s="134">
        <f>'Financial Statements'!U34</f>
        <v>300</v>
      </c>
      <c r="V74" s="134">
        <f>'Financial Statements'!V34</f>
        <v>300</v>
      </c>
      <c r="W74" s="134">
        <f>'Financial Statements'!W34</f>
        <v>300</v>
      </c>
      <c r="X74" s="134">
        <f>'Financial Statements'!X34</f>
        <v>300</v>
      </c>
      <c r="Y74" s="134">
        <f>'Financial Statements'!Y34</f>
        <v>300</v>
      </c>
      <c r="Z74" s="134">
        <f>'Financial Statements'!Z34</f>
        <v>300</v>
      </c>
      <c r="AA74" s="134">
        <f>'Financial Statements'!AA34</f>
        <v>300</v>
      </c>
      <c r="AB74" s="134">
        <f>'Financial Statements'!AB34</f>
        <v>300</v>
      </c>
      <c r="AC74" s="134">
        <f>'Financial Statements'!AC34</f>
        <v>300</v>
      </c>
      <c r="AD74" s="134">
        <f>'Financial Statements'!AD34</f>
        <v>300</v>
      </c>
      <c r="AE74" s="134">
        <f>'Financial Statements'!AE34</f>
        <v>300</v>
      </c>
      <c r="AF74" s="134">
        <f>'Financial Statements'!AF34</f>
        <v>300</v>
      </c>
      <c r="AG74" s="134">
        <f>'Financial Statements'!AG34</f>
        <v>300</v>
      </c>
      <c r="AH74" s="134">
        <f>'Financial Statements'!AH34</f>
        <v>300</v>
      </c>
      <c r="AI74" s="134">
        <f>'Financial Statements'!AI34</f>
        <v>300</v>
      </c>
      <c r="AJ74" s="134">
        <f>'Financial Statements'!AJ34</f>
        <v>300</v>
      </c>
      <c r="AK74" s="134">
        <f>'Financial Statements'!AK34</f>
        <v>300</v>
      </c>
      <c r="AL74" s="134">
        <f>'Financial Statements'!AL34</f>
        <v>300</v>
      </c>
      <c r="AM74" s="134">
        <f>'Financial Statements'!AM34</f>
        <v>300</v>
      </c>
      <c r="AN74" s="134">
        <f>'Financial Statements'!AN34</f>
        <v>300</v>
      </c>
      <c r="AO74" s="134">
        <f>'Financial Statements'!AO34</f>
        <v>300</v>
      </c>
      <c r="AP74" s="134">
        <f>'Financial Statements'!AP34</f>
        <v>300</v>
      </c>
      <c r="AQ74" s="134">
        <f>'Financial Statements'!AQ34</f>
        <v>300</v>
      </c>
    </row>
    <row r="76" spans="2:43" ht="12" thickBot="1">
      <c r="B76" s="147" t="s">
        <v>285</v>
      </c>
      <c r="C76" s="131"/>
      <c r="D76" s="131"/>
      <c r="E76" s="131"/>
      <c r="F76" s="131"/>
      <c r="G76" s="131"/>
      <c r="H76" s="131"/>
      <c r="I76" s="131"/>
      <c r="J76" s="131"/>
      <c r="K76" s="131"/>
      <c r="L76" s="131"/>
      <c r="M76" s="131"/>
      <c r="N76" s="131"/>
      <c r="O76" s="131"/>
      <c r="P76" s="131"/>
      <c r="Q76" s="131"/>
      <c r="R76" s="131"/>
      <c r="S76" s="131"/>
      <c r="T76" s="131"/>
      <c r="U76" s="131"/>
      <c r="V76" s="131"/>
      <c r="W76" s="131"/>
      <c r="X76" s="131"/>
      <c r="Y76" s="131"/>
      <c r="Z76" s="131"/>
      <c r="AA76" s="131"/>
      <c r="AB76" s="131"/>
      <c r="AC76" s="131"/>
      <c r="AD76" s="131"/>
      <c r="AE76" s="131"/>
      <c r="AF76" s="131"/>
      <c r="AG76" s="131"/>
      <c r="AH76" s="131"/>
      <c r="AI76" s="131"/>
      <c r="AJ76" s="131"/>
      <c r="AK76" s="131"/>
      <c r="AL76" s="131"/>
      <c r="AM76" s="131"/>
      <c r="AN76" s="131"/>
      <c r="AO76" s="131"/>
      <c r="AP76" s="131"/>
      <c r="AQ76" s="131"/>
    </row>
    <row r="77" spans="2:43">
      <c r="B77" s="3" t="s">
        <v>289</v>
      </c>
      <c r="E77" s="3" t="s">
        <v>199</v>
      </c>
      <c r="I77" s="158" t="str">
        <f>'Debt Schedule'!I24</f>
        <v>n/a</v>
      </c>
      <c r="J77" s="158" t="str">
        <f>'Debt Schedule'!J24</f>
        <v>n/a</v>
      </c>
      <c r="K77" s="158" t="str">
        <f>'Debt Schedule'!K24</f>
        <v>n/a</v>
      </c>
      <c r="L77" s="158" t="str">
        <f>'Debt Schedule'!L24</f>
        <v>n/a</v>
      </c>
      <c r="M77" s="158">
        <f>'Debt Schedule'!M24</f>
        <v>9.6698617674773768</v>
      </c>
      <c r="N77" s="158">
        <f>'Debt Schedule'!N24</f>
        <v>11.982645356622422</v>
      </c>
      <c r="O77" s="158">
        <f>'Debt Schedule'!O24</f>
        <v>12.311364875174226</v>
      </c>
      <c r="P77" s="158">
        <f>'Debt Schedule'!P24</f>
        <v>12.65508228436007</v>
      </c>
      <c r="Q77" s="158">
        <f>'Debt Schedule'!Q24</f>
        <v>13.014860321114355</v>
      </c>
      <c r="R77" s="158">
        <f>'Debt Schedule'!R24</f>
        <v>13.391864945641752</v>
      </c>
      <c r="S77" s="158">
        <f>'Debt Schedule'!S24</f>
        <v>13.787378196688429</v>
      </c>
      <c r="T77" s="158">
        <f>'Debt Schedule'!T24</f>
        <v>14.202813017342683</v>
      </c>
      <c r="U77" s="158">
        <f>'Debt Schedule'!U24</f>
        <v>11.208491522978841</v>
      </c>
      <c r="V77" s="158">
        <f>'Debt Schedule'!V24</f>
        <v>15.162067068396626</v>
      </c>
      <c r="W77" s="158">
        <f>'Debt Schedule'!W24</f>
        <v>15.649049050394007</v>
      </c>
      <c r="X77" s="158">
        <f>'Debt Schedule'!X24</f>
        <v>16.163399454355371</v>
      </c>
      <c r="Y77" s="158">
        <f>'Debt Schedule'!Y24</f>
        <v>16.707515974212843</v>
      </c>
      <c r="Z77" s="158">
        <f>'Debt Schedule'!Z24</f>
        <v>17.284085543276085</v>
      </c>
      <c r="AA77" s="158">
        <f>'Debt Schedule'!AA24</f>
        <v>17.896129325536631</v>
      </c>
      <c r="AB77" s="158">
        <f>'Debt Schedule'!AB24</f>
        <v>18.547056375266571</v>
      </c>
      <c r="AC77" s="158">
        <f>'Debt Schedule'!AC24</f>
        <v>21.133436793427311</v>
      </c>
      <c r="AD77" s="158">
        <f>'Debt Schedule'!AD24</f>
        <v>45.41695911496646</v>
      </c>
      <c r="AE77" s="158" t="str">
        <f>'Debt Schedule'!AE24</f>
        <v>n/a</v>
      </c>
      <c r="AF77" s="158" t="str">
        <f>'Debt Schedule'!AF24</f>
        <v>n/a</v>
      </c>
      <c r="AG77" s="158" t="str">
        <f>'Debt Schedule'!AG24</f>
        <v>n/a</v>
      </c>
      <c r="AH77" s="158" t="str">
        <f>'Debt Schedule'!AH24</f>
        <v>n/a</v>
      </c>
      <c r="AI77" s="158" t="str">
        <f>'Debt Schedule'!AI24</f>
        <v>n/a</v>
      </c>
      <c r="AJ77" s="158" t="str">
        <f>'Debt Schedule'!AJ24</f>
        <v>n/a</v>
      </c>
      <c r="AK77" s="158" t="str">
        <f>'Debt Schedule'!AK24</f>
        <v>n/a</v>
      </c>
      <c r="AL77" s="158" t="str">
        <f>'Debt Schedule'!AL24</f>
        <v>n/a</v>
      </c>
      <c r="AM77" s="158" t="str">
        <f>'Debt Schedule'!AM24</f>
        <v>n/a</v>
      </c>
      <c r="AN77" s="158" t="str">
        <f>'Debt Schedule'!AN24</f>
        <v>n/a</v>
      </c>
      <c r="AO77" s="158" t="str">
        <f>'Debt Schedule'!AO24</f>
        <v>n/a</v>
      </c>
      <c r="AP77" s="158" t="str">
        <f>'Debt Schedule'!AP24</f>
        <v>n/a</v>
      </c>
      <c r="AQ77" s="158" t="str">
        <f>'Debt Schedule'!AQ24</f>
        <v>n/a</v>
      </c>
    </row>
    <row r="78" spans="2:43">
      <c r="B78" s="3" t="s">
        <v>209</v>
      </c>
      <c r="E78" s="3" t="s">
        <v>199</v>
      </c>
      <c r="I78" s="158" t="str">
        <f>'Debt Schedule'!I26</f>
        <v>n/a</v>
      </c>
      <c r="J78" s="158" t="str">
        <f>'Debt Schedule'!J26</f>
        <v>n/a</v>
      </c>
      <c r="K78" s="158" t="str">
        <f>'Debt Schedule'!K26</f>
        <v>n/a</v>
      </c>
      <c r="L78" s="158" t="str">
        <f>'Debt Schedule'!L26</f>
        <v>n/a</v>
      </c>
      <c r="M78" s="158">
        <f>'Debt Schedule'!M26</f>
        <v>15.380327148465353</v>
      </c>
      <c r="N78" s="158">
        <f>'Debt Schedule'!N26</f>
        <v>16.3855023233065</v>
      </c>
      <c r="O78" s="158">
        <f>'Debt Schedule'!O26</f>
        <v>17.53125022168766</v>
      </c>
      <c r="P78" s="158">
        <f>'Debt Schedule'!P26</f>
        <v>18.84927625658495</v>
      </c>
      <c r="Q78" s="158">
        <f>'Debt Schedule'!Q26</f>
        <v>20.381595587948517</v>
      </c>
      <c r="R78" s="158">
        <f>'Debt Schedule'!R26</f>
        <v>22.185094497041565</v>
      </c>
      <c r="S78" s="158">
        <f>'Debt Schedule'!S26</f>
        <v>24.338748577713812</v>
      </c>
      <c r="T78" s="158">
        <f>'Debt Schedule'!T26</f>
        <v>26.955497253960516</v>
      </c>
      <c r="U78" s="158">
        <f>'Debt Schedule'!U26</f>
        <v>30.202701106130164</v>
      </c>
      <c r="V78" s="158">
        <f>'Debt Schedule'!V26</f>
        <v>34.339410810015742</v>
      </c>
      <c r="W78" s="158">
        <f>'Debt Schedule'!W26</f>
        <v>39.789123876032967</v>
      </c>
      <c r="X78" s="158">
        <f>'Debt Schedule'!X26</f>
        <v>47.294889778953888</v>
      </c>
      <c r="Y78" s="158">
        <f>'Debt Schedule'!Y26</f>
        <v>58.29078343354</v>
      </c>
      <c r="Z78" s="158">
        <f>'Debt Schedule'!Z26</f>
        <v>75.948551529430546</v>
      </c>
      <c r="AA78" s="158">
        <f>'Debt Schedule'!AA26</f>
        <v>108.95328669322397</v>
      </c>
      <c r="AB78" s="158">
        <f>'Debt Schedule'!AB26</f>
        <v>192.69000775959273</v>
      </c>
      <c r="AC78" s="158">
        <f>'Debt Schedule'!AC26</f>
        <v>408.83618185575489</v>
      </c>
      <c r="AD78" s="158">
        <f>'Debt Schedule'!AD26</f>
        <v>1303.1653296652141</v>
      </c>
      <c r="AE78" s="158" t="str">
        <f>'Debt Schedule'!AE26</f>
        <v>n/a</v>
      </c>
      <c r="AF78" s="158" t="str">
        <f>'Debt Schedule'!AF26</f>
        <v>n/a</v>
      </c>
      <c r="AG78" s="158" t="str">
        <f>'Debt Schedule'!AG26</f>
        <v>n/a</v>
      </c>
      <c r="AH78" s="158" t="str">
        <f>'Debt Schedule'!AH26</f>
        <v>n/a</v>
      </c>
      <c r="AI78" s="158" t="str">
        <f>'Debt Schedule'!AI26</f>
        <v>n/a</v>
      </c>
      <c r="AJ78" s="158" t="str">
        <f>'Debt Schedule'!AJ26</f>
        <v>n/a</v>
      </c>
      <c r="AK78" s="158" t="str">
        <f>'Debt Schedule'!AK26</f>
        <v>n/a</v>
      </c>
      <c r="AL78" s="158" t="str">
        <f>'Debt Schedule'!AL26</f>
        <v>n/a</v>
      </c>
      <c r="AM78" s="158" t="str">
        <f>'Debt Schedule'!AM26</f>
        <v>n/a</v>
      </c>
      <c r="AN78" s="158" t="str">
        <f>'Debt Schedule'!AN26</f>
        <v>n/a</v>
      </c>
      <c r="AO78" s="158" t="str">
        <f>'Debt Schedule'!AO26</f>
        <v>n/a</v>
      </c>
      <c r="AP78" s="158" t="str">
        <f>'Debt Schedule'!AP26</f>
        <v>n/a</v>
      </c>
      <c r="AQ78" s="158" t="str">
        <f>'Debt Schedule'!AQ26</f>
        <v>n/a</v>
      </c>
    </row>
    <row r="79" spans="2:43">
      <c r="B79" s="3" t="s">
        <v>290</v>
      </c>
      <c r="E79" s="3" t="s">
        <v>51</v>
      </c>
      <c r="I79" s="76">
        <f>'Financial Statements'!I43/('Financial Statements'!I43+'Financial Statements'!I47)</f>
        <v>0.62842823582342544</v>
      </c>
      <c r="J79" s="76">
        <f>'Financial Statements'!J43/('Financial Statements'!J43+'Financial Statements'!J47)</f>
        <v>0.63327983032428303</v>
      </c>
      <c r="K79" s="76">
        <f>'Financial Statements'!K43/('Financial Statements'!K43+'Financial Statements'!K47)</f>
        <v>0.63760179569368036</v>
      </c>
      <c r="L79" s="76">
        <f>'Financial Statements'!L43/('Financial Statements'!L43+'Financial Statements'!L47)</f>
        <v>0.64116989674006541</v>
      </c>
      <c r="M79" s="76">
        <f>'Financial Statements'!M43/('Financial Statements'!M43+'Financial Statements'!M47)</f>
        <v>0.62736008531320253</v>
      </c>
      <c r="N79" s="76">
        <f>'Financial Statements'!N43/('Financial Statements'!N43+'Financial Statements'!N47)</f>
        <v>0.61244476852239549</v>
      </c>
      <c r="O79" s="76">
        <f>'Financial Statements'!O43/('Financial Statements'!O43+'Financial Statements'!O47)</f>
        <v>0.5962856643248593</v>
      </c>
      <c r="P79" s="76">
        <f>'Financial Statements'!P43/('Financial Statements'!P43+'Financial Statements'!P47)</f>
        <v>0.57872042457938877</v>
      </c>
      <c r="Q79" s="76">
        <f>'Financial Statements'!Q43/('Financial Statements'!Q43+'Financial Statements'!Q47)</f>
        <v>0.55955716142499101</v>
      </c>
      <c r="R79" s="76">
        <f>'Financial Statements'!R43/('Financial Statements'!R43+'Financial Statements'!R47)</f>
        <v>0.53856740855345109</v>
      </c>
      <c r="S79" s="76">
        <f>'Financial Statements'!S43/('Financial Statements'!S43+'Financial Statements'!S47)</f>
        <v>0.51547696914210683</v>
      </c>
      <c r="T79" s="76">
        <f>'Financial Statements'!T43/('Financial Statements'!T43+'Financial Statements'!T47)</f>
        <v>0.48995387117974948</v>
      </c>
      <c r="U79" s="76">
        <f>'Financial Statements'!U43/('Financial Statements'!U43+'Financial Statements'!U47)</f>
        <v>0.46159230426387121</v>
      </c>
      <c r="V79" s="76">
        <f>'Financial Statements'!V43/('Financial Statements'!V43+'Financial Statements'!V47)</f>
        <v>0.42989088159366406</v>
      </c>
      <c r="W79" s="76">
        <f>'Financial Statements'!W43/('Financial Statements'!W43+'Financial Statements'!W47)</f>
        <v>0.39422274190124879</v>
      </c>
      <c r="X79" s="76">
        <f>'Financial Statements'!X43/('Financial Statements'!X43+'Financial Statements'!X47)</f>
        <v>0.35379367915170146</v>
      </c>
      <c r="Y79" s="76">
        <f>'Financial Statements'!Y43/('Financial Statements'!Y43+'Financial Statements'!Y47)</f>
        <v>0.30758230692189753</v>
      </c>
      <c r="Z79" s="76">
        <f>'Financial Statements'!Z43/('Financial Statements'!Z43+'Financial Statements'!Z47)</f>
        <v>0.25425257168494331</v>
      </c>
      <c r="AA79" s="76">
        <f>'Financial Statements'!AA43/('Financial Statements'!AA43+'Financial Statements'!AA47)</f>
        <v>0.19202246326602218</v>
      </c>
      <c r="AB79" s="76">
        <f>'Financial Statements'!AB43/('Financial Statements'!AB43+'Financial Statements'!AB47)</f>
        <v>0.11846100659562117</v>
      </c>
      <c r="AC79" s="76">
        <f>'Financial Statements'!AC43/('Financial Statements'!AC43+'Financial Statements'!AC47)</f>
        <v>5.956260087591405E-2</v>
      </c>
      <c r="AD79" s="76">
        <f>'Financial Statements'!AD43/('Financial Statements'!AD43+'Financial Statements'!AD47)</f>
        <v>1.9482686179329023E-2</v>
      </c>
      <c r="AE79" s="76">
        <f>'Financial Statements'!AE43/('Financial Statements'!AE43+'Financial Statements'!AE47)</f>
        <v>9.9435786472178004E-17</v>
      </c>
      <c r="AF79" s="76">
        <f>'Financial Statements'!AF43/('Financial Statements'!AF43+'Financial Statements'!AF47)</f>
        <v>9.9435786472178004E-17</v>
      </c>
      <c r="AG79" s="76">
        <f>'Financial Statements'!AG43/('Financial Statements'!AG43+'Financial Statements'!AG47)</f>
        <v>9.9435786472178004E-17</v>
      </c>
      <c r="AH79" s="76">
        <f>'Financial Statements'!AH43/('Financial Statements'!AH43+'Financial Statements'!AH47)</f>
        <v>9.9435786472178004E-17</v>
      </c>
      <c r="AI79" s="76">
        <f>'Financial Statements'!AI43/('Financial Statements'!AI43+'Financial Statements'!AI47)</f>
        <v>9.9435786472178004E-17</v>
      </c>
      <c r="AJ79" s="76">
        <f>'Financial Statements'!AJ43/('Financial Statements'!AJ43+'Financial Statements'!AJ47)</f>
        <v>9.9435786472178004E-17</v>
      </c>
      <c r="AK79" s="76">
        <f>'Financial Statements'!AK43/('Financial Statements'!AK43+'Financial Statements'!AK47)</f>
        <v>9.9435786472178004E-17</v>
      </c>
      <c r="AL79" s="76">
        <f>'Financial Statements'!AL43/('Financial Statements'!AL43+'Financial Statements'!AL47)</f>
        <v>9.9435786472178004E-17</v>
      </c>
      <c r="AM79" s="76">
        <f>'Financial Statements'!AM43/('Financial Statements'!AM43+'Financial Statements'!AM47)</f>
        <v>9.9435786472178004E-17</v>
      </c>
      <c r="AN79" s="76">
        <f>'Financial Statements'!AN43/('Financial Statements'!AN43+'Financial Statements'!AN47)</f>
        <v>9.9435786472178004E-17</v>
      </c>
      <c r="AO79" s="76">
        <f>'Financial Statements'!AO43/('Financial Statements'!AO43+'Financial Statements'!AO47)</f>
        <v>9.9435786472178004E-17</v>
      </c>
      <c r="AP79" s="76">
        <f>'Financial Statements'!AP43/('Financial Statements'!AP43+'Financial Statements'!AP47)</f>
        <v>9.9435786472178004E-17</v>
      </c>
      <c r="AQ79" s="76">
        <f>'Financial Statements'!AQ43/('Financial Statements'!AQ43+'Financial Statements'!AQ47)</f>
        <v>9.9435786472178004E-17</v>
      </c>
    </row>
    <row r="80" spans="2:43">
      <c r="B80" s="3" t="s">
        <v>291</v>
      </c>
      <c r="E80" s="3" t="s">
        <v>199</v>
      </c>
      <c r="I80" s="158" t="str">
        <f>IF(I59&lt;COD,"n/a",'Financial Statements'!I43/'Financial Statements'!I14)</f>
        <v>n/a</v>
      </c>
      <c r="J80" s="158" t="str">
        <f>IF(J59&lt;COD,"n/a",'Financial Statements'!J43/'Financial Statements'!J14)</f>
        <v>n/a</v>
      </c>
      <c r="K80" s="158" t="str">
        <f>IF(K59&lt;COD,"n/a",'Financial Statements'!K43/'Financial Statements'!K14)</f>
        <v>n/a</v>
      </c>
      <c r="L80" s="158" t="str">
        <f>IF(L59&lt;COD,"n/a",'Financial Statements'!L43/'Financial Statements'!L14)</f>
        <v>n/a</v>
      </c>
      <c r="M80" s="158">
        <f>IF(M59&lt;COD,"n/a",'Financial Statements'!M43/'Financial Statements'!M14)</f>
        <v>0.44386994186537038</v>
      </c>
      <c r="N80" s="158">
        <f>IF(N59&lt;COD,"n/a",'Financial Statements'!N43/'Financial Statements'!N14)</f>
        <v>0.41694017319121923</v>
      </c>
      <c r="O80" s="158">
        <f>IF(O59&lt;COD,"n/a",'Financial Statements'!O43/'Financial Statements'!O14)</f>
        <v>0.3899772585317009</v>
      </c>
      <c r="P80" s="158">
        <f>IF(P59&lt;COD,"n/a",'Financial Statements'!P43/'Financial Statements'!P14)</f>
        <v>0.36298006432332275</v>
      </c>
      <c r="Q80" s="158">
        <f>IF(Q59&lt;COD,"n/a",'Financial Statements'!Q43/'Financial Statements'!Q14)</f>
        <v>0.33594742143586576</v>
      </c>
      <c r="R80" s="158">
        <f>IF(R59&lt;COD,"n/a",'Financial Statements'!R43/'Financial Statements'!R14)</f>
        <v>0.30887812401923115</v>
      </c>
      <c r="S80" s="158">
        <f>IF(S59&lt;COD,"n/a",'Financial Statements'!S43/'Financial Statements'!S14)</f>
        <v>0.2817709283084931</v>
      </c>
      <c r="T80" s="158">
        <f>IF(T59&lt;COD,"n/a",'Financial Statements'!T43/'Financial Statements'!T14)</f>
        <v>0.25462455138538864</v>
      </c>
      <c r="U80" s="158">
        <f>IF(U59&lt;COD,"n/a",'Financial Statements'!U43/'Financial Statements'!U14)</f>
        <v>0.22743766989439743</v>
      </c>
      <c r="V80" s="158">
        <f>IF(V59&lt;COD,"n/a",'Financial Statements'!V43/'Financial Statements'!V14)</f>
        <v>0.20020891871146509</v>
      </c>
      <c r="W80" s="158">
        <f>IF(W59&lt;COD,"n/a",'Financial Statements'!W43/'Financial Statements'!W14)</f>
        <v>0.17293688956333217</v>
      </c>
      <c r="X80" s="158">
        <f>IF(X59&lt;COD,"n/a",'Financial Statements'!X43/'Financial Statements'!X14)</f>
        <v>0.14562012959532425</v>
      </c>
      <c r="Y80" s="158">
        <f>IF(Y59&lt;COD,"n/a",'Financial Statements'!Y43/'Financial Statements'!Y14)</f>
        <v>0.11825713988535573</v>
      </c>
      <c r="Z80" s="158">
        <f>IF(Z59&lt;COD,"n/a",'Financial Statements'!Z43/'Financial Statements'!Z14)</f>
        <v>9.0846373901778896E-2</v>
      </c>
      <c r="AA80" s="158">
        <f>IF(AA59&lt;COD,"n/a",'Financial Statements'!AA43/'Financial Statements'!AA14)</f>
        <v>6.3386235902595137E-2</v>
      </c>
      <c r="AB80" s="158">
        <f>IF(AB59&lt;COD,"n/a",'Financial Statements'!AB43/'Financial Statements'!AB14)</f>
        <v>3.5875079273413178E-2</v>
      </c>
      <c r="AC80" s="158">
        <f>IF(AC59&lt;COD,"n/a",'Financial Statements'!AC43/'Financial Statements'!AC14)</f>
        <v>1.6924983458680824E-2</v>
      </c>
      <c r="AD80" s="158">
        <f>IF(AD59&lt;COD,"n/a",'Financial Statements'!AD43/'Financial Statements'!AD14)</f>
        <v>5.3151131291096611E-3</v>
      </c>
      <c r="AE80" s="158">
        <f>IF(AE59&lt;COD,"n/a",'Financial Statements'!AE43/'Financial Statements'!AE14)</f>
        <v>2.662595832154824E-17</v>
      </c>
      <c r="AF80" s="158">
        <f>IF(AF59&lt;COD,"n/a",'Financial Statements'!AF43/'Financial Statements'!AF14)</f>
        <v>2.66537412515078E-17</v>
      </c>
      <c r="AG80" s="158">
        <f>IF(AG59&lt;COD,"n/a",'Financial Statements'!AG43/'Financial Statements'!AG14)</f>
        <v>2.6682139635064702E-17</v>
      </c>
      <c r="AH80" s="158">
        <f>IF(AH59&lt;COD,"n/a",'Financial Statements'!AH43/'Financial Statements'!AH14)</f>
        <v>2.6711168396099479E-17</v>
      </c>
      <c r="AI80" s="158">
        <f>IF(AI59&lt;COD,"n/a",'Financial Statements'!AI43/'Financial Statements'!AI14)</f>
        <v>2.6740842875706091E-17</v>
      </c>
      <c r="AJ80" s="158">
        <f>IF(AJ59&lt;COD,"n/a",'Financial Statements'!AJ43/'Financial Statements'!AJ14)</f>
        <v>2.6771178846215314E-17</v>
      </c>
      <c r="AK80" s="158">
        <f>IF(AK59&lt;COD,"n/a",'Financial Statements'!AK43/'Financial Statements'!AK14)</f>
        <v>2.6802192525789329E-17</v>
      </c>
      <c r="AL80" s="158">
        <f>IF(AL59&lt;COD,"n/a",'Financial Statements'!AL43/'Financial Statements'!AL14)</f>
        <v>2.6833900593614879E-17</v>
      </c>
      <c r="AM80" s="158">
        <f>IF(AM59&lt;COD,"n/a",'Financial Statements'!AM43/'Financial Statements'!AM14)</f>
        <v>2.6935225893980312E-17</v>
      </c>
      <c r="AN80" s="158">
        <f>IF(AN59&lt;COD,"n/a",'Financial Statements'!AN43/'Financial Statements'!AN14)</f>
        <v>2.6969930200525275E-17</v>
      </c>
      <c r="AO80" s="158">
        <f>IF(AO59&lt;COD,"n/a",'Financial Statements'!AO43/'Financial Statements'!AO14)</f>
        <v>2.7005420843713709E-17</v>
      </c>
      <c r="AP80" s="158">
        <f>IF(AP59&lt;COD,"n/a",'Financial Statements'!AP43/'Financial Statements'!AP14)</f>
        <v>2.7041717656657875E-17</v>
      </c>
      <c r="AQ80" s="158">
        <f>IF(AQ59&lt;COD,"n/a",'Financial Statements'!AQ43/'Financial Statements'!AQ14)</f>
        <v>2.7078841060403016E-17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Y70"/>
  <sheetViews>
    <sheetView showGridLines="0" zoomScale="130" zoomScaleNormal="130" workbookViewId="0">
      <selection activeCell="B1" sqref="B1"/>
    </sheetView>
  </sheetViews>
  <sheetFormatPr baseColWidth="10" defaultColWidth="0" defaultRowHeight="11"/>
  <cols>
    <col min="1" max="1" width="2.6640625" style="3" customWidth="1"/>
    <col min="2" max="51" width="9.1640625" style="3" customWidth="1"/>
    <col min="52" max="16384" width="0" style="3" hidden="1"/>
  </cols>
  <sheetData>
    <row r="1" spans="1:51" s="1" customFormat="1" ht="19">
      <c r="B1" s="2" t="str">
        <f>Summary!$B$1</f>
        <v>RNFC: Highway Integrated Financial Model</v>
      </c>
    </row>
    <row r="2" spans="1:51" s="1" customFormat="1" ht="19">
      <c r="B2" s="2" t="s">
        <v>6</v>
      </c>
      <c r="L2" s="38" t="s">
        <v>15</v>
      </c>
    </row>
    <row r="3" spans="1:51">
      <c r="L3" s="37"/>
    </row>
    <row r="4" spans="1:51">
      <c r="A4" s="3" t="s">
        <v>0</v>
      </c>
      <c r="B4" s="4" t="s">
        <v>91</v>
      </c>
      <c r="C4" s="5"/>
      <c r="D4" s="5"/>
      <c r="E4" s="5"/>
      <c r="H4" s="4" t="s">
        <v>92</v>
      </c>
      <c r="I4" s="5"/>
      <c r="J4" s="5"/>
      <c r="K4" s="5"/>
    </row>
    <row r="5" spans="1:51">
      <c r="B5" s="3" t="s">
        <v>1</v>
      </c>
      <c r="E5" s="86">
        <v>42370</v>
      </c>
      <c r="H5" s="3" t="s">
        <v>3</v>
      </c>
      <c r="K5" s="87" t="s">
        <v>4</v>
      </c>
    </row>
    <row r="6" spans="1:51">
      <c r="B6" s="3" t="s">
        <v>2</v>
      </c>
      <c r="E6" s="87">
        <v>30</v>
      </c>
      <c r="H6" s="3" t="s">
        <v>17</v>
      </c>
      <c r="K6" s="40">
        <v>0.35</v>
      </c>
    </row>
    <row r="7" spans="1:51">
      <c r="B7" s="3" t="s">
        <v>8</v>
      </c>
      <c r="E7" s="87">
        <v>4</v>
      </c>
      <c r="H7" s="3" t="s">
        <v>44</v>
      </c>
      <c r="K7" s="40">
        <v>0.02</v>
      </c>
    </row>
    <row r="8" spans="1:51">
      <c r="B8" s="3" t="s">
        <v>43</v>
      </c>
      <c r="E8" s="88">
        <f>YEAR(E5)+E7</f>
        <v>2020</v>
      </c>
      <c r="H8" s="3" t="s">
        <v>211</v>
      </c>
      <c r="K8" s="40">
        <v>0.02</v>
      </c>
    </row>
    <row r="9" spans="1:51">
      <c r="B9" s="3" t="s">
        <v>30</v>
      </c>
      <c r="E9" s="88">
        <f>YEAR(E5)+E6+E7</f>
        <v>2050</v>
      </c>
    </row>
    <row r="10" spans="1:51">
      <c r="B10" s="3" t="s">
        <v>5</v>
      </c>
      <c r="E10" s="89">
        <f>E6+E7</f>
        <v>34</v>
      </c>
    </row>
    <row r="11" spans="1:51">
      <c r="B11" s="3" t="s">
        <v>56</v>
      </c>
      <c r="E11" s="87">
        <v>365</v>
      </c>
    </row>
    <row r="13" spans="1:51" s="5" customFormat="1">
      <c r="A13" s="3" t="s">
        <v>0</v>
      </c>
      <c r="B13" s="4" t="s">
        <v>10</v>
      </c>
      <c r="L13" s="7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</row>
    <row r="14" spans="1:51" ht="12" thickBot="1">
      <c r="B14" s="9" t="s">
        <v>18</v>
      </c>
      <c r="C14" s="8"/>
      <c r="D14" s="8"/>
      <c r="E14" s="9" t="s">
        <v>48</v>
      </c>
      <c r="F14" s="9" t="s">
        <v>72</v>
      </c>
      <c r="G14" s="9"/>
      <c r="H14" s="8"/>
      <c r="I14" s="8"/>
      <c r="J14" s="8"/>
      <c r="K14" s="8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</row>
    <row r="15" spans="1:51">
      <c r="B15" s="3" t="s">
        <v>9</v>
      </c>
      <c r="E15" s="3" t="s">
        <v>49</v>
      </c>
      <c r="K15" s="18">
        <v>125</v>
      </c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</row>
    <row r="16" spans="1:51">
      <c r="B16" s="13" t="s">
        <v>50</v>
      </c>
      <c r="C16" s="13"/>
      <c r="D16" s="13"/>
      <c r="E16" s="13" t="str">
        <f>Currency&amp;"mm"</f>
        <v>CADmm</v>
      </c>
      <c r="F16" s="13" t="s">
        <v>8</v>
      </c>
      <c r="G16" s="13"/>
      <c r="H16" s="13"/>
      <c r="I16" s="13"/>
      <c r="J16" s="13"/>
      <c r="K16" s="36">
        <v>5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</row>
    <row r="17" spans="1:51">
      <c r="B17" s="15" t="s">
        <v>11</v>
      </c>
      <c r="C17" s="15"/>
      <c r="D17" s="15"/>
      <c r="E17" s="15" t="s">
        <v>88</v>
      </c>
      <c r="F17" s="48" t="s">
        <v>8</v>
      </c>
      <c r="G17" s="15"/>
      <c r="H17" s="15"/>
      <c r="I17" s="15"/>
      <c r="J17" s="15"/>
      <c r="K17" s="75">
        <f>K15*K16</f>
        <v>625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</row>
    <row r="18" spans="1:51">
      <c r="K18" s="6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</row>
    <row r="19" spans="1:51" ht="12" thickBot="1">
      <c r="B19" s="9" t="s">
        <v>12</v>
      </c>
      <c r="C19" s="9"/>
      <c r="D19" s="9"/>
      <c r="E19" s="9"/>
      <c r="F19" s="9"/>
      <c r="G19" s="9"/>
      <c r="H19" s="9"/>
      <c r="I19" s="10" t="s">
        <v>13</v>
      </c>
      <c r="J19" s="10" t="s">
        <v>21</v>
      </c>
      <c r="K19" s="10" t="s">
        <v>14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</row>
    <row r="20" spans="1:51">
      <c r="I20" s="3">
        <f>YEAR(E5)</f>
        <v>2016</v>
      </c>
      <c r="J20" s="18">
        <v>1</v>
      </c>
      <c r="K20" s="20">
        <v>0.35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I21" s="3">
        <f>IF(J21="-","-",I20+1)</f>
        <v>2017</v>
      </c>
      <c r="J21" s="6">
        <f>IFERROR(IF(J20+1&gt;$E$7,"-",J20+1),"-")</f>
        <v>2</v>
      </c>
      <c r="K21" s="20">
        <v>0.2</v>
      </c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I22" s="3">
        <f>IF(J22="-","-",I21+1)</f>
        <v>2018</v>
      </c>
      <c r="J22" s="6">
        <f>IFERROR(IF(J21+1&gt;$E$7,"-",J21+1),"-")</f>
        <v>3</v>
      </c>
      <c r="K22" s="20">
        <v>0.2</v>
      </c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I23" s="3">
        <f>IF(J23="-","-",I22+1)</f>
        <v>2019</v>
      </c>
      <c r="J23" s="6">
        <f>IFERROR(IF(J22+1&gt;$E$7,"-",J22+1),"-")</f>
        <v>4</v>
      </c>
      <c r="K23" s="20">
        <v>0.25</v>
      </c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I24" s="22" t="str">
        <f>IF(J24="-","-",I23+1)</f>
        <v>-</v>
      </c>
      <c r="J24" s="6" t="str">
        <f>IFERROR(IF(J23+1&gt;$E$7,"-",J23+1),"-")</f>
        <v>-</v>
      </c>
      <c r="K24" s="20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B25" s="13"/>
      <c r="C25" s="13"/>
      <c r="D25" s="13"/>
      <c r="E25" s="13"/>
      <c r="F25" s="13"/>
      <c r="G25" s="13"/>
      <c r="H25" s="13"/>
      <c r="I25" s="16" t="str">
        <f>IF(J25="-","-",I24+1)</f>
        <v>-</v>
      </c>
      <c r="J25" s="16" t="str">
        <f>IFERROR(IF(J24+1&gt;$E$7,"-",J24+1),"-")</f>
        <v>-</v>
      </c>
      <c r="K25" s="21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26" spans="1:51">
      <c r="B26" s="15" t="s">
        <v>20</v>
      </c>
      <c r="C26" s="15"/>
      <c r="D26" s="15"/>
      <c r="E26" s="15"/>
      <c r="F26" s="15"/>
      <c r="G26" s="15"/>
      <c r="H26" s="15"/>
      <c r="I26" s="15"/>
      <c r="J26" s="15">
        <f>E7</f>
        <v>4</v>
      </c>
      <c r="K26" s="17">
        <f>SUM(K20:K25)</f>
        <v>1</v>
      </c>
      <c r="L26" s="12" t="b">
        <f>K26=1</f>
        <v>1</v>
      </c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</row>
    <row r="27" spans="1:51">
      <c r="J27" s="6"/>
    </row>
    <row r="28" spans="1:51">
      <c r="A28" s="3" t="s">
        <v>0</v>
      </c>
      <c r="B28" s="4" t="s">
        <v>19</v>
      </c>
      <c r="C28" s="5"/>
      <c r="D28" s="5"/>
      <c r="E28" s="5"/>
      <c r="F28" s="5"/>
      <c r="G28" s="5"/>
      <c r="H28" s="5"/>
      <c r="I28" s="5"/>
      <c r="J28" s="23"/>
      <c r="K28" s="5"/>
    </row>
    <row r="29" spans="1:51" ht="12" thickBot="1">
      <c r="B29" s="9" t="s">
        <v>31</v>
      </c>
      <c r="C29" s="9"/>
      <c r="D29" s="9"/>
      <c r="E29" s="9"/>
      <c r="F29" s="9"/>
      <c r="G29" s="9"/>
      <c r="H29" s="9"/>
      <c r="I29" s="10" t="s">
        <v>24</v>
      </c>
      <c r="J29" s="10" t="s">
        <v>22</v>
      </c>
      <c r="K29" s="10" t="s">
        <v>23</v>
      </c>
    </row>
    <row r="30" spans="1:51">
      <c r="B30" s="3" t="s">
        <v>34</v>
      </c>
      <c r="I30" s="25">
        <v>10</v>
      </c>
      <c r="J30" s="24">
        <f>$E$8</f>
        <v>2020</v>
      </c>
      <c r="K30" s="3">
        <f>J30+I30</f>
        <v>2030</v>
      </c>
    </row>
    <row r="31" spans="1:51">
      <c r="B31" s="3" t="s">
        <v>35</v>
      </c>
      <c r="I31" s="26">
        <v>10</v>
      </c>
      <c r="J31" s="6">
        <f>IF(I31=0,"-",K30)</f>
        <v>2030</v>
      </c>
      <c r="K31" s="6">
        <f>IF(I31=0,"-",J31+I31)</f>
        <v>2040</v>
      </c>
    </row>
    <row r="32" spans="1:51">
      <c r="B32" s="3" t="s">
        <v>36</v>
      </c>
      <c r="I32" s="6">
        <f>IF(I30+I31=E6,"-",End-K31)</f>
        <v>10</v>
      </c>
      <c r="J32" s="6">
        <f>IF(I32="-","-",K31)</f>
        <v>2040</v>
      </c>
      <c r="K32" s="74">
        <f>IF(I32="-","-",J32+I32)</f>
        <v>2050</v>
      </c>
      <c r="L32" s="12" t="b">
        <f>SUM(I30:I32)=E6</f>
        <v>1</v>
      </c>
      <c r="M32" s="12" t="b">
        <f>I32&gt;=0</f>
        <v>1</v>
      </c>
    </row>
    <row r="34" spans="1:11" ht="12" thickBot="1">
      <c r="B34" s="9" t="s">
        <v>32</v>
      </c>
      <c r="C34" s="9"/>
      <c r="D34" s="9"/>
      <c r="E34" s="9" t="s">
        <v>48</v>
      </c>
      <c r="F34" s="9" t="s">
        <v>72</v>
      </c>
      <c r="G34" s="9"/>
      <c r="H34" s="9"/>
      <c r="I34" s="10" t="s">
        <v>25</v>
      </c>
      <c r="J34" s="10" t="s">
        <v>26</v>
      </c>
      <c r="K34" s="10" t="s">
        <v>27</v>
      </c>
    </row>
    <row r="35" spans="1:11">
      <c r="B35" s="3" t="s">
        <v>55</v>
      </c>
      <c r="E35" s="3" t="s">
        <v>52</v>
      </c>
      <c r="F35" s="3" t="s">
        <v>58</v>
      </c>
      <c r="I35" s="32">
        <v>1000</v>
      </c>
      <c r="J35" s="32">
        <v>2000</v>
      </c>
      <c r="K35" s="32">
        <v>3000</v>
      </c>
    </row>
    <row r="36" spans="1:11">
      <c r="B36" s="3" t="str">
        <f>B30</f>
        <v>Traffic Period 1</v>
      </c>
      <c r="E36" s="3" t="s">
        <v>51</v>
      </c>
      <c r="F36" s="3" t="s">
        <v>57</v>
      </c>
      <c r="I36" s="19">
        <v>0.02</v>
      </c>
      <c r="J36" s="19">
        <v>0.02</v>
      </c>
      <c r="K36" s="19">
        <v>0.02</v>
      </c>
    </row>
    <row r="37" spans="1:11">
      <c r="B37" s="3" t="str">
        <f>B31</f>
        <v>Traffic Period 2</v>
      </c>
      <c r="E37" s="3" t="s">
        <v>51</v>
      </c>
      <c r="F37" s="3" t="s">
        <v>57</v>
      </c>
      <c r="I37" s="19">
        <v>0.02</v>
      </c>
      <c r="J37" s="19">
        <v>0.02</v>
      </c>
      <c r="K37" s="19">
        <v>0.02</v>
      </c>
    </row>
    <row r="38" spans="1:11">
      <c r="B38" s="3" t="str">
        <f>B32</f>
        <v>Traffic Period 3</v>
      </c>
      <c r="E38" s="3" t="s">
        <v>51</v>
      </c>
      <c r="F38" s="3" t="s">
        <v>57</v>
      </c>
      <c r="I38" s="19">
        <v>0.02</v>
      </c>
      <c r="J38" s="19">
        <v>0.02</v>
      </c>
      <c r="K38" s="19">
        <v>0.02</v>
      </c>
    </row>
    <row r="40" spans="1:11">
      <c r="A40" s="3" t="s">
        <v>0</v>
      </c>
      <c r="B40" s="4" t="s">
        <v>16</v>
      </c>
      <c r="C40" s="5"/>
      <c r="D40" s="5"/>
      <c r="E40" s="5"/>
      <c r="F40" s="5"/>
      <c r="G40" s="5"/>
      <c r="H40" s="5"/>
      <c r="I40" s="5"/>
      <c r="J40" s="5"/>
      <c r="K40" s="5"/>
    </row>
    <row r="41" spans="1:11" ht="12" thickBot="1">
      <c r="B41" s="9" t="s">
        <v>53</v>
      </c>
      <c r="C41" s="8"/>
      <c r="D41" s="8"/>
      <c r="E41" s="9" t="s">
        <v>48</v>
      </c>
      <c r="F41" s="9"/>
      <c r="G41" s="9"/>
      <c r="H41" s="8"/>
      <c r="I41" s="10" t="str">
        <f>I34</f>
        <v>Vehicle A</v>
      </c>
      <c r="J41" s="10" t="str">
        <f>J34</f>
        <v>Vehicle B</v>
      </c>
      <c r="K41" s="10" t="str">
        <f>K34</f>
        <v>Vehicle C</v>
      </c>
    </row>
    <row r="42" spans="1:11">
      <c r="B42" s="3" t="s">
        <v>103</v>
      </c>
      <c r="E42" s="3" t="s">
        <v>54</v>
      </c>
      <c r="H42" s="30">
        <v>1</v>
      </c>
      <c r="I42" s="78"/>
      <c r="J42" s="78"/>
      <c r="K42" s="78"/>
    </row>
    <row r="43" spans="1:11">
      <c r="B43" s="3" t="str">
        <f>"Toll per KM in "&amp;$E$8</f>
        <v>Toll per KM in 2020</v>
      </c>
      <c r="E43" s="3" t="str">
        <f>K5</f>
        <v>CAD</v>
      </c>
      <c r="I43" s="35">
        <v>2</v>
      </c>
      <c r="J43" s="35">
        <v>3</v>
      </c>
      <c r="K43" s="35">
        <v>4</v>
      </c>
    </row>
    <row r="44" spans="1:11">
      <c r="B44" s="3" t="str">
        <f>"Toll in "&amp;$E$8</f>
        <v>Toll in 2020</v>
      </c>
      <c r="E44" s="3" t="str">
        <f>K5</f>
        <v>CAD</v>
      </c>
      <c r="I44" s="3">
        <f>I43*$K$15</f>
        <v>250</v>
      </c>
      <c r="J44" s="3">
        <f>J43*$K$15</f>
        <v>375</v>
      </c>
      <c r="K44" s="3">
        <f>K43*$K$15</f>
        <v>500</v>
      </c>
    </row>
    <row r="47" spans="1:11">
      <c r="A47" s="3" t="s">
        <v>0</v>
      </c>
      <c r="B47" s="4" t="s">
        <v>29</v>
      </c>
      <c r="C47" s="5"/>
      <c r="D47" s="5"/>
      <c r="E47" s="5"/>
      <c r="F47" s="5"/>
      <c r="G47" s="5"/>
      <c r="H47" s="5"/>
      <c r="I47" s="5"/>
      <c r="J47" s="5"/>
      <c r="K47" s="5"/>
    </row>
    <row r="48" spans="1:11" ht="12" thickBot="1">
      <c r="B48" s="9" t="s">
        <v>33</v>
      </c>
      <c r="C48" s="9"/>
      <c r="D48" s="9"/>
      <c r="E48" s="9"/>
      <c r="F48" s="9"/>
      <c r="G48" s="9"/>
      <c r="H48" s="9"/>
      <c r="I48" s="10" t="s">
        <v>24</v>
      </c>
      <c r="J48" s="10" t="s">
        <v>22</v>
      </c>
      <c r="K48" s="10" t="s">
        <v>23</v>
      </c>
    </row>
    <row r="49" spans="1:13">
      <c r="B49" s="3" t="s">
        <v>37</v>
      </c>
      <c r="I49" s="25">
        <v>10</v>
      </c>
      <c r="J49" s="24">
        <f>$E$8</f>
        <v>2020</v>
      </c>
      <c r="K49" s="3">
        <f>J49+I49</f>
        <v>2030</v>
      </c>
    </row>
    <row r="50" spans="1:13">
      <c r="B50" s="3" t="s">
        <v>38</v>
      </c>
      <c r="I50" s="26">
        <v>10</v>
      </c>
      <c r="J50" s="6">
        <f>IF(I50=0,"-",K49)</f>
        <v>2030</v>
      </c>
      <c r="K50" s="6">
        <f>IF(I50=0,"-",J50+I50)</f>
        <v>2040</v>
      </c>
    </row>
    <row r="51" spans="1:13">
      <c r="B51" s="3" t="s">
        <v>39</v>
      </c>
      <c r="I51" s="6">
        <f>IF(I49+I50=E6,"-",End-K50)</f>
        <v>10</v>
      </c>
      <c r="J51" s="6">
        <f>IF(I51="-","-",K50)</f>
        <v>2040</v>
      </c>
      <c r="K51" s="74">
        <f>IF(I51="-","-",J51+I51)</f>
        <v>2050</v>
      </c>
      <c r="L51" s="12" t="b">
        <f>SUM(I49:I51)=E6</f>
        <v>1</v>
      </c>
      <c r="M51" s="12" t="b">
        <f>I51&gt;=0</f>
        <v>1</v>
      </c>
    </row>
    <row r="53" spans="1:13" ht="12" thickBot="1">
      <c r="B53" s="9" t="s">
        <v>28</v>
      </c>
      <c r="C53" s="9"/>
      <c r="D53" s="9"/>
      <c r="E53" s="9" t="s">
        <v>48</v>
      </c>
      <c r="F53" s="9" t="s">
        <v>72</v>
      </c>
      <c r="G53" s="9"/>
      <c r="H53" s="9"/>
      <c r="I53" s="10" t="s">
        <v>40</v>
      </c>
      <c r="J53" s="10" t="s">
        <v>41</v>
      </c>
      <c r="K53" s="10" t="s">
        <v>42</v>
      </c>
    </row>
    <row r="54" spans="1:13">
      <c r="B54" s="3" t="str">
        <f>"Other Revenues in "&amp;$E$8</f>
        <v>Other Revenues in 2020</v>
      </c>
      <c r="E54" s="3" t="str">
        <f>Currency&amp;"mm"</f>
        <v>CADmm</v>
      </c>
      <c r="F54" s="3" t="s">
        <v>57</v>
      </c>
      <c r="I54" s="35">
        <v>10</v>
      </c>
      <c r="J54" s="35">
        <v>20</v>
      </c>
      <c r="K54" s="35">
        <v>30</v>
      </c>
    </row>
    <row r="55" spans="1:13">
      <c r="B55" s="3" t="str">
        <f>"Incredment in "&amp;B49</f>
        <v>Incredment in Other Revenue Period 1</v>
      </c>
      <c r="E55" s="3" t="s">
        <v>51</v>
      </c>
      <c r="F55" s="3" t="s">
        <v>57</v>
      </c>
      <c r="I55" s="19">
        <v>0.02</v>
      </c>
      <c r="J55" s="19">
        <v>0.02</v>
      </c>
      <c r="K55" s="19">
        <v>0.02</v>
      </c>
    </row>
    <row r="56" spans="1:13">
      <c r="B56" s="3" t="str">
        <f>"Incredment in "&amp;B50</f>
        <v>Incredment in Other Revenue Period 2</v>
      </c>
      <c r="E56" s="3" t="s">
        <v>51</v>
      </c>
      <c r="F56" s="3" t="s">
        <v>57</v>
      </c>
      <c r="I56" s="19">
        <v>0.02</v>
      </c>
      <c r="J56" s="19">
        <v>0.02</v>
      </c>
      <c r="K56" s="19">
        <v>0.02</v>
      </c>
    </row>
    <row r="57" spans="1:13">
      <c r="B57" s="3" t="str">
        <f>"Incredment in "&amp;B51</f>
        <v>Incredment in Other Revenue Period 3</v>
      </c>
      <c r="E57" s="3" t="s">
        <v>51</v>
      </c>
      <c r="F57" s="3" t="s">
        <v>57</v>
      </c>
      <c r="I57" s="19">
        <v>0.02</v>
      </c>
      <c r="J57" s="19">
        <v>0.02</v>
      </c>
      <c r="K57" s="19">
        <v>0.02</v>
      </c>
    </row>
    <row r="59" spans="1:13">
      <c r="A59" s="3" t="s">
        <v>0</v>
      </c>
      <c r="B59" s="4" t="s">
        <v>45</v>
      </c>
      <c r="C59" s="5"/>
      <c r="D59" s="5"/>
      <c r="E59" s="5"/>
      <c r="F59" s="5"/>
      <c r="G59" s="5"/>
      <c r="H59" s="5"/>
      <c r="I59" s="5"/>
      <c r="J59" s="5"/>
      <c r="K59" s="5"/>
    </row>
    <row r="60" spans="1:13" ht="12" thickBot="1">
      <c r="B60" s="9" t="s">
        <v>46</v>
      </c>
      <c r="C60" s="9"/>
      <c r="D60" s="9"/>
      <c r="E60" s="9" t="s">
        <v>48</v>
      </c>
      <c r="F60" s="9" t="s">
        <v>72</v>
      </c>
      <c r="G60" s="9"/>
      <c r="H60" s="9"/>
      <c r="I60" s="9"/>
      <c r="J60" s="9"/>
      <c r="K60" s="10" t="s">
        <v>76</v>
      </c>
    </row>
    <row r="61" spans="1:13">
      <c r="B61" s="50" t="s">
        <v>102</v>
      </c>
      <c r="C61" s="49"/>
      <c r="D61" s="49"/>
      <c r="E61" s="50" t="s">
        <v>54</v>
      </c>
      <c r="F61" s="49"/>
      <c r="G61" s="49"/>
      <c r="H61" s="127">
        <v>1</v>
      </c>
      <c r="I61" s="49"/>
      <c r="J61" s="49"/>
      <c r="K61" s="78"/>
    </row>
    <row r="62" spans="1:13">
      <c r="B62" s="3" t="s">
        <v>47</v>
      </c>
      <c r="E62" s="3" t="str">
        <f>Currency&amp;"mm"</f>
        <v>CADmm</v>
      </c>
      <c r="F62" s="3" t="s">
        <v>57</v>
      </c>
      <c r="K62" s="35">
        <v>20</v>
      </c>
    </row>
    <row r="63" spans="1:13">
      <c r="B63" s="3" t="s">
        <v>59</v>
      </c>
      <c r="E63" s="3" t="str">
        <f>Currency&amp;"mm"</f>
        <v>CADmm</v>
      </c>
      <c r="F63" s="3" t="s">
        <v>57</v>
      </c>
      <c r="K63" s="35">
        <v>70</v>
      </c>
    </row>
    <row r="64" spans="1:13">
      <c r="B64" s="3" t="s">
        <v>60</v>
      </c>
      <c r="E64" s="3" t="s">
        <v>51</v>
      </c>
      <c r="F64" s="31">
        <v>8</v>
      </c>
      <c r="G64" s="3" t="s">
        <v>62</v>
      </c>
      <c r="K64" s="19">
        <v>0.17</v>
      </c>
    </row>
    <row r="65" spans="2:11">
      <c r="B65" s="3" t="s">
        <v>61</v>
      </c>
      <c r="E65" s="3" t="s">
        <v>51</v>
      </c>
      <c r="F65" s="3" t="s">
        <v>57</v>
      </c>
      <c r="K65" s="19">
        <v>0.25</v>
      </c>
    </row>
    <row r="67" spans="2:11" ht="12" thickBot="1">
      <c r="B67" s="9" t="s">
        <v>63</v>
      </c>
      <c r="C67" s="9"/>
      <c r="D67" s="9"/>
      <c r="E67" s="9" t="s">
        <v>48</v>
      </c>
      <c r="F67" s="9" t="s">
        <v>72</v>
      </c>
      <c r="G67" s="9"/>
      <c r="H67" s="9"/>
      <c r="I67" s="10" t="s">
        <v>64</v>
      </c>
      <c r="J67" s="10" t="s">
        <v>65</v>
      </c>
      <c r="K67" s="10" t="s">
        <v>66</v>
      </c>
    </row>
    <row r="68" spans="2:11">
      <c r="B68" s="3" t="s">
        <v>69</v>
      </c>
      <c r="E68" s="3" t="s">
        <v>71</v>
      </c>
      <c r="F68" s="3" t="s">
        <v>74</v>
      </c>
      <c r="I68" s="29">
        <v>0</v>
      </c>
      <c r="J68" s="34">
        <f>I69+1</f>
        <v>10001</v>
      </c>
      <c r="K68" s="34">
        <f>J69+1</f>
        <v>20001</v>
      </c>
    </row>
    <row r="69" spans="2:11">
      <c r="B69" s="3" t="s">
        <v>68</v>
      </c>
      <c r="E69" s="3" t="s">
        <v>71</v>
      </c>
      <c r="F69" s="3" t="s">
        <v>74</v>
      </c>
      <c r="I69" s="33">
        <v>10000</v>
      </c>
      <c r="J69" s="33">
        <v>20000</v>
      </c>
      <c r="K69" s="28" t="s">
        <v>75</v>
      </c>
    </row>
    <row r="70" spans="2:11">
      <c r="B70" s="3" t="s">
        <v>70</v>
      </c>
      <c r="E70" s="3" t="str">
        <f>Currency</f>
        <v>CAD</v>
      </c>
      <c r="F70" s="3" t="s">
        <v>73</v>
      </c>
      <c r="I70" s="35">
        <v>0</v>
      </c>
      <c r="J70" s="35">
        <v>0.6</v>
      </c>
      <c r="K70" s="35">
        <v>0.9</v>
      </c>
    </row>
  </sheetData>
  <conditionalFormatting sqref="K71:K1048576 L14:L70">
    <cfRule type="containsText" dxfId="0" priority="1" operator="containsText" text="FALSE">
      <formula>NOT(ISERROR(SEARCH("FALSE",K14)))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S52"/>
  <sheetViews>
    <sheetView showGridLines="0" zoomScaleNormal="100" workbookViewId="0">
      <selection activeCell="B1" sqref="B1"/>
    </sheetView>
  </sheetViews>
  <sheetFormatPr baseColWidth="10" defaultColWidth="9.1640625" defaultRowHeight="11"/>
  <cols>
    <col min="1" max="1" width="2.6640625" style="3" customWidth="1"/>
    <col min="2" max="16384" width="9.1640625" style="3"/>
  </cols>
  <sheetData>
    <row r="1" spans="1:18" s="1" customFormat="1" ht="19">
      <c r="B1" s="2" t="str">
        <f>Summary!$B$1</f>
        <v>RNFC: Highway Integrated Financial Model</v>
      </c>
    </row>
    <row r="2" spans="1:18" s="1" customFormat="1" ht="19">
      <c r="B2" s="2" t="s">
        <v>94</v>
      </c>
    </row>
    <row r="4" spans="1:18">
      <c r="A4" s="3" t="s">
        <v>0</v>
      </c>
      <c r="B4" s="4" t="s">
        <v>128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ht="12" thickBot="1">
      <c r="B5" s="9" t="s">
        <v>99</v>
      </c>
      <c r="C5" s="8"/>
      <c r="D5" s="8"/>
      <c r="E5" s="9" t="s">
        <v>48</v>
      </c>
      <c r="F5" s="9"/>
      <c r="G5" s="9"/>
      <c r="H5" s="10" t="s">
        <v>130</v>
      </c>
      <c r="I5" s="10" t="s">
        <v>131</v>
      </c>
      <c r="K5" s="9" t="s">
        <v>100</v>
      </c>
      <c r="L5" s="8"/>
      <c r="M5" s="8"/>
      <c r="N5" s="9" t="s">
        <v>48</v>
      </c>
      <c r="O5" s="9"/>
      <c r="P5" s="9"/>
      <c r="Q5" s="9"/>
      <c r="R5" s="9"/>
    </row>
    <row r="6" spans="1:18">
      <c r="B6" s="3" t="s">
        <v>96</v>
      </c>
      <c r="E6" s="3" t="str">
        <f t="shared" ref="E6:E12" si="0">Currency&amp;"mm"</f>
        <v>CADmm</v>
      </c>
      <c r="H6" s="110">
        <v>100</v>
      </c>
      <c r="I6" s="76">
        <f t="shared" ref="I6:I11" si="1">H6/$H$12</f>
        <v>0.14040276217162076</v>
      </c>
      <c r="K6" s="3" t="s">
        <v>97</v>
      </c>
      <c r="N6" s="3" t="str">
        <f>Currency&amp;"mm"</f>
        <v>CADmm</v>
      </c>
      <c r="Q6" s="24">
        <f>'Operating Assumptions'!K17</f>
        <v>625</v>
      </c>
      <c r="R6" s="76">
        <f>Q6/$Q$12</f>
        <v>0.87751726357262982</v>
      </c>
    </row>
    <row r="7" spans="1:18">
      <c r="B7" s="3" t="s">
        <v>95</v>
      </c>
      <c r="E7" s="3" t="str">
        <f t="shared" si="0"/>
        <v>CADmm</v>
      </c>
      <c r="H7" s="70">
        <f>Q12-SUM(H6,H8:H11)</f>
        <v>232.23669999999993</v>
      </c>
      <c r="I7" s="76">
        <f t="shared" si="1"/>
        <v>0.32606674157622029</v>
      </c>
      <c r="K7" s="50" t="s">
        <v>98</v>
      </c>
      <c r="L7" s="50"/>
      <c r="M7" s="50"/>
      <c r="N7" s="50" t="str">
        <f>Currency&amp;"mm"</f>
        <v>CADmm</v>
      </c>
      <c r="O7" s="50"/>
      <c r="P7" s="50"/>
      <c r="Q7" s="109">
        <f>I38</f>
        <v>4.8045399999999994</v>
      </c>
      <c r="R7" s="143">
        <f>Q7/$Q$12</f>
        <v>6.7457068696403872E-3</v>
      </c>
    </row>
    <row r="8" spans="1:18">
      <c r="B8" s="3" t="s">
        <v>182</v>
      </c>
      <c r="E8" s="3" t="str">
        <f t="shared" si="0"/>
        <v>CADmm</v>
      </c>
      <c r="H8" s="110">
        <v>110</v>
      </c>
      <c r="I8" s="76">
        <f t="shared" si="1"/>
        <v>0.15444303838878284</v>
      </c>
      <c r="K8" s="3" t="s">
        <v>201</v>
      </c>
      <c r="N8" s="50" t="str">
        <f>Currency&amp;"mm"</f>
        <v>CADmm</v>
      </c>
      <c r="Q8" s="152">
        <f>-FV('Operating Assumptions'!H61*Inflation,ConstructionPeriod,'Operating Assumptions'!K62)</f>
        <v>82.432159999999968</v>
      </c>
      <c r="R8" s="143">
        <f>Q8/$Q$12</f>
        <v>0.11573702955772987</v>
      </c>
    </row>
    <row r="9" spans="1:18">
      <c r="B9" s="3" t="s">
        <v>183</v>
      </c>
      <c r="E9" s="3" t="str">
        <f t="shared" si="0"/>
        <v>CADmm</v>
      </c>
      <c r="H9" s="110">
        <v>100</v>
      </c>
      <c r="I9" s="76">
        <f t="shared" si="1"/>
        <v>0.14040276217162076</v>
      </c>
    </row>
    <row r="10" spans="1:18">
      <c r="B10" s="3" t="s">
        <v>184</v>
      </c>
      <c r="E10" s="3" t="str">
        <f t="shared" si="0"/>
        <v>CADmm</v>
      </c>
      <c r="H10" s="110">
        <v>90</v>
      </c>
      <c r="I10" s="76">
        <f t="shared" si="1"/>
        <v>0.1263624859544587</v>
      </c>
    </row>
    <row r="11" spans="1:18">
      <c r="B11" s="13" t="s">
        <v>185</v>
      </c>
      <c r="C11" s="13"/>
      <c r="D11" s="13"/>
      <c r="E11" s="13" t="str">
        <f t="shared" si="0"/>
        <v>CADmm</v>
      </c>
      <c r="F11" s="13"/>
      <c r="G11" s="13"/>
      <c r="H11" s="111">
        <v>80</v>
      </c>
      <c r="I11" s="77">
        <f t="shared" si="1"/>
        <v>0.11232220973729662</v>
      </c>
      <c r="K11" s="118"/>
      <c r="L11" s="118"/>
      <c r="M11" s="118"/>
      <c r="N11" s="118"/>
      <c r="O11" s="118"/>
      <c r="P11" s="118"/>
      <c r="Q11" s="118"/>
      <c r="R11" s="118"/>
    </row>
    <row r="12" spans="1:18">
      <c r="B12" s="15" t="s">
        <v>20</v>
      </c>
      <c r="C12" s="15"/>
      <c r="D12" s="15"/>
      <c r="E12" s="15" t="str">
        <f t="shared" si="0"/>
        <v>CADmm</v>
      </c>
      <c r="F12" s="15"/>
      <c r="G12" s="15"/>
      <c r="H12" s="58">
        <f>SUM(H6:H11)</f>
        <v>712.23669999999993</v>
      </c>
      <c r="I12" s="108">
        <f>SUM(I6:I11)</f>
        <v>1</v>
      </c>
      <c r="K12" s="15" t="s">
        <v>20</v>
      </c>
      <c r="L12" s="15"/>
      <c r="M12" s="15"/>
      <c r="N12" s="15" t="str">
        <f>Currency&amp;"mm"</f>
        <v>CADmm</v>
      </c>
      <c r="O12" s="15"/>
      <c r="P12" s="15"/>
      <c r="Q12" s="58">
        <f>SUM(Q6:Q11)</f>
        <v>712.23669999999993</v>
      </c>
      <c r="R12" s="108">
        <f>SUM(R6:R11)</f>
        <v>1</v>
      </c>
    </row>
    <row r="14" spans="1:18">
      <c r="A14" s="3" t="s">
        <v>0</v>
      </c>
      <c r="B14" s="4" t="s">
        <v>188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>
      <c r="I15" s="133">
        <v>1</v>
      </c>
      <c r="J15" s="133">
        <f t="shared" ref="J15:R15" si="2">IF(J16="","",I15+1)</f>
        <v>2</v>
      </c>
      <c r="K15" s="133">
        <f t="shared" si="2"/>
        <v>3</v>
      </c>
      <c r="L15" s="133">
        <f t="shared" si="2"/>
        <v>4</v>
      </c>
      <c r="M15" s="133">
        <f t="shared" si="2"/>
        <v>5</v>
      </c>
      <c r="N15" s="133">
        <f t="shared" si="2"/>
        <v>6</v>
      </c>
      <c r="O15" s="133">
        <f t="shared" si="2"/>
        <v>7</v>
      </c>
      <c r="P15" s="133">
        <f t="shared" si="2"/>
        <v>8</v>
      </c>
      <c r="Q15" s="133">
        <f t="shared" si="2"/>
        <v>9</v>
      </c>
      <c r="R15" s="133">
        <f t="shared" si="2"/>
        <v>10</v>
      </c>
    </row>
    <row r="16" spans="1:18" ht="12" thickBot="1">
      <c r="B16" s="9" t="s">
        <v>190</v>
      </c>
      <c r="C16" s="8"/>
      <c r="D16" s="8"/>
      <c r="E16" s="9" t="s">
        <v>48</v>
      </c>
      <c r="F16" s="9" t="s">
        <v>72</v>
      </c>
      <c r="G16" s="8"/>
      <c r="H16" s="8"/>
      <c r="I16" s="9">
        <f>YEAR(Now)</f>
        <v>2016</v>
      </c>
      <c r="J16" s="9">
        <f t="shared" ref="J16:R16" si="3">IFERROR(IF(I16+1&gt;End,"",I16+1),"")</f>
        <v>2017</v>
      </c>
      <c r="K16" s="9">
        <f t="shared" si="3"/>
        <v>2018</v>
      </c>
      <c r="L16" s="9">
        <f t="shared" si="3"/>
        <v>2019</v>
      </c>
      <c r="M16" s="9">
        <f t="shared" si="3"/>
        <v>2020</v>
      </c>
      <c r="N16" s="9">
        <f t="shared" si="3"/>
        <v>2021</v>
      </c>
      <c r="O16" s="9">
        <f t="shared" si="3"/>
        <v>2022</v>
      </c>
      <c r="P16" s="9">
        <f t="shared" si="3"/>
        <v>2023</v>
      </c>
      <c r="Q16" s="9">
        <f t="shared" si="3"/>
        <v>2024</v>
      </c>
      <c r="R16" s="9">
        <f t="shared" si="3"/>
        <v>2025</v>
      </c>
    </row>
    <row r="17" spans="1:19">
      <c r="B17" s="3" t="s">
        <v>97</v>
      </c>
      <c r="E17" s="3" t="str">
        <f>Currency&amp;"mm"</f>
        <v>CADmm</v>
      </c>
      <c r="I17" s="70">
        <f>$Q$6*I18</f>
        <v>218.75</v>
      </c>
      <c r="J17" s="70">
        <f t="shared" ref="J17:R17" si="4">$Q$6*J18</f>
        <v>125</v>
      </c>
      <c r="K17" s="70">
        <f t="shared" si="4"/>
        <v>125</v>
      </c>
      <c r="L17" s="70">
        <f t="shared" si="4"/>
        <v>156.25</v>
      </c>
      <c r="M17" s="70">
        <f t="shared" si="4"/>
        <v>0</v>
      </c>
      <c r="N17" s="70">
        <f t="shared" si="4"/>
        <v>0</v>
      </c>
      <c r="O17" s="70">
        <f t="shared" si="4"/>
        <v>0</v>
      </c>
      <c r="P17" s="70">
        <f t="shared" si="4"/>
        <v>0</v>
      </c>
      <c r="Q17" s="70">
        <f t="shared" si="4"/>
        <v>0</v>
      </c>
      <c r="R17" s="70">
        <f t="shared" si="4"/>
        <v>0</v>
      </c>
    </row>
    <row r="18" spans="1:19">
      <c r="B18" s="83" t="s">
        <v>191</v>
      </c>
      <c r="E18" s="3" t="str">
        <f>Currency&amp;"mm"</f>
        <v>CADmm</v>
      </c>
      <c r="I18" s="90">
        <f>IF(I16&lt;COD,VLOOKUP(I15,'Operating Assumptions'!$J$20:$K$25,2),0)</f>
        <v>0.35</v>
      </c>
      <c r="J18" s="90">
        <f>IF(J16&lt;COD,VLOOKUP(J15,'Operating Assumptions'!$J$20:$K$25,2),0)</f>
        <v>0.2</v>
      </c>
      <c r="K18" s="90">
        <f>IF(K16&lt;COD,VLOOKUP(K15,'Operating Assumptions'!$J$20:$K$25,2),0)</f>
        <v>0.2</v>
      </c>
      <c r="L18" s="90">
        <f>IF(L16&lt;COD,VLOOKUP(L15,'Operating Assumptions'!$J$20:$K$25,2),0)</f>
        <v>0.25</v>
      </c>
      <c r="M18" s="90">
        <f>IF(M16&lt;COD,VLOOKUP(M15,'Operating Assumptions'!$J$20:$K$25,2),0)</f>
        <v>0</v>
      </c>
      <c r="N18" s="90">
        <f>IF(N16&lt;COD,VLOOKUP(N15,'Operating Assumptions'!$J$20:$K$25,2),0)</f>
        <v>0</v>
      </c>
      <c r="O18" s="90">
        <f>IF(O16&lt;COD,VLOOKUP(O15,'Operating Assumptions'!$J$20:$K$25,2),0)</f>
        <v>0</v>
      </c>
      <c r="P18" s="90">
        <f>IF(P16&lt;COD,VLOOKUP(P15,'Operating Assumptions'!$J$20:$K$25,2),0)</f>
        <v>0</v>
      </c>
      <c r="Q18" s="90">
        <f>IF(Q16&lt;COD,VLOOKUP(Q15,'Operating Assumptions'!$J$20:$K$25,2),0)</f>
        <v>0</v>
      </c>
      <c r="R18" s="90">
        <f>IF(R16&lt;COD,VLOOKUP(R15,'Operating Assumptions'!$J$20:$K$25,2),0)</f>
        <v>0</v>
      </c>
    </row>
    <row r="19" spans="1:19">
      <c r="B19" s="100" t="str">
        <f>Model!B45</f>
        <v xml:space="preserve">Concessionaire Costs </v>
      </c>
      <c r="C19" s="100"/>
      <c r="D19" s="100"/>
      <c r="E19" s="3" t="str">
        <f>Currency&amp;"mm"</f>
        <v>CADmm</v>
      </c>
      <c r="F19" s="100"/>
      <c r="G19" s="100"/>
      <c r="H19" s="100"/>
      <c r="I19" s="70">
        <f>IF(I16&lt;COD,Model!I45,0)</f>
        <v>20</v>
      </c>
      <c r="J19" s="70">
        <f>IF(J16&lt;COD,Model!J45,0)</f>
        <v>20.399999999999999</v>
      </c>
      <c r="K19" s="70">
        <f>IF(K16&lt;COD,Model!K45,0)</f>
        <v>20.808</v>
      </c>
      <c r="L19" s="70">
        <f>IF(L16&lt;COD,Model!L45,0)</f>
        <v>21.224159999999998</v>
      </c>
      <c r="M19" s="70">
        <f>IF(M16&lt;COD,Model!M45,0)</f>
        <v>0</v>
      </c>
      <c r="N19" s="70">
        <f>IF(N16&lt;COD,Model!N45,0)</f>
        <v>0</v>
      </c>
      <c r="O19" s="70">
        <f>IF(O16&lt;COD,Model!O45,0)</f>
        <v>0</v>
      </c>
      <c r="P19" s="70">
        <f>IF(P16&lt;COD,Model!P45,0)</f>
        <v>0</v>
      </c>
      <c r="Q19" s="70">
        <f>IF(Q16&lt;COD,Model!Q45,0)</f>
        <v>0</v>
      </c>
      <c r="R19" s="70">
        <f>IF(R16&lt;COD,Model!R45,0)</f>
        <v>0</v>
      </c>
    </row>
    <row r="20" spans="1:19">
      <c r="B20" s="118" t="s">
        <v>189</v>
      </c>
      <c r="C20" s="118"/>
      <c r="D20" s="118"/>
      <c r="E20" s="118" t="str">
        <f>Currency&amp;"mm"</f>
        <v>CADmm</v>
      </c>
      <c r="F20" s="118"/>
      <c r="G20" s="118"/>
      <c r="H20" s="118"/>
      <c r="I20" s="122">
        <f>I38</f>
        <v>4.8045399999999994</v>
      </c>
      <c r="J20" s="144"/>
      <c r="K20" s="144"/>
      <c r="L20" s="144"/>
      <c r="M20" s="144"/>
      <c r="N20" s="144"/>
      <c r="O20" s="144"/>
      <c r="P20" s="144"/>
      <c r="Q20" s="144"/>
      <c r="R20" s="144"/>
    </row>
    <row r="21" spans="1:19">
      <c r="B21" s="145" t="s">
        <v>20</v>
      </c>
      <c r="C21" s="145"/>
      <c r="D21" s="145"/>
      <c r="E21" s="145"/>
      <c r="F21" s="145"/>
      <c r="G21" s="145"/>
      <c r="H21" s="145"/>
      <c r="I21" s="146">
        <f>I17+I20+I19</f>
        <v>243.55454</v>
      </c>
      <c r="J21" s="146">
        <f t="shared" ref="J21:R21" si="5">J17+J20+J19</f>
        <v>145.4</v>
      </c>
      <c r="K21" s="146">
        <f t="shared" si="5"/>
        <v>145.80799999999999</v>
      </c>
      <c r="L21" s="146">
        <f t="shared" si="5"/>
        <v>177.47415999999998</v>
      </c>
      <c r="M21" s="146">
        <f t="shared" si="5"/>
        <v>0</v>
      </c>
      <c r="N21" s="146">
        <f t="shared" si="5"/>
        <v>0</v>
      </c>
      <c r="O21" s="146">
        <f t="shared" si="5"/>
        <v>0</v>
      </c>
      <c r="P21" s="146">
        <f t="shared" si="5"/>
        <v>0</v>
      </c>
      <c r="Q21" s="146">
        <f t="shared" si="5"/>
        <v>0</v>
      </c>
      <c r="R21" s="146">
        <f t="shared" si="5"/>
        <v>0</v>
      </c>
      <c r="S21" s="12" t="b">
        <f>SUM(I21:R21)=Q12</f>
        <v>1</v>
      </c>
    </row>
    <row r="23" spans="1:19" ht="12" thickBot="1">
      <c r="B23" s="9" t="s">
        <v>192</v>
      </c>
      <c r="C23" s="8"/>
      <c r="D23" s="8"/>
      <c r="E23" s="9" t="s">
        <v>48</v>
      </c>
      <c r="F23" s="9" t="s">
        <v>72</v>
      </c>
      <c r="G23" s="8"/>
      <c r="H23" s="8"/>
      <c r="I23" s="9">
        <f>YEAR(Now)</f>
        <v>2016</v>
      </c>
      <c r="J23" s="9">
        <f t="shared" ref="J23:R23" si="6">IFERROR(IF(I23+1&gt;End,"",I23+1),"")</f>
        <v>2017</v>
      </c>
      <c r="K23" s="9">
        <f t="shared" si="6"/>
        <v>2018</v>
      </c>
      <c r="L23" s="9">
        <f t="shared" si="6"/>
        <v>2019</v>
      </c>
      <c r="M23" s="9">
        <f t="shared" si="6"/>
        <v>2020</v>
      </c>
      <c r="N23" s="9">
        <f t="shared" si="6"/>
        <v>2021</v>
      </c>
      <c r="O23" s="9">
        <f t="shared" si="6"/>
        <v>2022</v>
      </c>
      <c r="P23" s="9">
        <f t="shared" si="6"/>
        <v>2023</v>
      </c>
      <c r="Q23" s="9">
        <f t="shared" si="6"/>
        <v>2024</v>
      </c>
      <c r="R23" s="9">
        <f t="shared" si="6"/>
        <v>2025</v>
      </c>
    </row>
    <row r="24" spans="1:19">
      <c r="B24" s="3" t="str">
        <f t="shared" ref="B24:B29" si="7">B6</f>
        <v>Construction Subsidy</v>
      </c>
      <c r="I24" s="70">
        <f t="shared" ref="I24:I29" si="8">SUM(I$17,I$20,I$19)*$I6</f>
        <v>34.195730155438497</v>
      </c>
      <c r="J24" s="70">
        <f t="shared" ref="J24:R29" si="9">SUM(J$17,J$20,J$19)*$I6</f>
        <v>20.414561619753659</v>
      </c>
      <c r="K24" s="70">
        <f t="shared" si="9"/>
        <v>20.471845946719679</v>
      </c>
      <c r="L24" s="70">
        <f t="shared" si="9"/>
        <v>24.917862278088169</v>
      </c>
      <c r="M24" s="70">
        <f t="shared" si="9"/>
        <v>0</v>
      </c>
      <c r="N24" s="70">
        <f t="shared" si="9"/>
        <v>0</v>
      </c>
      <c r="O24" s="70">
        <f t="shared" si="9"/>
        <v>0</v>
      </c>
      <c r="P24" s="70">
        <f t="shared" si="9"/>
        <v>0</v>
      </c>
      <c r="Q24" s="70">
        <f t="shared" si="9"/>
        <v>0</v>
      </c>
      <c r="R24" s="70">
        <f t="shared" si="9"/>
        <v>0</v>
      </c>
    </row>
    <row r="25" spans="1:19">
      <c r="B25" s="3" t="str">
        <f t="shared" si="7"/>
        <v>Equity</v>
      </c>
      <c r="I25" s="70">
        <f t="shared" si="8"/>
        <v>79.415035253895212</v>
      </c>
      <c r="J25" s="70">
        <f t="shared" si="9"/>
        <v>47.41010422518243</v>
      </c>
      <c r="K25" s="70">
        <f t="shared" si="9"/>
        <v>47.543139455745525</v>
      </c>
      <c r="L25" s="70">
        <f t="shared" si="9"/>
        <v>57.868421065176769</v>
      </c>
      <c r="M25" s="70">
        <f t="shared" si="9"/>
        <v>0</v>
      </c>
      <c r="N25" s="70">
        <f t="shared" si="9"/>
        <v>0</v>
      </c>
      <c r="O25" s="70">
        <f t="shared" si="9"/>
        <v>0</v>
      </c>
      <c r="P25" s="70">
        <f t="shared" si="9"/>
        <v>0</v>
      </c>
      <c r="Q25" s="70">
        <f t="shared" si="9"/>
        <v>0</v>
      </c>
      <c r="R25" s="70">
        <f t="shared" si="9"/>
        <v>0</v>
      </c>
    </row>
    <row r="26" spans="1:19">
      <c r="B26" s="3" t="str">
        <f t="shared" si="7"/>
        <v>Debt Tranche 1</v>
      </c>
      <c r="I26" s="70">
        <f t="shared" si="8"/>
        <v>37.615303170982344</v>
      </c>
      <c r="J26" s="70">
        <f t="shared" si="9"/>
        <v>22.456017781729027</v>
      </c>
      <c r="K26" s="70">
        <f t="shared" si="9"/>
        <v>22.519030541391647</v>
      </c>
      <c r="L26" s="70">
        <f t="shared" si="9"/>
        <v>27.409648505896985</v>
      </c>
      <c r="M26" s="70">
        <f t="shared" si="9"/>
        <v>0</v>
      </c>
      <c r="N26" s="70">
        <f t="shared" si="9"/>
        <v>0</v>
      </c>
      <c r="O26" s="70">
        <f t="shared" si="9"/>
        <v>0</v>
      </c>
      <c r="P26" s="70">
        <f t="shared" si="9"/>
        <v>0</v>
      </c>
      <c r="Q26" s="70">
        <f t="shared" si="9"/>
        <v>0</v>
      </c>
      <c r="R26" s="70">
        <f t="shared" si="9"/>
        <v>0</v>
      </c>
    </row>
    <row r="27" spans="1:19">
      <c r="B27" s="3" t="str">
        <f t="shared" si="7"/>
        <v>Debt Tranche 2</v>
      </c>
      <c r="I27" s="70">
        <f t="shared" si="8"/>
        <v>34.195730155438497</v>
      </c>
      <c r="J27" s="70">
        <f t="shared" si="9"/>
        <v>20.414561619753659</v>
      </c>
      <c r="K27" s="70">
        <f t="shared" si="9"/>
        <v>20.471845946719679</v>
      </c>
      <c r="L27" s="70">
        <f t="shared" si="9"/>
        <v>24.917862278088169</v>
      </c>
      <c r="M27" s="70">
        <f t="shared" si="9"/>
        <v>0</v>
      </c>
      <c r="N27" s="70">
        <f t="shared" si="9"/>
        <v>0</v>
      </c>
      <c r="O27" s="70">
        <f t="shared" si="9"/>
        <v>0</v>
      </c>
      <c r="P27" s="70">
        <f t="shared" si="9"/>
        <v>0</v>
      </c>
      <c r="Q27" s="70">
        <f t="shared" si="9"/>
        <v>0</v>
      </c>
      <c r="R27" s="70">
        <f t="shared" si="9"/>
        <v>0</v>
      </c>
    </row>
    <row r="28" spans="1:19">
      <c r="B28" s="3" t="str">
        <f t="shared" si="7"/>
        <v>Debt Tranche 3</v>
      </c>
      <c r="I28" s="70">
        <f t="shared" si="8"/>
        <v>30.77615713989465</v>
      </c>
      <c r="J28" s="70">
        <f t="shared" si="9"/>
        <v>18.373105457778298</v>
      </c>
      <c r="K28" s="70">
        <f t="shared" si="9"/>
        <v>18.424661352047714</v>
      </c>
      <c r="L28" s="70">
        <f t="shared" si="9"/>
        <v>22.426076050279356</v>
      </c>
      <c r="M28" s="70">
        <f t="shared" si="9"/>
        <v>0</v>
      </c>
      <c r="N28" s="70">
        <f t="shared" si="9"/>
        <v>0</v>
      </c>
      <c r="O28" s="70">
        <f t="shared" si="9"/>
        <v>0</v>
      </c>
      <c r="P28" s="70">
        <f t="shared" si="9"/>
        <v>0</v>
      </c>
      <c r="Q28" s="70">
        <f t="shared" si="9"/>
        <v>0</v>
      </c>
      <c r="R28" s="70">
        <f t="shared" si="9"/>
        <v>0</v>
      </c>
    </row>
    <row r="29" spans="1:19">
      <c r="B29" s="118" t="str">
        <f t="shared" si="7"/>
        <v>Debt Tranche 4</v>
      </c>
      <c r="C29" s="118"/>
      <c r="D29" s="118"/>
      <c r="E29" s="118"/>
      <c r="F29" s="118"/>
      <c r="G29" s="118"/>
      <c r="H29" s="118"/>
      <c r="I29" s="122">
        <f t="shared" si="8"/>
        <v>27.3565841243508</v>
      </c>
      <c r="J29" s="122">
        <f t="shared" si="9"/>
        <v>16.331649295802929</v>
      </c>
      <c r="K29" s="122">
        <f t="shared" si="9"/>
        <v>16.377476757375746</v>
      </c>
      <c r="L29" s="122">
        <f t="shared" si="9"/>
        <v>19.934289822470536</v>
      </c>
      <c r="M29" s="122">
        <f t="shared" si="9"/>
        <v>0</v>
      </c>
      <c r="N29" s="122">
        <f t="shared" si="9"/>
        <v>0</v>
      </c>
      <c r="O29" s="122">
        <f t="shared" si="9"/>
        <v>0</v>
      </c>
      <c r="P29" s="122">
        <f t="shared" si="9"/>
        <v>0</v>
      </c>
      <c r="Q29" s="122">
        <f t="shared" si="9"/>
        <v>0</v>
      </c>
      <c r="R29" s="122">
        <f t="shared" si="9"/>
        <v>0</v>
      </c>
    </row>
    <row r="30" spans="1:19">
      <c r="B30" s="15" t="s">
        <v>20</v>
      </c>
      <c r="C30" s="15"/>
      <c r="D30" s="15"/>
      <c r="E30" s="15"/>
      <c r="F30" s="15"/>
      <c r="G30" s="15"/>
      <c r="H30" s="15"/>
      <c r="I30" s="58">
        <f>SUM(I24:I29)</f>
        <v>243.55454</v>
      </c>
      <c r="J30" s="58">
        <f t="shared" ref="J30:R30" si="10">SUM(J24:J29)</f>
        <v>145.4</v>
      </c>
      <c r="K30" s="58">
        <f t="shared" si="10"/>
        <v>145.80799999999999</v>
      </c>
      <c r="L30" s="58">
        <f t="shared" si="10"/>
        <v>177.47415999999998</v>
      </c>
      <c r="M30" s="58">
        <f t="shared" si="10"/>
        <v>0</v>
      </c>
      <c r="N30" s="58">
        <f t="shared" si="10"/>
        <v>0</v>
      </c>
      <c r="O30" s="58">
        <f t="shared" si="10"/>
        <v>0</v>
      </c>
      <c r="P30" s="58">
        <f t="shared" si="10"/>
        <v>0</v>
      </c>
      <c r="Q30" s="58">
        <f t="shared" si="10"/>
        <v>0</v>
      </c>
      <c r="R30" s="58">
        <f t="shared" si="10"/>
        <v>0</v>
      </c>
      <c r="S30" s="12" t="b">
        <f>SUM(I30:R30)=H12</f>
        <v>1</v>
      </c>
    </row>
    <row r="31" spans="1:19">
      <c r="I31" s="154"/>
      <c r="J31" s="154"/>
      <c r="K31" s="154"/>
      <c r="L31" s="154"/>
    </row>
    <row r="32" spans="1:19">
      <c r="A32" s="3" t="s">
        <v>0</v>
      </c>
      <c r="B32" s="4" t="s">
        <v>133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2:18" ht="12" thickBot="1">
      <c r="B33" s="9" t="s">
        <v>129</v>
      </c>
      <c r="C33" s="8"/>
      <c r="D33" s="8"/>
      <c r="E33" s="9" t="s">
        <v>48</v>
      </c>
      <c r="F33" s="8"/>
      <c r="G33" s="10" t="s">
        <v>132</v>
      </c>
      <c r="H33" s="10" t="s">
        <v>131</v>
      </c>
      <c r="I33" s="10" t="s">
        <v>130</v>
      </c>
      <c r="K33" s="147" t="s">
        <v>193</v>
      </c>
      <c r="L33" s="147"/>
      <c r="M33" s="147"/>
      <c r="N33" s="9" t="s">
        <v>48</v>
      </c>
      <c r="O33" s="147"/>
      <c r="P33" s="147"/>
      <c r="Q33" s="148" t="s">
        <v>198</v>
      </c>
      <c r="R33" s="148" t="s">
        <v>197</v>
      </c>
    </row>
    <row r="34" spans="2:18">
      <c r="B34" s="3" t="str">
        <f>B8</f>
        <v>Debt Tranche 1</v>
      </c>
      <c r="E34" s="3" t="str">
        <f>Currency&amp;"mm"</f>
        <v>CADmm</v>
      </c>
      <c r="G34" s="70">
        <f>H8</f>
        <v>110</v>
      </c>
      <c r="H34" s="112">
        <v>1.0004000000000001E-2</v>
      </c>
      <c r="I34" s="106">
        <f>G34*H34</f>
        <v>1.1004400000000001</v>
      </c>
      <c r="K34" s="3" t="s">
        <v>195</v>
      </c>
      <c r="N34" s="3" t="s">
        <v>199</v>
      </c>
      <c r="Q34" s="149">
        <v>1.2</v>
      </c>
      <c r="R34" s="149">
        <v>1</v>
      </c>
    </row>
    <row r="35" spans="2:18">
      <c r="B35" s="3" t="str">
        <f>B9</f>
        <v>Debt Tranche 2</v>
      </c>
      <c r="E35" s="3" t="str">
        <f>Currency&amp;"mm"</f>
        <v>CADmm</v>
      </c>
      <c r="G35" s="70">
        <f>H9</f>
        <v>100</v>
      </c>
      <c r="H35" s="112">
        <v>1.423E-2</v>
      </c>
      <c r="I35" s="106">
        <f>G35*H35</f>
        <v>1.423</v>
      </c>
      <c r="K35" s="3" t="s">
        <v>194</v>
      </c>
      <c r="N35" s="3" t="s">
        <v>199</v>
      </c>
      <c r="Q35" s="149">
        <v>1.2</v>
      </c>
      <c r="R35" s="149">
        <v>1</v>
      </c>
    </row>
    <row r="36" spans="2:18">
      <c r="B36" s="3" t="str">
        <f>B10</f>
        <v>Debt Tranche 3</v>
      </c>
      <c r="E36" s="3" t="str">
        <f>Currency&amp;"mm"</f>
        <v>CADmm</v>
      </c>
      <c r="G36" s="70">
        <f>H10</f>
        <v>90</v>
      </c>
      <c r="H36" s="112">
        <v>1.243E-2</v>
      </c>
      <c r="I36" s="106">
        <f>G36*H36</f>
        <v>1.1187</v>
      </c>
      <c r="K36" s="3" t="s">
        <v>196</v>
      </c>
      <c r="N36" s="3" t="str">
        <f>Currency&amp;"mm"</f>
        <v>CADmm</v>
      </c>
      <c r="Q36" s="114">
        <v>300</v>
      </c>
      <c r="R36" s="183"/>
    </row>
    <row r="37" spans="2:18">
      <c r="B37" s="50" t="str">
        <f>B11</f>
        <v>Debt Tranche 4</v>
      </c>
      <c r="C37" s="50"/>
      <c r="D37" s="50"/>
      <c r="E37" s="3" t="str">
        <f>Currency&amp;"mm"</f>
        <v>CADmm</v>
      </c>
      <c r="F37" s="50"/>
      <c r="G37" s="109">
        <f>H11</f>
        <v>80</v>
      </c>
      <c r="H37" s="113">
        <v>1.453E-2</v>
      </c>
      <c r="I37" s="107">
        <f>G37*H37</f>
        <v>1.1623999999999999</v>
      </c>
      <c r="K37" s="3" t="s">
        <v>200</v>
      </c>
      <c r="N37" s="3" t="str">
        <f>Currency&amp;"mm"</f>
        <v>CADmm</v>
      </c>
      <c r="Q37" s="114">
        <v>300</v>
      </c>
      <c r="R37" s="183"/>
    </row>
    <row r="38" spans="2:18">
      <c r="B38" s="15" t="s">
        <v>20</v>
      </c>
      <c r="C38" s="15"/>
      <c r="D38" s="15"/>
      <c r="E38" s="15" t="str">
        <f>Currency&amp;"mm"</f>
        <v>CADmm</v>
      </c>
      <c r="F38" s="15"/>
      <c r="G38" s="103"/>
      <c r="H38" s="108"/>
      <c r="I38" s="58">
        <f>SUM(I34:I37)</f>
        <v>4.8045399999999994</v>
      </c>
    </row>
    <row r="40" spans="2:18" ht="12" thickBot="1">
      <c r="B40" s="9" t="str">
        <f>B8</f>
        <v>Debt Tranche 1</v>
      </c>
      <c r="C40" s="9"/>
      <c r="D40" s="9"/>
      <c r="E40" s="9" t="s">
        <v>48</v>
      </c>
      <c r="F40" s="9"/>
      <c r="G40" s="9"/>
      <c r="H40" s="9"/>
      <c r="I40" s="9"/>
      <c r="K40" s="9" t="str">
        <f>B35</f>
        <v>Debt Tranche 2</v>
      </c>
      <c r="L40" s="9"/>
      <c r="M40" s="9"/>
      <c r="N40" s="9" t="s">
        <v>48</v>
      </c>
      <c r="O40" s="9"/>
      <c r="P40" s="9"/>
      <c r="Q40" s="9"/>
      <c r="R40" s="9"/>
    </row>
    <row r="41" spans="2:18">
      <c r="B41" s="3" t="s">
        <v>132</v>
      </c>
      <c r="E41" s="3" t="str">
        <f>Currency&amp;"mm"</f>
        <v>CADmm</v>
      </c>
      <c r="I41" s="70">
        <f>H8</f>
        <v>110</v>
      </c>
      <c r="K41" s="3" t="s">
        <v>132</v>
      </c>
      <c r="N41" s="3" t="str">
        <f>Currency&amp;"mm"</f>
        <v>CADmm</v>
      </c>
      <c r="R41" s="70">
        <f>H9</f>
        <v>100</v>
      </c>
    </row>
    <row r="42" spans="2:18">
      <c r="B42" s="3" t="s">
        <v>134</v>
      </c>
      <c r="E42" s="3" t="s">
        <v>51</v>
      </c>
      <c r="I42" s="115">
        <v>4.4999999999999998E-2</v>
      </c>
      <c r="K42" s="3" t="s">
        <v>134</v>
      </c>
      <c r="N42" s="3" t="s">
        <v>51</v>
      </c>
      <c r="R42" s="115">
        <v>4.4999999999999998E-2</v>
      </c>
    </row>
    <row r="43" spans="2:18">
      <c r="B43" s="3" t="s">
        <v>135</v>
      </c>
      <c r="E43" s="3" t="s">
        <v>62</v>
      </c>
      <c r="I43" s="114">
        <v>20</v>
      </c>
      <c r="K43" s="3" t="s">
        <v>135</v>
      </c>
      <c r="N43" s="3" t="s">
        <v>62</v>
      </c>
      <c r="R43" s="114">
        <v>21</v>
      </c>
    </row>
    <row r="44" spans="2:18">
      <c r="B44" s="3" t="s">
        <v>186</v>
      </c>
      <c r="E44" s="3" t="s">
        <v>62</v>
      </c>
      <c r="I44" s="114">
        <v>4</v>
      </c>
      <c r="K44" s="3" t="s">
        <v>186</v>
      </c>
      <c r="N44" s="3" t="s">
        <v>62</v>
      </c>
      <c r="R44" s="114">
        <v>4</v>
      </c>
    </row>
    <row r="45" spans="2:18">
      <c r="B45" s="3" t="s">
        <v>137</v>
      </c>
      <c r="E45" s="3" t="s">
        <v>166</v>
      </c>
      <c r="I45" s="116" t="s">
        <v>165</v>
      </c>
      <c r="K45" s="3" t="s">
        <v>137</v>
      </c>
      <c r="N45" s="3" t="s">
        <v>166</v>
      </c>
      <c r="R45" s="116" t="s">
        <v>165</v>
      </c>
    </row>
    <row r="47" spans="2:18" ht="12" thickBot="1">
      <c r="B47" s="9" t="str">
        <f>B10</f>
        <v>Debt Tranche 3</v>
      </c>
      <c r="C47" s="9"/>
      <c r="D47" s="9"/>
      <c r="E47" s="9" t="s">
        <v>48</v>
      </c>
      <c r="F47" s="9"/>
      <c r="G47" s="9"/>
      <c r="H47" s="9"/>
      <c r="I47" s="9"/>
      <c r="K47" s="9" t="str">
        <f>B11</f>
        <v>Debt Tranche 4</v>
      </c>
      <c r="L47" s="9"/>
      <c r="M47" s="9"/>
      <c r="N47" s="9" t="s">
        <v>48</v>
      </c>
      <c r="O47" s="9"/>
      <c r="P47" s="9"/>
      <c r="Q47" s="9"/>
      <c r="R47" s="9"/>
    </row>
    <row r="48" spans="2:18">
      <c r="B48" s="3" t="s">
        <v>132</v>
      </c>
      <c r="E48" s="3" t="str">
        <f>Currency&amp;"mm"</f>
        <v>CADmm</v>
      </c>
      <c r="I48" s="70">
        <f>H10</f>
        <v>90</v>
      </c>
      <c r="K48" s="3" t="s">
        <v>132</v>
      </c>
      <c r="N48" s="3" t="str">
        <f>Currency&amp;"mm"</f>
        <v>CADmm</v>
      </c>
      <c r="R48" s="70">
        <f>H11</f>
        <v>80</v>
      </c>
    </row>
    <row r="49" spans="2:18">
      <c r="B49" s="3" t="s">
        <v>134</v>
      </c>
      <c r="E49" s="3" t="s">
        <v>51</v>
      </c>
      <c r="I49" s="115">
        <v>0.05</v>
      </c>
      <c r="K49" s="3" t="s">
        <v>134</v>
      </c>
      <c r="N49" s="3" t="s">
        <v>51</v>
      </c>
      <c r="R49" s="115">
        <v>0.05</v>
      </c>
    </row>
    <row r="50" spans="2:18">
      <c r="B50" s="3" t="s">
        <v>135</v>
      </c>
      <c r="E50" s="3" t="s">
        <v>62</v>
      </c>
      <c r="I50" s="114">
        <v>22</v>
      </c>
      <c r="K50" s="3" t="s">
        <v>135</v>
      </c>
      <c r="N50" s="3" t="s">
        <v>62</v>
      </c>
      <c r="R50" s="114">
        <v>23</v>
      </c>
    </row>
    <row r="51" spans="2:18">
      <c r="B51" s="3" t="s">
        <v>186</v>
      </c>
      <c r="E51" s="3" t="s">
        <v>62</v>
      </c>
      <c r="I51" s="114">
        <v>4</v>
      </c>
      <c r="K51" s="3" t="s">
        <v>186</v>
      </c>
      <c r="N51" s="3" t="s">
        <v>62</v>
      </c>
      <c r="R51" s="114">
        <v>4</v>
      </c>
    </row>
    <row r="52" spans="2:18">
      <c r="B52" s="3" t="s">
        <v>137</v>
      </c>
      <c r="E52" s="3" t="s">
        <v>166</v>
      </c>
      <c r="I52" s="116" t="s">
        <v>187</v>
      </c>
      <c r="K52" s="3" t="s">
        <v>137</v>
      </c>
      <c r="N52" s="3" t="s">
        <v>166</v>
      </c>
      <c r="R52" s="116" t="s">
        <v>138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DS122"/>
  <sheetViews>
    <sheetView showGridLines="0" zoomScaleNormal="100" workbookViewId="0">
      <pane xSplit="7" ySplit="2" topLeftCell="H79" activePane="bottomRight" state="frozen"/>
      <selection pane="topRight" activeCell="H1" sqref="H1"/>
      <selection pane="bottomLeft" activeCell="A3" sqref="A3"/>
      <selection pane="bottomRight" activeCell="B1" sqref="B1"/>
    </sheetView>
  </sheetViews>
  <sheetFormatPr baseColWidth="10" defaultColWidth="0" defaultRowHeight="11.25" customHeight="1"/>
  <cols>
    <col min="1" max="1" width="2.6640625" style="3" customWidth="1"/>
    <col min="2" max="43" width="9.1640625" style="3" customWidth="1"/>
    <col min="44" max="118" width="9.1640625" customWidth="1"/>
    <col min="119" max="123" width="0" hidden="1" customWidth="1"/>
    <col min="124" max="16384" width="9.1640625" hidden="1"/>
  </cols>
  <sheetData>
    <row r="1" spans="1:118" ht="19">
      <c r="A1" s="1"/>
      <c r="B1" s="2" t="str">
        <f>Summary!$B$1</f>
        <v>RNFC: Highway Integrated Financial Model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</row>
    <row r="2" spans="1:118" ht="19">
      <c r="A2" s="1"/>
      <c r="B2" s="2" t="s">
        <v>79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</row>
    <row r="3" spans="1:118" ht="11.25" customHeight="1"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ht="11.25" customHeight="1" thickBot="1">
      <c r="B4" s="132" t="s">
        <v>112</v>
      </c>
      <c r="C4" s="130"/>
      <c r="D4" s="130"/>
      <c r="E4" s="130"/>
      <c r="F4" s="130"/>
      <c r="G4" s="131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ht="11.25" customHeight="1"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</row>
    <row r="6" spans="1:118" ht="11.25" customHeight="1">
      <c r="A6" s="3" t="s">
        <v>0</v>
      </c>
      <c r="B6" s="4" t="s">
        <v>77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</row>
    <row r="7" spans="1:118" ht="11.25" customHeight="1">
      <c r="I7" s="133">
        <v>1</v>
      </c>
      <c r="J7" s="133">
        <f>IF(J8="","",I7+1)</f>
        <v>2</v>
      </c>
      <c r="K7" s="133">
        <f t="shared" ref="K7:AQ7" si="0">IF(K8="","",J7+1)</f>
        <v>3</v>
      </c>
      <c r="L7" s="133">
        <f t="shared" si="0"/>
        <v>4</v>
      </c>
      <c r="M7" s="133">
        <f t="shared" si="0"/>
        <v>5</v>
      </c>
      <c r="N7" s="133">
        <f t="shared" si="0"/>
        <v>6</v>
      </c>
      <c r="O7" s="133">
        <f t="shared" si="0"/>
        <v>7</v>
      </c>
      <c r="P7" s="133">
        <f t="shared" si="0"/>
        <v>8</v>
      </c>
      <c r="Q7" s="133">
        <f t="shared" si="0"/>
        <v>9</v>
      </c>
      <c r="R7" s="133">
        <f t="shared" si="0"/>
        <v>10</v>
      </c>
      <c r="S7" s="133">
        <f t="shared" si="0"/>
        <v>11</v>
      </c>
      <c r="T7" s="133">
        <f t="shared" si="0"/>
        <v>12</v>
      </c>
      <c r="U7" s="133">
        <f t="shared" si="0"/>
        <v>13</v>
      </c>
      <c r="V7" s="133">
        <f t="shared" si="0"/>
        <v>14</v>
      </c>
      <c r="W7" s="133">
        <f t="shared" si="0"/>
        <v>15</v>
      </c>
      <c r="X7" s="133">
        <f t="shared" si="0"/>
        <v>16</v>
      </c>
      <c r="Y7" s="133">
        <f t="shared" si="0"/>
        <v>17</v>
      </c>
      <c r="Z7" s="133">
        <f t="shared" si="0"/>
        <v>18</v>
      </c>
      <c r="AA7" s="133">
        <f t="shared" si="0"/>
        <v>19</v>
      </c>
      <c r="AB7" s="133">
        <f t="shared" si="0"/>
        <v>20</v>
      </c>
      <c r="AC7" s="133">
        <f t="shared" si="0"/>
        <v>21</v>
      </c>
      <c r="AD7" s="133">
        <f t="shared" si="0"/>
        <v>22</v>
      </c>
      <c r="AE7" s="133">
        <f t="shared" si="0"/>
        <v>23</v>
      </c>
      <c r="AF7" s="133">
        <f t="shared" si="0"/>
        <v>24</v>
      </c>
      <c r="AG7" s="133">
        <f t="shared" si="0"/>
        <v>25</v>
      </c>
      <c r="AH7" s="133">
        <f t="shared" si="0"/>
        <v>26</v>
      </c>
      <c r="AI7" s="133">
        <f t="shared" si="0"/>
        <v>27</v>
      </c>
      <c r="AJ7" s="133">
        <f t="shared" si="0"/>
        <v>28</v>
      </c>
      <c r="AK7" s="133">
        <f t="shared" si="0"/>
        <v>29</v>
      </c>
      <c r="AL7" s="133">
        <f t="shared" si="0"/>
        <v>30</v>
      </c>
      <c r="AM7" s="133">
        <f t="shared" si="0"/>
        <v>31</v>
      </c>
      <c r="AN7" s="133">
        <f t="shared" si="0"/>
        <v>32</v>
      </c>
      <c r="AO7" s="133">
        <f t="shared" si="0"/>
        <v>33</v>
      </c>
      <c r="AP7" s="133">
        <f t="shared" si="0"/>
        <v>34</v>
      </c>
      <c r="AQ7" s="133">
        <f t="shared" si="0"/>
        <v>35</v>
      </c>
    </row>
    <row r="8" spans="1:118" ht="11.25" customHeight="1" thickBot="1">
      <c r="B8" s="9" t="s">
        <v>90</v>
      </c>
      <c r="C8" s="8"/>
      <c r="D8" s="8"/>
      <c r="E8" s="9" t="s">
        <v>48</v>
      </c>
      <c r="F8" s="9" t="s">
        <v>72</v>
      </c>
      <c r="G8" s="8"/>
      <c r="H8" s="8"/>
      <c r="I8" s="9">
        <f>YEAR(Now)</f>
        <v>2016</v>
      </c>
      <c r="J8" s="9">
        <f t="shared" ref="J8:AQ8" si="1">IFERROR(IF(I8+1&gt;End,"",I8+1),"")</f>
        <v>2017</v>
      </c>
      <c r="K8" s="9">
        <f t="shared" si="1"/>
        <v>2018</v>
      </c>
      <c r="L8" s="9">
        <f t="shared" si="1"/>
        <v>2019</v>
      </c>
      <c r="M8" s="9">
        <f t="shared" si="1"/>
        <v>2020</v>
      </c>
      <c r="N8" s="9">
        <f t="shared" si="1"/>
        <v>2021</v>
      </c>
      <c r="O8" s="9">
        <f t="shared" si="1"/>
        <v>2022</v>
      </c>
      <c r="P8" s="9">
        <f t="shared" si="1"/>
        <v>2023</v>
      </c>
      <c r="Q8" s="9">
        <f t="shared" si="1"/>
        <v>2024</v>
      </c>
      <c r="R8" s="9">
        <f t="shared" si="1"/>
        <v>2025</v>
      </c>
      <c r="S8" s="9">
        <f t="shared" si="1"/>
        <v>2026</v>
      </c>
      <c r="T8" s="9">
        <f t="shared" si="1"/>
        <v>2027</v>
      </c>
      <c r="U8" s="9">
        <f t="shared" si="1"/>
        <v>2028</v>
      </c>
      <c r="V8" s="9">
        <f t="shared" si="1"/>
        <v>2029</v>
      </c>
      <c r="W8" s="9">
        <f t="shared" si="1"/>
        <v>2030</v>
      </c>
      <c r="X8" s="9">
        <f t="shared" si="1"/>
        <v>2031</v>
      </c>
      <c r="Y8" s="9">
        <f t="shared" si="1"/>
        <v>2032</v>
      </c>
      <c r="Z8" s="9">
        <f t="shared" si="1"/>
        <v>2033</v>
      </c>
      <c r="AA8" s="9">
        <f t="shared" si="1"/>
        <v>2034</v>
      </c>
      <c r="AB8" s="9">
        <f t="shared" si="1"/>
        <v>2035</v>
      </c>
      <c r="AC8" s="9">
        <f t="shared" si="1"/>
        <v>2036</v>
      </c>
      <c r="AD8" s="9">
        <f t="shared" si="1"/>
        <v>2037</v>
      </c>
      <c r="AE8" s="9">
        <f t="shared" si="1"/>
        <v>2038</v>
      </c>
      <c r="AF8" s="9">
        <f t="shared" si="1"/>
        <v>2039</v>
      </c>
      <c r="AG8" s="9">
        <f t="shared" si="1"/>
        <v>2040</v>
      </c>
      <c r="AH8" s="9">
        <f t="shared" si="1"/>
        <v>2041</v>
      </c>
      <c r="AI8" s="9">
        <f t="shared" si="1"/>
        <v>2042</v>
      </c>
      <c r="AJ8" s="9">
        <f t="shared" si="1"/>
        <v>2043</v>
      </c>
      <c r="AK8" s="9">
        <f t="shared" si="1"/>
        <v>2044</v>
      </c>
      <c r="AL8" s="9">
        <f t="shared" si="1"/>
        <v>2045</v>
      </c>
      <c r="AM8" s="9">
        <f t="shared" si="1"/>
        <v>2046</v>
      </c>
      <c r="AN8" s="9">
        <f t="shared" si="1"/>
        <v>2047</v>
      </c>
      <c r="AO8" s="9">
        <f t="shared" si="1"/>
        <v>2048</v>
      </c>
      <c r="AP8" s="9">
        <f t="shared" si="1"/>
        <v>2049</v>
      </c>
      <c r="AQ8" s="9">
        <f t="shared" si="1"/>
        <v>2050</v>
      </c>
    </row>
    <row r="9" spans="1:118" ht="11.25" customHeight="1">
      <c r="B9" s="11" t="str">
        <f>VehA</f>
        <v>Vehicle A</v>
      </c>
    </row>
    <row r="10" spans="1:118" ht="11.25" customHeight="1">
      <c r="B10" s="39" t="s">
        <v>67</v>
      </c>
      <c r="E10" s="3" t="s">
        <v>86</v>
      </c>
      <c r="F10" s="3" t="s">
        <v>57</v>
      </c>
      <c r="I10" s="71">
        <f>Traffic!I8</f>
        <v>0</v>
      </c>
      <c r="J10" s="71">
        <f>Traffic!J8</f>
        <v>0</v>
      </c>
      <c r="K10" s="71">
        <f>Traffic!K8</f>
        <v>0</v>
      </c>
      <c r="L10" s="71">
        <f>Traffic!L8</f>
        <v>0</v>
      </c>
      <c r="M10" s="71">
        <f>Traffic!M8</f>
        <v>0.36499999999999999</v>
      </c>
      <c r="N10" s="71">
        <f>Traffic!N8</f>
        <v>0.37230000000000002</v>
      </c>
      <c r="O10" s="71">
        <f>Traffic!O8</f>
        <v>0.37974600000000003</v>
      </c>
      <c r="P10" s="71">
        <f>Traffic!P8</f>
        <v>0.38734092000000003</v>
      </c>
      <c r="Q10" s="71">
        <f>Traffic!Q8</f>
        <v>0.39508773840000005</v>
      </c>
      <c r="R10" s="71">
        <f>Traffic!R8</f>
        <v>0.40298949316800009</v>
      </c>
      <c r="S10" s="71">
        <f>Traffic!S8</f>
        <v>0.41104928303136012</v>
      </c>
      <c r="T10" s="71">
        <f>Traffic!T8</f>
        <v>0.41927026869198736</v>
      </c>
      <c r="U10" s="71">
        <f>Traffic!U8</f>
        <v>0.42765567406582711</v>
      </c>
      <c r="V10" s="71">
        <f>Traffic!V8</f>
        <v>0.43620878754714365</v>
      </c>
      <c r="W10" s="71">
        <f>Traffic!W8</f>
        <v>0.44493296329808651</v>
      </c>
      <c r="X10" s="71">
        <f>Traffic!X8</f>
        <v>0.45383162256404824</v>
      </c>
      <c r="Y10" s="71">
        <f>Traffic!Y8</f>
        <v>0.46290825501532923</v>
      </c>
      <c r="Z10" s="71">
        <f>Traffic!Z8</f>
        <v>0.47216642011563581</v>
      </c>
      <c r="AA10" s="71">
        <f>Traffic!AA8</f>
        <v>0.48160974851794852</v>
      </c>
      <c r="AB10" s="71">
        <f>Traffic!AB8</f>
        <v>0.49124194348830752</v>
      </c>
      <c r="AC10" s="71">
        <f>Traffic!AC8</f>
        <v>0.50106678235807367</v>
      </c>
      <c r="AD10" s="71">
        <f>Traffic!AD8</f>
        <v>0.51108811800523513</v>
      </c>
      <c r="AE10" s="71">
        <f>Traffic!AE8</f>
        <v>0.52130988036533987</v>
      </c>
      <c r="AF10" s="71">
        <f>Traffic!AF8</f>
        <v>0.53173607797264666</v>
      </c>
      <c r="AG10" s="71">
        <f>Traffic!AG8</f>
        <v>0.54237079953209966</v>
      </c>
      <c r="AH10" s="71">
        <f>Traffic!AH8</f>
        <v>0.55321821552274164</v>
      </c>
      <c r="AI10" s="71">
        <f>Traffic!AI8</f>
        <v>0.56428257983319652</v>
      </c>
      <c r="AJ10" s="71">
        <f>Traffic!AJ8</f>
        <v>0.57556823142986047</v>
      </c>
      <c r="AK10" s="71">
        <f>Traffic!AK8</f>
        <v>0.58707959605845772</v>
      </c>
      <c r="AL10" s="71">
        <f>Traffic!AL8</f>
        <v>0.59882118797962691</v>
      </c>
      <c r="AM10" s="71">
        <f>Traffic!AM8</f>
        <v>0.61079761173921943</v>
      </c>
      <c r="AN10" s="71">
        <f>Traffic!AN8</f>
        <v>0.62301356397400387</v>
      </c>
      <c r="AO10" s="71">
        <f>Traffic!AO8</f>
        <v>0.635473835253484</v>
      </c>
      <c r="AP10" s="71">
        <f>Traffic!AP8</f>
        <v>0.64818331195855372</v>
      </c>
      <c r="AQ10" s="71">
        <f>Traffic!AQ8</f>
        <v>0.66114697819772483</v>
      </c>
    </row>
    <row r="11" spans="1:118" ht="11.25" customHeight="1">
      <c r="B11" s="44" t="s">
        <v>7</v>
      </c>
      <c r="C11" s="13"/>
      <c r="D11" s="13"/>
      <c r="E11" s="13" t="s">
        <v>4</v>
      </c>
      <c r="F11" s="13" t="s">
        <v>73</v>
      </c>
      <c r="G11" s="13"/>
      <c r="H11" s="13"/>
      <c r="I11" s="72">
        <f>IF(I$8&lt;COD,0,'Operating Assumptions'!$I$44*(1+Inflation*inflag)^(COD-I$8))</f>
        <v>0</v>
      </c>
      <c r="J11" s="72">
        <f>IF(J$8&lt;COD,0,'Operating Assumptions'!$I$44*(1+Inflation*inflag)^(COD-J$8))</f>
        <v>0</v>
      </c>
      <c r="K11" s="72">
        <f>IF(K$8&lt;COD,0,'Operating Assumptions'!$I$44*(1+Inflation*inflag)^(COD-K$8))</f>
        <v>0</v>
      </c>
      <c r="L11" s="72">
        <f>IF(L$8&lt;COD,0,'Operating Assumptions'!$I$44*(1+Inflation*inflag)^(COD-L$8))</f>
        <v>0</v>
      </c>
      <c r="M11" s="72">
        <f>IF(M$8&lt;COD,0,'Operating Assumptions'!$I$44*(1+Inflation*inflag)^(COD-M$8))</f>
        <v>250</v>
      </c>
      <c r="N11" s="72">
        <f>IF(N$8&lt;COD,0,'Operating Assumptions'!$I$44*(1+Inflation*inflag)^(COD-N$8))</f>
        <v>245.09803921568627</v>
      </c>
      <c r="O11" s="72">
        <f>IF(O$8&lt;COD,0,'Operating Assumptions'!$I$44*(1+Inflation*inflag)^(COD-O$8))</f>
        <v>240.29219530949635</v>
      </c>
      <c r="P11" s="72">
        <f>IF(P$8&lt;COD,0,'Operating Assumptions'!$I$44*(1+Inflation*inflag)^(COD-P$8))</f>
        <v>235.58058363676116</v>
      </c>
      <c r="Q11" s="72">
        <f>IF(Q$8&lt;COD,0,'Operating Assumptions'!$I$44*(1+Inflation*inflag)^(COD-Q$8))</f>
        <v>230.96135650662856</v>
      </c>
      <c r="R11" s="72">
        <f>IF(R$8&lt;COD,0,'Operating Assumptions'!$I$44*(1+Inflation*inflag)^(COD-R$8))</f>
        <v>226.432702457479</v>
      </c>
      <c r="S11" s="72">
        <f>IF(S$8&lt;COD,0,'Operating Assumptions'!$I$44*(1+Inflation*inflag)^(COD-S$8))</f>
        <v>221.99284554654798</v>
      </c>
      <c r="T11" s="72">
        <f>IF(T$8&lt;COD,0,'Operating Assumptions'!$I$44*(1+Inflation*inflag)^(COD-T$8))</f>
        <v>217.64004465347847</v>
      </c>
      <c r="U11" s="72">
        <f>IF(U$8&lt;COD,0,'Operating Assumptions'!$I$44*(1+Inflation*inflag)^(COD-U$8))</f>
        <v>213.37259279752791</v>
      </c>
      <c r="V11" s="72">
        <f>IF(V$8&lt;COD,0,'Operating Assumptions'!$I$44*(1+Inflation*inflag)^(COD-V$8))</f>
        <v>209.18881646816462</v>
      </c>
      <c r="W11" s="72">
        <f>IF(W$8&lt;COD,0,'Operating Assumptions'!$I$44*(1+Inflation*inflag)^(COD-W$8))</f>
        <v>205.08707496878884</v>
      </c>
      <c r="X11" s="72">
        <f>IF(X$8&lt;COD,0,'Operating Assumptions'!$I$44*(1+Inflation*inflag)^(COD-X$8))</f>
        <v>201.06575977332241</v>
      </c>
      <c r="Y11" s="72">
        <f>IF(Y$8&lt;COD,0,'Operating Assumptions'!$I$44*(1+Inflation*inflag)^(COD-Y$8))</f>
        <v>197.12329389541412</v>
      </c>
      <c r="Z11" s="72">
        <f>IF(Z$8&lt;COD,0,'Operating Assumptions'!$I$44*(1+Inflation*inflag)^(COD-Z$8))</f>
        <v>193.25813127001385</v>
      </c>
      <c r="AA11" s="72">
        <f>IF(AA$8&lt;COD,0,'Operating Assumptions'!$I$44*(1+Inflation*inflag)^(COD-AA$8))</f>
        <v>189.46875614707238</v>
      </c>
      <c r="AB11" s="72">
        <f>IF(AB$8&lt;COD,0,'Operating Assumptions'!$I$44*(1+Inflation*inflag)^(COD-AB$8))</f>
        <v>185.7536824971298</v>
      </c>
      <c r="AC11" s="72">
        <f>IF(AC$8&lt;COD,0,'Operating Assumptions'!$I$44*(1+Inflation*inflag)^(COD-AC$8))</f>
        <v>182.1114534285586</v>
      </c>
      <c r="AD11" s="72">
        <f>IF(AD$8&lt;COD,0,'Operating Assumptions'!$I$44*(1+Inflation*inflag)^(COD-AD$8))</f>
        <v>178.54064061623393</v>
      </c>
      <c r="AE11" s="72">
        <f>IF(AE$8&lt;COD,0,'Operating Assumptions'!$I$44*(1+Inflation*inflag)^(COD-AE$8))</f>
        <v>175.03984374140583</v>
      </c>
      <c r="AF11" s="72">
        <f>IF(AF$8&lt;COD,0,'Operating Assumptions'!$I$44*(1+Inflation*inflag)^(COD-AF$8))</f>
        <v>171.60768994255474</v>
      </c>
      <c r="AG11" s="72">
        <f>IF(AG$8&lt;COD,0,'Operating Assumptions'!$I$44*(1+Inflation*inflag)^(COD-AG$8))</f>
        <v>168.24283327701446</v>
      </c>
      <c r="AH11" s="72">
        <f>IF(AH$8&lt;COD,0,'Operating Assumptions'!$I$44*(1+Inflation*inflag)^(COD-AH$8))</f>
        <v>164.94395419315143</v>
      </c>
      <c r="AI11" s="72">
        <f>IF(AI$8&lt;COD,0,'Operating Assumptions'!$I$44*(1+Inflation*inflag)^(COD-AI$8))</f>
        <v>161.70975901289353</v>
      </c>
      <c r="AJ11" s="72">
        <f>IF(AJ$8&lt;COD,0,'Operating Assumptions'!$I$44*(1+Inflation*inflag)^(COD-AJ$8))</f>
        <v>158.53897942440545</v>
      </c>
      <c r="AK11" s="72">
        <f>IF(AK$8&lt;COD,0,'Operating Assumptions'!$I$44*(1+Inflation*inflag)^(COD-AK$8))</f>
        <v>155.4303719847112</v>
      </c>
      <c r="AL11" s="72">
        <f>IF(AL$8&lt;COD,0,'Operating Assumptions'!$I$44*(1+Inflation*inflag)^(COD-AL$8))</f>
        <v>152.38271763206984</v>
      </c>
      <c r="AM11" s="72">
        <f>IF(AM$8&lt;COD,0,'Operating Assumptions'!$I$44*(1+Inflation*inflag)^(COD-AM$8))</f>
        <v>149.39482120791158</v>
      </c>
      <c r="AN11" s="72">
        <f>IF(AN$8&lt;COD,0,'Operating Assumptions'!$I$44*(1+Inflation*inflag)^(COD-AN$8))</f>
        <v>146.46551098814865</v>
      </c>
      <c r="AO11" s="72">
        <f>IF(AO$8&lt;COD,0,'Operating Assumptions'!$I$44*(1+Inflation*inflag)^(COD-AO$8))</f>
        <v>143.5936382236751</v>
      </c>
      <c r="AP11" s="72">
        <f>IF(AP$8&lt;COD,0,'Operating Assumptions'!$I$44*(1+Inflation*inflag)^(COD-AP$8))</f>
        <v>140.77807668987757</v>
      </c>
      <c r="AQ11" s="72">
        <f>IF(AQ$8&lt;COD,0,'Operating Assumptions'!$I$44*(1+Inflation*inflag)^(COD-AQ$8))</f>
        <v>138.01772224497799</v>
      </c>
    </row>
    <row r="12" spans="1:118" ht="11.25" customHeight="1">
      <c r="B12" s="45" t="s">
        <v>84</v>
      </c>
      <c r="C12" s="46"/>
      <c r="D12" s="46"/>
      <c r="E12" s="46" t="s">
        <v>88</v>
      </c>
      <c r="F12" s="46" t="s">
        <v>57</v>
      </c>
      <c r="G12" s="46"/>
      <c r="H12" s="46"/>
      <c r="I12" s="73">
        <f>I10*I11</f>
        <v>0</v>
      </c>
      <c r="J12" s="73">
        <f t="shared" ref="J12:AQ12" si="2">J10*J11</f>
        <v>0</v>
      </c>
      <c r="K12" s="73">
        <f t="shared" si="2"/>
        <v>0</v>
      </c>
      <c r="L12" s="73">
        <f t="shared" si="2"/>
        <v>0</v>
      </c>
      <c r="M12" s="47">
        <f t="shared" si="2"/>
        <v>91.25</v>
      </c>
      <c r="N12" s="47">
        <f t="shared" si="2"/>
        <v>91.25</v>
      </c>
      <c r="O12" s="47">
        <f t="shared" si="2"/>
        <v>91.250000000000014</v>
      </c>
      <c r="P12" s="47">
        <f t="shared" si="2"/>
        <v>91.250000000000028</v>
      </c>
      <c r="Q12" s="47">
        <f t="shared" si="2"/>
        <v>91.250000000000014</v>
      </c>
      <c r="R12" s="47">
        <f t="shared" si="2"/>
        <v>91.250000000000028</v>
      </c>
      <c r="S12" s="47">
        <f t="shared" si="2"/>
        <v>91.250000000000014</v>
      </c>
      <c r="T12" s="47">
        <f t="shared" si="2"/>
        <v>91.250000000000043</v>
      </c>
      <c r="U12" s="47">
        <f t="shared" si="2"/>
        <v>91.250000000000043</v>
      </c>
      <c r="V12" s="47">
        <f t="shared" si="2"/>
        <v>91.250000000000043</v>
      </c>
      <c r="W12" s="47">
        <f t="shared" si="2"/>
        <v>91.250000000000043</v>
      </c>
      <c r="X12" s="47">
        <f t="shared" si="2"/>
        <v>91.250000000000057</v>
      </c>
      <c r="Y12" s="47">
        <f t="shared" si="2"/>
        <v>91.250000000000057</v>
      </c>
      <c r="Z12" s="47">
        <f t="shared" si="2"/>
        <v>91.250000000000057</v>
      </c>
      <c r="AA12" s="47">
        <f t="shared" si="2"/>
        <v>91.250000000000043</v>
      </c>
      <c r="AB12" s="47">
        <f t="shared" si="2"/>
        <v>91.250000000000057</v>
      </c>
      <c r="AC12" s="47">
        <f t="shared" si="2"/>
        <v>91.250000000000043</v>
      </c>
      <c r="AD12" s="47">
        <f t="shared" si="2"/>
        <v>91.250000000000043</v>
      </c>
      <c r="AE12" s="47">
        <f t="shared" si="2"/>
        <v>91.250000000000057</v>
      </c>
      <c r="AF12" s="47">
        <f t="shared" si="2"/>
        <v>91.250000000000057</v>
      </c>
      <c r="AG12" s="47">
        <f t="shared" si="2"/>
        <v>91.250000000000071</v>
      </c>
      <c r="AH12" s="47">
        <f t="shared" si="2"/>
        <v>91.250000000000071</v>
      </c>
      <c r="AI12" s="47">
        <f t="shared" si="2"/>
        <v>91.250000000000057</v>
      </c>
      <c r="AJ12" s="47">
        <f t="shared" si="2"/>
        <v>91.250000000000085</v>
      </c>
      <c r="AK12" s="47">
        <f t="shared" si="2"/>
        <v>91.250000000000071</v>
      </c>
      <c r="AL12" s="47">
        <f t="shared" si="2"/>
        <v>91.250000000000099</v>
      </c>
      <c r="AM12" s="47">
        <f t="shared" si="2"/>
        <v>91.250000000000085</v>
      </c>
      <c r="AN12" s="47">
        <f t="shared" si="2"/>
        <v>91.250000000000114</v>
      </c>
      <c r="AO12" s="47">
        <f t="shared" si="2"/>
        <v>91.250000000000099</v>
      </c>
      <c r="AP12" s="47">
        <f t="shared" si="2"/>
        <v>91.250000000000114</v>
      </c>
      <c r="AQ12" s="47">
        <f t="shared" si="2"/>
        <v>91.250000000000099</v>
      </c>
    </row>
    <row r="13" spans="1:118" ht="11.25" customHeight="1"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</row>
    <row r="14" spans="1:118" ht="11.25" customHeight="1">
      <c r="B14" s="11" t="str">
        <f>VehB</f>
        <v>Vehicle B</v>
      </c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</row>
    <row r="15" spans="1:118" ht="11.25" customHeight="1">
      <c r="B15" s="39" t="s">
        <v>67</v>
      </c>
      <c r="E15" s="3" t="s">
        <v>86</v>
      </c>
      <c r="F15" s="3" t="s">
        <v>57</v>
      </c>
      <c r="I15" s="71">
        <f>Traffic!I13</f>
        <v>0</v>
      </c>
      <c r="J15" s="71">
        <f>Traffic!J13</f>
        <v>0</v>
      </c>
      <c r="K15" s="71">
        <f>Traffic!K13</f>
        <v>0</v>
      </c>
      <c r="L15" s="71">
        <f>Traffic!L13</f>
        <v>0</v>
      </c>
      <c r="M15" s="71">
        <f>Traffic!M13</f>
        <v>0.73</v>
      </c>
      <c r="N15" s="71">
        <f>Traffic!N13</f>
        <v>0.74460000000000004</v>
      </c>
      <c r="O15" s="71">
        <f>Traffic!O13</f>
        <v>0.75949200000000006</v>
      </c>
      <c r="P15" s="71">
        <f>Traffic!P13</f>
        <v>0.77468184000000007</v>
      </c>
      <c r="Q15" s="71">
        <f>Traffic!Q13</f>
        <v>0.79017547680000011</v>
      </c>
      <c r="R15" s="71">
        <f>Traffic!R13</f>
        <v>0.80597898633600018</v>
      </c>
      <c r="S15" s="71">
        <f>Traffic!S13</f>
        <v>0.82209856606272025</v>
      </c>
      <c r="T15" s="71">
        <f>Traffic!T13</f>
        <v>0.83854053738397472</v>
      </c>
      <c r="U15" s="71">
        <f>Traffic!U13</f>
        <v>0.85531134813165421</v>
      </c>
      <c r="V15" s="71">
        <f>Traffic!V13</f>
        <v>0.8724175750942873</v>
      </c>
      <c r="W15" s="71">
        <f>Traffic!W13</f>
        <v>0.88986592659617303</v>
      </c>
      <c r="X15" s="71">
        <f>Traffic!X13</f>
        <v>0.90766324512809649</v>
      </c>
      <c r="Y15" s="71">
        <f>Traffic!Y13</f>
        <v>0.92581651003065846</v>
      </c>
      <c r="Z15" s="71">
        <f>Traffic!Z13</f>
        <v>0.94433284023127162</v>
      </c>
      <c r="AA15" s="71">
        <f>Traffic!AA13</f>
        <v>0.96321949703589704</v>
      </c>
      <c r="AB15" s="71">
        <f>Traffic!AB13</f>
        <v>0.98248388697661504</v>
      </c>
      <c r="AC15" s="71">
        <f>Traffic!AC13</f>
        <v>1.0021335647161473</v>
      </c>
      <c r="AD15" s="71">
        <f>Traffic!AD13</f>
        <v>1.0221762360104703</v>
      </c>
      <c r="AE15" s="71">
        <f>Traffic!AE13</f>
        <v>1.0426197607306797</v>
      </c>
      <c r="AF15" s="71">
        <f>Traffic!AF13</f>
        <v>1.0634721559452933</v>
      </c>
      <c r="AG15" s="71">
        <f>Traffic!AG13</f>
        <v>1.0847415990641993</v>
      </c>
      <c r="AH15" s="71">
        <f>Traffic!AH13</f>
        <v>1.1064364310454833</v>
      </c>
      <c r="AI15" s="71">
        <f>Traffic!AI13</f>
        <v>1.128565159666393</v>
      </c>
      <c r="AJ15" s="71">
        <f>Traffic!AJ13</f>
        <v>1.1511364628597209</v>
      </c>
      <c r="AK15" s="71">
        <f>Traffic!AK13</f>
        <v>1.1741591921169154</v>
      </c>
      <c r="AL15" s="71">
        <f>Traffic!AL13</f>
        <v>1.1976423759592538</v>
      </c>
      <c r="AM15" s="71">
        <f>Traffic!AM13</f>
        <v>1.2215952234784389</v>
      </c>
      <c r="AN15" s="71">
        <f>Traffic!AN13</f>
        <v>1.2460271279480077</v>
      </c>
      <c r="AO15" s="71">
        <f>Traffic!AO13</f>
        <v>1.270947670506968</v>
      </c>
      <c r="AP15" s="71">
        <f>Traffic!AP13</f>
        <v>1.2963666239171074</v>
      </c>
      <c r="AQ15" s="71">
        <f>Traffic!AQ13</f>
        <v>1.3222939563954497</v>
      </c>
    </row>
    <row r="16" spans="1:118" ht="11.25" customHeight="1">
      <c r="B16" s="44" t="s">
        <v>7</v>
      </c>
      <c r="C16" s="13"/>
      <c r="D16" s="13"/>
      <c r="E16" s="13" t="s">
        <v>4</v>
      </c>
      <c r="F16" s="13" t="s">
        <v>73</v>
      </c>
      <c r="G16" s="13"/>
      <c r="H16" s="13"/>
      <c r="I16" s="72">
        <f>IF(I$8&lt;COD,0,'Operating Assumptions'!$J$44*(1+Inflation*inflag)^(COD-I$8))</f>
        <v>0</v>
      </c>
      <c r="J16" s="72">
        <f>IF(J$8&lt;COD,0,'Operating Assumptions'!$J$44*(1+Inflation*inflag)^(COD-J$8))</f>
        <v>0</v>
      </c>
      <c r="K16" s="72">
        <f>IF(K$8&lt;COD,0,'Operating Assumptions'!$J$44*(1+Inflation*inflag)^(COD-K$8))</f>
        <v>0</v>
      </c>
      <c r="L16" s="72">
        <f>IF(L$8&lt;COD,0,'Operating Assumptions'!$J$44*(1+Inflation*inflag)^(COD-L$8))</f>
        <v>0</v>
      </c>
      <c r="M16" s="72">
        <f>IF(M$8&lt;COD,0,'Operating Assumptions'!$J$44*(1+Inflation*inflag)^(COD-M$8))</f>
        <v>375</v>
      </c>
      <c r="N16" s="72">
        <f>IF(N$8&lt;COD,0,'Operating Assumptions'!$J$44*(1+Inflation*inflag)^(COD-N$8))</f>
        <v>367.64705882352939</v>
      </c>
      <c r="O16" s="72">
        <f>IF(O$8&lt;COD,0,'Operating Assumptions'!$J$44*(1+Inflation*inflag)^(COD-O$8))</f>
        <v>360.43829296424451</v>
      </c>
      <c r="P16" s="72">
        <f>IF(P$8&lt;COD,0,'Operating Assumptions'!$J$44*(1+Inflation*inflag)^(COD-P$8))</f>
        <v>353.37087545514174</v>
      </c>
      <c r="Q16" s="72">
        <f>IF(Q$8&lt;COD,0,'Operating Assumptions'!$J$44*(1+Inflation*inflag)^(COD-Q$8))</f>
        <v>346.44203475994283</v>
      </c>
      <c r="R16" s="72">
        <f>IF(R$8&lt;COD,0,'Operating Assumptions'!$J$44*(1+Inflation*inflag)^(COD-R$8))</f>
        <v>339.64905368621845</v>
      </c>
      <c r="S16" s="72">
        <f>IF(S$8&lt;COD,0,'Operating Assumptions'!$J$44*(1+Inflation*inflag)^(COD-S$8))</f>
        <v>332.98926831982197</v>
      </c>
      <c r="T16" s="72">
        <f>IF(T$8&lt;COD,0,'Operating Assumptions'!$J$44*(1+Inflation*inflag)^(COD-T$8))</f>
        <v>326.46006698021773</v>
      </c>
      <c r="U16" s="72">
        <f>IF(U$8&lt;COD,0,'Operating Assumptions'!$J$44*(1+Inflation*inflag)^(COD-U$8))</f>
        <v>320.05888919629183</v>
      </c>
      <c r="V16" s="72">
        <f>IF(V$8&lt;COD,0,'Operating Assumptions'!$J$44*(1+Inflation*inflag)^(COD-V$8))</f>
        <v>313.78322470224691</v>
      </c>
      <c r="W16" s="72">
        <f>IF(W$8&lt;COD,0,'Operating Assumptions'!$J$44*(1+Inflation*inflag)^(COD-W$8))</f>
        <v>307.63061245318323</v>
      </c>
      <c r="X16" s="72">
        <f>IF(X$8&lt;COD,0,'Operating Assumptions'!$J$44*(1+Inflation*inflag)^(COD-X$8))</f>
        <v>301.59863965998363</v>
      </c>
      <c r="Y16" s="72">
        <f>IF(Y$8&lt;COD,0,'Operating Assumptions'!$J$44*(1+Inflation*inflag)^(COD-Y$8))</f>
        <v>295.68494084312118</v>
      </c>
      <c r="Z16" s="72">
        <f>IF(Z$8&lt;COD,0,'Operating Assumptions'!$J$44*(1+Inflation*inflag)^(COD-Z$8))</f>
        <v>289.88719690502074</v>
      </c>
      <c r="AA16" s="72">
        <f>IF(AA$8&lt;COD,0,'Operating Assumptions'!$J$44*(1+Inflation*inflag)^(COD-AA$8))</f>
        <v>284.20313422060855</v>
      </c>
      <c r="AB16" s="72">
        <f>IF(AB$8&lt;COD,0,'Operating Assumptions'!$J$44*(1+Inflation*inflag)^(COD-AB$8))</f>
        <v>278.63052374569475</v>
      </c>
      <c r="AC16" s="72">
        <f>IF(AC$8&lt;COD,0,'Operating Assumptions'!$J$44*(1+Inflation*inflag)^(COD-AC$8))</f>
        <v>273.16718014283794</v>
      </c>
      <c r="AD16" s="72">
        <f>IF(AD$8&lt;COD,0,'Operating Assumptions'!$J$44*(1+Inflation*inflag)^(COD-AD$8))</f>
        <v>267.81096092435087</v>
      </c>
      <c r="AE16" s="72">
        <f>IF(AE$8&lt;COD,0,'Operating Assumptions'!$J$44*(1+Inflation*inflag)^(COD-AE$8))</f>
        <v>262.55976561210872</v>
      </c>
      <c r="AF16" s="72">
        <f>IF(AF$8&lt;COD,0,'Operating Assumptions'!$J$44*(1+Inflation*inflag)^(COD-AF$8))</f>
        <v>257.4115349138321</v>
      </c>
      <c r="AG16" s="72">
        <f>IF(AG$8&lt;COD,0,'Operating Assumptions'!$J$44*(1+Inflation*inflag)^(COD-AG$8))</f>
        <v>252.36424991552167</v>
      </c>
      <c r="AH16" s="72">
        <f>IF(AH$8&lt;COD,0,'Operating Assumptions'!$J$44*(1+Inflation*inflag)^(COD-AH$8))</f>
        <v>247.41593128972713</v>
      </c>
      <c r="AI16" s="72">
        <f>IF(AI$8&lt;COD,0,'Operating Assumptions'!$J$44*(1+Inflation*inflag)^(COD-AI$8))</f>
        <v>242.56463851934029</v>
      </c>
      <c r="AJ16" s="72">
        <f>IF(AJ$8&lt;COD,0,'Operating Assumptions'!$J$44*(1+Inflation*inflag)^(COD-AJ$8))</f>
        <v>237.80846913660818</v>
      </c>
      <c r="AK16" s="72">
        <f>IF(AK$8&lt;COD,0,'Operating Assumptions'!$J$44*(1+Inflation*inflag)^(COD-AK$8))</f>
        <v>233.14555797706683</v>
      </c>
      <c r="AL16" s="72">
        <f>IF(AL$8&lt;COD,0,'Operating Assumptions'!$J$44*(1+Inflation*inflag)^(COD-AL$8))</f>
        <v>228.57407644810476</v>
      </c>
      <c r="AM16" s="72">
        <f>IF(AM$8&lt;COD,0,'Operating Assumptions'!$J$44*(1+Inflation*inflag)^(COD-AM$8))</f>
        <v>224.09223181186738</v>
      </c>
      <c r="AN16" s="72">
        <f>IF(AN$8&lt;COD,0,'Operating Assumptions'!$J$44*(1+Inflation*inflag)^(COD-AN$8))</f>
        <v>219.69826648222295</v>
      </c>
      <c r="AO16" s="72">
        <f>IF(AO$8&lt;COD,0,'Operating Assumptions'!$J$44*(1+Inflation*inflag)^(COD-AO$8))</f>
        <v>215.39045733551265</v>
      </c>
      <c r="AP16" s="72">
        <f>IF(AP$8&lt;COD,0,'Operating Assumptions'!$J$44*(1+Inflation*inflag)^(COD-AP$8))</f>
        <v>211.16711503481636</v>
      </c>
      <c r="AQ16" s="72">
        <f>IF(AQ$8&lt;COD,0,'Operating Assumptions'!$J$44*(1+Inflation*inflag)^(COD-AQ$8))</f>
        <v>207.026583367467</v>
      </c>
    </row>
    <row r="17" spans="2:49" ht="11.25" customHeight="1">
      <c r="B17" s="45" t="s">
        <v>84</v>
      </c>
      <c r="C17" s="46"/>
      <c r="D17" s="46"/>
      <c r="E17" s="46" t="s">
        <v>88</v>
      </c>
      <c r="F17" s="46" t="s">
        <v>57</v>
      </c>
      <c r="G17" s="46"/>
      <c r="H17" s="46"/>
      <c r="I17" s="47">
        <f>I15*I16</f>
        <v>0</v>
      </c>
      <c r="J17" s="47">
        <f t="shared" ref="J17:AQ17" si="3">J15*J16</f>
        <v>0</v>
      </c>
      <c r="K17" s="47">
        <f t="shared" si="3"/>
        <v>0</v>
      </c>
      <c r="L17" s="47">
        <f t="shared" si="3"/>
        <v>0</v>
      </c>
      <c r="M17" s="47">
        <f t="shared" si="3"/>
        <v>273.75</v>
      </c>
      <c r="N17" s="47">
        <f t="shared" si="3"/>
        <v>273.75</v>
      </c>
      <c r="O17" s="47">
        <f t="shared" si="3"/>
        <v>273.75</v>
      </c>
      <c r="P17" s="47">
        <f t="shared" si="3"/>
        <v>273.75000000000006</v>
      </c>
      <c r="Q17" s="47">
        <f t="shared" si="3"/>
        <v>273.75000000000006</v>
      </c>
      <c r="R17" s="47">
        <f t="shared" si="3"/>
        <v>273.75000000000006</v>
      </c>
      <c r="S17" s="47">
        <f t="shared" si="3"/>
        <v>273.75000000000006</v>
      </c>
      <c r="T17" s="47">
        <f t="shared" si="3"/>
        <v>273.75000000000017</v>
      </c>
      <c r="U17" s="47">
        <f t="shared" si="3"/>
        <v>273.75000000000011</v>
      </c>
      <c r="V17" s="47">
        <f t="shared" si="3"/>
        <v>273.75000000000011</v>
      </c>
      <c r="W17" s="47">
        <f t="shared" si="3"/>
        <v>273.75000000000011</v>
      </c>
      <c r="X17" s="47">
        <f t="shared" si="3"/>
        <v>273.75000000000017</v>
      </c>
      <c r="Y17" s="47">
        <f t="shared" si="3"/>
        <v>273.75000000000017</v>
      </c>
      <c r="Z17" s="47">
        <f t="shared" si="3"/>
        <v>273.75000000000011</v>
      </c>
      <c r="AA17" s="47">
        <f t="shared" si="3"/>
        <v>273.75000000000011</v>
      </c>
      <c r="AB17" s="47">
        <f t="shared" si="3"/>
        <v>273.75000000000023</v>
      </c>
      <c r="AC17" s="47">
        <f t="shared" si="3"/>
        <v>273.75000000000017</v>
      </c>
      <c r="AD17" s="47">
        <f t="shared" si="3"/>
        <v>273.75000000000011</v>
      </c>
      <c r="AE17" s="47">
        <f t="shared" si="3"/>
        <v>273.75000000000017</v>
      </c>
      <c r="AF17" s="47">
        <f t="shared" si="3"/>
        <v>273.75000000000017</v>
      </c>
      <c r="AG17" s="47">
        <f t="shared" si="3"/>
        <v>273.75000000000023</v>
      </c>
      <c r="AH17" s="47">
        <f t="shared" si="3"/>
        <v>273.75000000000017</v>
      </c>
      <c r="AI17" s="47">
        <f t="shared" si="3"/>
        <v>273.75000000000017</v>
      </c>
      <c r="AJ17" s="47">
        <f t="shared" si="3"/>
        <v>273.75000000000023</v>
      </c>
      <c r="AK17" s="47">
        <f t="shared" si="3"/>
        <v>273.75000000000028</v>
      </c>
      <c r="AL17" s="47">
        <f t="shared" si="3"/>
        <v>273.75000000000028</v>
      </c>
      <c r="AM17" s="47">
        <f t="shared" si="3"/>
        <v>273.75000000000023</v>
      </c>
      <c r="AN17" s="47">
        <f t="shared" si="3"/>
        <v>273.75000000000034</v>
      </c>
      <c r="AO17" s="47">
        <f t="shared" si="3"/>
        <v>273.75000000000028</v>
      </c>
      <c r="AP17" s="47">
        <f t="shared" si="3"/>
        <v>273.75000000000034</v>
      </c>
      <c r="AQ17" s="47">
        <f t="shared" si="3"/>
        <v>273.75000000000034</v>
      </c>
    </row>
    <row r="18" spans="2:49" ht="11.25" customHeight="1"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</row>
    <row r="19" spans="2:49" ht="11.25" customHeight="1">
      <c r="B19" s="11" t="str">
        <f>VehicleC</f>
        <v>Vehicle C</v>
      </c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</row>
    <row r="20" spans="2:49" ht="11.25" customHeight="1">
      <c r="B20" s="39" t="s">
        <v>67</v>
      </c>
      <c r="E20" s="3" t="s">
        <v>86</v>
      </c>
      <c r="F20" s="3" t="s">
        <v>57</v>
      </c>
      <c r="I20" s="71">
        <f>Traffic!I18</f>
        <v>0</v>
      </c>
      <c r="J20" s="71">
        <f>Traffic!J18</f>
        <v>0</v>
      </c>
      <c r="K20" s="71">
        <f>Traffic!K18</f>
        <v>0</v>
      </c>
      <c r="L20" s="71">
        <f>Traffic!L18</f>
        <v>0</v>
      </c>
      <c r="M20" s="71">
        <f>Traffic!M18</f>
        <v>1.095</v>
      </c>
      <c r="N20" s="71">
        <f>Traffic!N18</f>
        <v>1.1169</v>
      </c>
      <c r="O20" s="71">
        <f>Traffic!O18</f>
        <v>1.139238</v>
      </c>
      <c r="P20" s="71">
        <f>Traffic!P18</f>
        <v>1.1620227599999999</v>
      </c>
      <c r="Q20" s="71">
        <f>Traffic!Q18</f>
        <v>1.1852632152</v>
      </c>
      <c r="R20" s="71">
        <f>Traffic!R18</f>
        <v>1.2089684795040001</v>
      </c>
      <c r="S20" s="71">
        <f>Traffic!S18</f>
        <v>1.2331478490940802</v>
      </c>
      <c r="T20" s="71">
        <f>Traffic!T18</f>
        <v>1.2578108060759619</v>
      </c>
      <c r="U20" s="71">
        <f>Traffic!U18</f>
        <v>1.2829670221974812</v>
      </c>
      <c r="V20" s="71">
        <f>Traffic!V18</f>
        <v>1.3086263626414307</v>
      </c>
      <c r="W20" s="71">
        <f>Traffic!W18</f>
        <v>1.3347988898942593</v>
      </c>
      <c r="X20" s="71">
        <f>Traffic!X18</f>
        <v>1.3614948676921446</v>
      </c>
      <c r="Y20" s="71">
        <f>Traffic!Y18</f>
        <v>1.3887247650459875</v>
      </c>
      <c r="Z20" s="71">
        <f>Traffic!Z18</f>
        <v>1.4164992603469073</v>
      </c>
      <c r="AA20" s="71">
        <f>Traffic!AA18</f>
        <v>1.4448292455538454</v>
      </c>
      <c r="AB20" s="71">
        <f>Traffic!AB18</f>
        <v>1.4737258304649223</v>
      </c>
      <c r="AC20" s="71">
        <f>Traffic!AC18</f>
        <v>1.5032003470742208</v>
      </c>
      <c r="AD20" s="71">
        <f>Traffic!AD18</f>
        <v>1.5332643540157052</v>
      </c>
      <c r="AE20" s="71">
        <f>Traffic!AE18</f>
        <v>1.5639296410960193</v>
      </c>
      <c r="AF20" s="71">
        <f>Traffic!AF18</f>
        <v>1.5952082339179396</v>
      </c>
      <c r="AG20" s="71">
        <f>Traffic!AG18</f>
        <v>1.6271123985962985</v>
      </c>
      <c r="AH20" s="71">
        <f>Traffic!AH18</f>
        <v>1.6596546465682245</v>
      </c>
      <c r="AI20" s="71">
        <f>Traffic!AI18</f>
        <v>1.6928477394995889</v>
      </c>
      <c r="AJ20" s="71">
        <f>Traffic!AJ18</f>
        <v>1.7267046942895807</v>
      </c>
      <c r="AK20" s="71">
        <f>Traffic!AK18</f>
        <v>1.7612387881753724</v>
      </c>
      <c r="AL20" s="71">
        <f>Traffic!AL18</f>
        <v>1.79646356393888</v>
      </c>
      <c r="AM20" s="71">
        <f>Traffic!AM18</f>
        <v>1.8323928352176575</v>
      </c>
      <c r="AN20" s="71">
        <f>Traffic!AN18</f>
        <v>1.8690406919220106</v>
      </c>
      <c r="AO20" s="71">
        <f>Traffic!AO18</f>
        <v>1.9064215057604508</v>
      </c>
      <c r="AP20" s="71">
        <f>Traffic!AP18</f>
        <v>1.9445499358756597</v>
      </c>
      <c r="AQ20" s="71">
        <f>Traffic!AQ18</f>
        <v>1.9834409345931729</v>
      </c>
    </row>
    <row r="21" spans="2:49" ht="11.25" customHeight="1">
      <c r="B21" s="44" t="s">
        <v>7</v>
      </c>
      <c r="C21" s="13"/>
      <c r="D21" s="13"/>
      <c r="E21" s="13" t="s">
        <v>4</v>
      </c>
      <c r="F21" s="13" t="s">
        <v>73</v>
      </c>
      <c r="G21" s="13"/>
      <c r="H21" s="13"/>
      <c r="I21" s="72">
        <f>IF(I$8&lt;COD,0,'Operating Assumptions'!$K$44*(1+Inflation*inflag)^(COD-I$8))</f>
        <v>0</v>
      </c>
      <c r="J21" s="72">
        <f>IF(J$8&lt;COD,0,'Operating Assumptions'!$K$44*(1+Inflation*inflag)^(COD-J$8))</f>
        <v>0</v>
      </c>
      <c r="K21" s="72">
        <f>IF(K$8&lt;COD,0,'Operating Assumptions'!$K$44*(1+Inflation*inflag)^(COD-K$8))</f>
        <v>0</v>
      </c>
      <c r="L21" s="72">
        <f>IF(L$8&lt;COD,0,'Operating Assumptions'!$K$44*(1+Inflation*inflag)^(COD-L$8))</f>
        <v>0</v>
      </c>
      <c r="M21" s="72">
        <f>IF(M$8&lt;COD,0,'Operating Assumptions'!$K$44*(1+Inflation*inflag)^(COD-M$8))</f>
        <v>500</v>
      </c>
      <c r="N21" s="72">
        <f>IF(N$8&lt;COD,0,'Operating Assumptions'!$K$44*(1+Inflation*inflag)^(COD-N$8))</f>
        <v>490.19607843137254</v>
      </c>
      <c r="O21" s="72">
        <f>IF(O$8&lt;COD,0,'Operating Assumptions'!$K$44*(1+Inflation*inflag)^(COD-O$8))</f>
        <v>480.5843906189927</v>
      </c>
      <c r="P21" s="72">
        <f>IF(P$8&lt;COD,0,'Operating Assumptions'!$K$44*(1+Inflation*inflag)^(COD-P$8))</f>
        <v>471.16116727352232</v>
      </c>
      <c r="Q21" s="72">
        <f>IF(Q$8&lt;COD,0,'Operating Assumptions'!$K$44*(1+Inflation*inflag)^(COD-Q$8))</f>
        <v>461.92271301325712</v>
      </c>
      <c r="R21" s="72">
        <f>IF(R$8&lt;COD,0,'Operating Assumptions'!$K$44*(1+Inflation*inflag)^(COD-R$8))</f>
        <v>452.86540491495799</v>
      </c>
      <c r="S21" s="72">
        <f>IF(S$8&lt;COD,0,'Operating Assumptions'!$K$44*(1+Inflation*inflag)^(COD-S$8))</f>
        <v>443.98569109309597</v>
      </c>
      <c r="T21" s="72">
        <f>IF(T$8&lt;COD,0,'Operating Assumptions'!$K$44*(1+Inflation*inflag)^(COD-T$8))</f>
        <v>435.28008930695694</v>
      </c>
      <c r="U21" s="72">
        <f>IF(U$8&lt;COD,0,'Operating Assumptions'!$K$44*(1+Inflation*inflag)^(COD-U$8))</f>
        <v>426.74518559505583</v>
      </c>
      <c r="V21" s="72">
        <f>IF(V$8&lt;COD,0,'Operating Assumptions'!$K$44*(1+Inflation*inflag)^(COD-V$8))</f>
        <v>418.37763293632923</v>
      </c>
      <c r="W21" s="72">
        <f>IF(W$8&lt;COD,0,'Operating Assumptions'!$K$44*(1+Inflation*inflag)^(COD-W$8))</f>
        <v>410.17414993757768</v>
      </c>
      <c r="X21" s="72">
        <f>IF(X$8&lt;COD,0,'Operating Assumptions'!$K$44*(1+Inflation*inflag)^(COD-X$8))</f>
        <v>402.13151954664482</v>
      </c>
      <c r="Y21" s="72">
        <f>IF(Y$8&lt;COD,0,'Operating Assumptions'!$K$44*(1+Inflation*inflag)^(COD-Y$8))</f>
        <v>394.24658779082824</v>
      </c>
      <c r="Z21" s="72">
        <f>IF(Z$8&lt;COD,0,'Operating Assumptions'!$K$44*(1+Inflation*inflag)^(COD-Z$8))</f>
        <v>386.5162625400277</v>
      </c>
      <c r="AA21" s="72">
        <f>IF(AA$8&lt;COD,0,'Operating Assumptions'!$K$44*(1+Inflation*inflag)^(COD-AA$8))</f>
        <v>378.93751229414477</v>
      </c>
      <c r="AB21" s="72">
        <f>IF(AB$8&lt;COD,0,'Operating Assumptions'!$K$44*(1+Inflation*inflag)^(COD-AB$8))</f>
        <v>371.5073649942596</v>
      </c>
      <c r="AC21" s="72">
        <f>IF(AC$8&lt;COD,0,'Operating Assumptions'!$K$44*(1+Inflation*inflag)^(COD-AC$8))</f>
        <v>364.22290685711721</v>
      </c>
      <c r="AD21" s="72">
        <f>IF(AD$8&lt;COD,0,'Operating Assumptions'!$K$44*(1+Inflation*inflag)^(COD-AD$8))</f>
        <v>357.08128123246786</v>
      </c>
      <c r="AE21" s="72">
        <f>IF(AE$8&lt;COD,0,'Operating Assumptions'!$K$44*(1+Inflation*inflag)^(COD-AE$8))</f>
        <v>350.07968748281166</v>
      </c>
      <c r="AF21" s="72">
        <f>IF(AF$8&lt;COD,0,'Operating Assumptions'!$K$44*(1+Inflation*inflag)^(COD-AF$8))</f>
        <v>343.21537988510948</v>
      </c>
      <c r="AG21" s="72">
        <f>IF(AG$8&lt;COD,0,'Operating Assumptions'!$K$44*(1+Inflation*inflag)^(COD-AG$8))</f>
        <v>336.48566655402891</v>
      </c>
      <c r="AH21" s="72">
        <f>IF(AH$8&lt;COD,0,'Operating Assumptions'!$K$44*(1+Inflation*inflag)^(COD-AH$8))</f>
        <v>329.88790838630285</v>
      </c>
      <c r="AI21" s="72">
        <f>IF(AI$8&lt;COD,0,'Operating Assumptions'!$K$44*(1+Inflation*inflag)^(COD-AI$8))</f>
        <v>323.41951802578706</v>
      </c>
      <c r="AJ21" s="72">
        <f>IF(AJ$8&lt;COD,0,'Operating Assumptions'!$K$44*(1+Inflation*inflag)^(COD-AJ$8))</f>
        <v>317.07795884881091</v>
      </c>
      <c r="AK21" s="72">
        <f>IF(AK$8&lt;COD,0,'Operating Assumptions'!$K$44*(1+Inflation*inflag)^(COD-AK$8))</f>
        <v>310.8607439694224</v>
      </c>
      <c r="AL21" s="72">
        <f>IF(AL$8&lt;COD,0,'Operating Assumptions'!$K$44*(1+Inflation*inflag)^(COD-AL$8))</f>
        <v>304.76543526413968</v>
      </c>
      <c r="AM21" s="72">
        <f>IF(AM$8&lt;COD,0,'Operating Assumptions'!$K$44*(1+Inflation*inflag)^(COD-AM$8))</f>
        <v>298.78964241582315</v>
      </c>
      <c r="AN21" s="72">
        <f>IF(AN$8&lt;COD,0,'Operating Assumptions'!$K$44*(1+Inflation*inflag)^(COD-AN$8))</f>
        <v>292.9310219762973</v>
      </c>
      <c r="AO21" s="72">
        <f>IF(AO$8&lt;COD,0,'Operating Assumptions'!$K$44*(1+Inflation*inflag)^(COD-AO$8))</f>
        <v>287.1872764473502</v>
      </c>
      <c r="AP21" s="72">
        <f>IF(AP$8&lt;COD,0,'Operating Assumptions'!$K$44*(1+Inflation*inflag)^(COD-AP$8))</f>
        <v>281.55615337975513</v>
      </c>
      <c r="AQ21" s="72">
        <f>IF(AQ$8&lt;COD,0,'Operating Assumptions'!$K$44*(1+Inflation*inflag)^(COD-AQ$8))</f>
        <v>276.03544448995598</v>
      </c>
    </row>
    <row r="22" spans="2:49" ht="11.25" customHeight="1">
      <c r="B22" s="45" t="s">
        <v>84</v>
      </c>
      <c r="C22" s="46"/>
      <c r="D22" s="46"/>
      <c r="E22" s="46" t="s">
        <v>88</v>
      </c>
      <c r="F22" s="46" t="s">
        <v>57</v>
      </c>
      <c r="G22" s="46"/>
      <c r="H22" s="46"/>
      <c r="I22" s="47">
        <f>I20*I21</f>
        <v>0</v>
      </c>
      <c r="J22" s="47">
        <f t="shared" ref="J22:AQ22" si="4">J20*J21</f>
        <v>0</v>
      </c>
      <c r="K22" s="47">
        <f t="shared" si="4"/>
        <v>0</v>
      </c>
      <c r="L22" s="47">
        <f t="shared" si="4"/>
        <v>0</v>
      </c>
      <c r="M22" s="47">
        <f t="shared" si="4"/>
        <v>547.5</v>
      </c>
      <c r="N22" s="47">
        <f t="shared" si="4"/>
        <v>547.5</v>
      </c>
      <c r="O22" s="47">
        <f t="shared" si="4"/>
        <v>547.5</v>
      </c>
      <c r="P22" s="47">
        <f t="shared" si="4"/>
        <v>547.5</v>
      </c>
      <c r="Q22" s="47">
        <f t="shared" si="4"/>
        <v>547.5</v>
      </c>
      <c r="R22" s="47">
        <f t="shared" si="4"/>
        <v>547.50000000000011</v>
      </c>
      <c r="S22" s="47">
        <f t="shared" si="4"/>
        <v>547.5</v>
      </c>
      <c r="T22" s="47">
        <f t="shared" si="4"/>
        <v>547.50000000000011</v>
      </c>
      <c r="U22" s="47">
        <f t="shared" si="4"/>
        <v>547.50000000000023</v>
      </c>
      <c r="V22" s="47">
        <f t="shared" si="4"/>
        <v>547.50000000000023</v>
      </c>
      <c r="W22" s="47">
        <f t="shared" si="4"/>
        <v>547.50000000000011</v>
      </c>
      <c r="X22" s="47">
        <f t="shared" si="4"/>
        <v>547.50000000000023</v>
      </c>
      <c r="Y22" s="47">
        <f t="shared" si="4"/>
        <v>547.50000000000023</v>
      </c>
      <c r="Z22" s="47">
        <f t="shared" si="4"/>
        <v>547.50000000000023</v>
      </c>
      <c r="AA22" s="47">
        <f t="shared" si="4"/>
        <v>547.50000000000023</v>
      </c>
      <c r="AB22" s="47">
        <f t="shared" si="4"/>
        <v>547.50000000000023</v>
      </c>
      <c r="AC22" s="47">
        <f t="shared" si="4"/>
        <v>547.50000000000023</v>
      </c>
      <c r="AD22" s="47">
        <f t="shared" si="4"/>
        <v>547.50000000000023</v>
      </c>
      <c r="AE22" s="47">
        <f t="shared" si="4"/>
        <v>547.50000000000023</v>
      </c>
      <c r="AF22" s="47">
        <f t="shared" si="4"/>
        <v>547.50000000000023</v>
      </c>
      <c r="AG22" s="47">
        <f t="shared" si="4"/>
        <v>547.50000000000023</v>
      </c>
      <c r="AH22" s="47">
        <f t="shared" si="4"/>
        <v>547.50000000000023</v>
      </c>
      <c r="AI22" s="47">
        <f t="shared" si="4"/>
        <v>547.50000000000011</v>
      </c>
      <c r="AJ22" s="47">
        <f t="shared" si="4"/>
        <v>547.50000000000034</v>
      </c>
      <c r="AK22" s="47">
        <f t="shared" si="4"/>
        <v>547.50000000000023</v>
      </c>
      <c r="AL22" s="47">
        <f t="shared" si="4"/>
        <v>547.50000000000034</v>
      </c>
      <c r="AM22" s="47">
        <f t="shared" si="4"/>
        <v>547.50000000000023</v>
      </c>
      <c r="AN22" s="47">
        <f t="shared" si="4"/>
        <v>547.50000000000045</v>
      </c>
      <c r="AO22" s="47">
        <f t="shared" si="4"/>
        <v>547.50000000000023</v>
      </c>
      <c r="AP22" s="47">
        <f t="shared" si="4"/>
        <v>547.50000000000023</v>
      </c>
      <c r="AQ22" s="47">
        <f t="shared" si="4"/>
        <v>547.50000000000023</v>
      </c>
    </row>
    <row r="23" spans="2:49" ht="11.25" customHeight="1">
      <c r="B23" s="56"/>
      <c r="C23" s="57"/>
      <c r="D23" s="57"/>
      <c r="E23" s="57"/>
      <c r="F23" s="57"/>
      <c r="G23" s="57"/>
      <c r="H23" s="57"/>
      <c r="I23" s="57"/>
      <c r="J23" s="57"/>
      <c r="K23" s="57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</row>
    <row r="24" spans="2:49" ht="11.25" customHeight="1">
      <c r="B24" s="82" t="s">
        <v>85</v>
      </c>
      <c r="C24" s="48"/>
      <c r="D24" s="48"/>
      <c r="E24" s="15" t="s">
        <v>88</v>
      </c>
      <c r="F24" s="15" t="s">
        <v>57</v>
      </c>
      <c r="G24" s="48"/>
      <c r="H24" s="48"/>
      <c r="I24" s="58">
        <f>SUM(I12,I17,I22)</f>
        <v>0</v>
      </c>
      <c r="J24" s="58">
        <f t="shared" ref="J24:AQ24" si="5">SUM(J12,J17,J22)</f>
        <v>0</v>
      </c>
      <c r="K24" s="58">
        <f t="shared" si="5"/>
        <v>0</v>
      </c>
      <c r="L24" s="58">
        <f t="shared" si="5"/>
        <v>0</v>
      </c>
      <c r="M24" s="58">
        <f t="shared" si="5"/>
        <v>912.5</v>
      </c>
      <c r="N24" s="58">
        <f t="shared" si="5"/>
        <v>912.5</v>
      </c>
      <c r="O24" s="58">
        <f t="shared" si="5"/>
        <v>912.5</v>
      </c>
      <c r="P24" s="58">
        <f t="shared" si="5"/>
        <v>912.50000000000011</v>
      </c>
      <c r="Q24" s="58">
        <f t="shared" si="5"/>
        <v>912.5</v>
      </c>
      <c r="R24" s="58">
        <f t="shared" si="5"/>
        <v>912.50000000000023</v>
      </c>
      <c r="S24" s="58">
        <f t="shared" si="5"/>
        <v>912.5</v>
      </c>
      <c r="T24" s="58">
        <f t="shared" si="5"/>
        <v>912.50000000000034</v>
      </c>
      <c r="U24" s="58">
        <f t="shared" si="5"/>
        <v>912.50000000000045</v>
      </c>
      <c r="V24" s="58">
        <f t="shared" si="5"/>
        <v>912.50000000000045</v>
      </c>
      <c r="W24" s="58">
        <f t="shared" si="5"/>
        <v>912.50000000000023</v>
      </c>
      <c r="X24" s="58">
        <f t="shared" si="5"/>
        <v>912.50000000000045</v>
      </c>
      <c r="Y24" s="58">
        <f t="shared" si="5"/>
        <v>912.50000000000045</v>
      </c>
      <c r="Z24" s="58">
        <f t="shared" si="5"/>
        <v>912.50000000000045</v>
      </c>
      <c r="AA24" s="58">
        <f t="shared" si="5"/>
        <v>912.50000000000045</v>
      </c>
      <c r="AB24" s="58">
        <f t="shared" si="5"/>
        <v>912.50000000000045</v>
      </c>
      <c r="AC24" s="58">
        <f t="shared" si="5"/>
        <v>912.50000000000045</v>
      </c>
      <c r="AD24" s="58">
        <f t="shared" si="5"/>
        <v>912.50000000000045</v>
      </c>
      <c r="AE24" s="58">
        <f t="shared" si="5"/>
        <v>912.50000000000045</v>
      </c>
      <c r="AF24" s="58">
        <f t="shared" si="5"/>
        <v>912.50000000000045</v>
      </c>
      <c r="AG24" s="58">
        <f t="shared" si="5"/>
        <v>912.50000000000045</v>
      </c>
      <c r="AH24" s="58">
        <f t="shared" si="5"/>
        <v>912.50000000000045</v>
      </c>
      <c r="AI24" s="58">
        <f t="shared" si="5"/>
        <v>912.50000000000034</v>
      </c>
      <c r="AJ24" s="58">
        <f t="shared" si="5"/>
        <v>912.50000000000068</v>
      </c>
      <c r="AK24" s="58">
        <f t="shared" si="5"/>
        <v>912.50000000000057</v>
      </c>
      <c r="AL24" s="58">
        <f t="shared" si="5"/>
        <v>912.50000000000068</v>
      </c>
      <c r="AM24" s="58">
        <f t="shared" si="5"/>
        <v>912.50000000000057</v>
      </c>
      <c r="AN24" s="58">
        <f t="shared" si="5"/>
        <v>912.50000000000091</v>
      </c>
      <c r="AO24" s="58">
        <f t="shared" si="5"/>
        <v>912.50000000000068</v>
      </c>
      <c r="AP24" s="58">
        <f t="shared" si="5"/>
        <v>912.50000000000068</v>
      </c>
      <c r="AQ24" s="58">
        <f t="shared" si="5"/>
        <v>912.50000000000068</v>
      </c>
    </row>
    <row r="25" spans="2:49" ht="11.25" customHeight="1">
      <c r="B25" s="83" t="s">
        <v>87</v>
      </c>
      <c r="E25" s="3" t="s">
        <v>51</v>
      </c>
      <c r="F25" s="3" t="s">
        <v>57</v>
      </c>
      <c r="J25" s="55" t="str">
        <f>IFERROR(J24/I24-1,"-")</f>
        <v>-</v>
      </c>
      <c r="K25" s="55" t="str">
        <f t="shared" ref="K25:AQ25" si="6">IFERROR(K24/J24-1,"-")</f>
        <v>-</v>
      </c>
      <c r="L25" s="55" t="str">
        <f t="shared" si="6"/>
        <v>-</v>
      </c>
      <c r="M25" s="55" t="str">
        <f t="shared" si="6"/>
        <v>-</v>
      </c>
      <c r="N25" s="55">
        <f t="shared" si="6"/>
        <v>0</v>
      </c>
      <c r="O25" s="55">
        <f t="shared" si="6"/>
        <v>0</v>
      </c>
      <c r="P25" s="55">
        <f t="shared" si="6"/>
        <v>2.2204460492503131E-16</v>
      </c>
      <c r="Q25" s="55">
        <f t="shared" si="6"/>
        <v>-1.1102230246251565E-16</v>
      </c>
      <c r="R25" s="55">
        <f t="shared" si="6"/>
        <v>2.2204460492503131E-16</v>
      </c>
      <c r="S25" s="55">
        <f t="shared" si="6"/>
        <v>-2.2204460492503131E-16</v>
      </c>
      <c r="T25" s="55">
        <f t="shared" si="6"/>
        <v>4.4408920985006262E-16</v>
      </c>
      <c r="U25" s="55">
        <f t="shared" si="6"/>
        <v>2.2204460492503131E-16</v>
      </c>
      <c r="V25" s="55">
        <f t="shared" si="6"/>
        <v>0</v>
      </c>
      <c r="W25" s="55">
        <f t="shared" si="6"/>
        <v>-2.2204460492503131E-16</v>
      </c>
      <c r="X25" s="55">
        <f t="shared" si="6"/>
        <v>2.2204460492503131E-16</v>
      </c>
      <c r="Y25" s="55">
        <f t="shared" si="6"/>
        <v>0</v>
      </c>
      <c r="Z25" s="55">
        <f t="shared" si="6"/>
        <v>0</v>
      </c>
      <c r="AA25" s="55">
        <f t="shared" si="6"/>
        <v>0</v>
      </c>
      <c r="AB25" s="55">
        <f t="shared" si="6"/>
        <v>0</v>
      </c>
      <c r="AC25" s="55">
        <f t="shared" si="6"/>
        <v>0</v>
      </c>
      <c r="AD25" s="55">
        <f t="shared" si="6"/>
        <v>0</v>
      </c>
      <c r="AE25" s="55">
        <f t="shared" si="6"/>
        <v>0</v>
      </c>
      <c r="AF25" s="55">
        <f t="shared" si="6"/>
        <v>0</v>
      </c>
      <c r="AG25" s="55">
        <f t="shared" si="6"/>
        <v>0</v>
      </c>
      <c r="AH25" s="55">
        <f t="shared" si="6"/>
        <v>0</v>
      </c>
      <c r="AI25" s="55">
        <f t="shared" si="6"/>
        <v>-1.1102230246251565E-16</v>
      </c>
      <c r="AJ25" s="55">
        <f t="shared" si="6"/>
        <v>4.4408920985006262E-16</v>
      </c>
      <c r="AK25" s="55">
        <f t="shared" si="6"/>
        <v>-1.1102230246251565E-16</v>
      </c>
      <c r="AL25" s="55">
        <f t="shared" si="6"/>
        <v>2.2204460492503131E-16</v>
      </c>
      <c r="AM25" s="55">
        <f t="shared" si="6"/>
        <v>-1.1102230246251565E-16</v>
      </c>
      <c r="AN25" s="55">
        <f t="shared" si="6"/>
        <v>4.4408920985006262E-16</v>
      </c>
      <c r="AO25" s="55">
        <f t="shared" si="6"/>
        <v>-2.2204460492503131E-16</v>
      </c>
      <c r="AP25" s="55">
        <f t="shared" si="6"/>
        <v>0</v>
      </c>
      <c r="AQ25" s="55">
        <f t="shared" si="6"/>
        <v>0</v>
      </c>
    </row>
    <row r="26" spans="2:49" ht="11.25" customHeight="1">
      <c r="B26" s="83" t="s">
        <v>108</v>
      </c>
      <c r="E26" s="3" t="s">
        <v>86</v>
      </c>
      <c r="F26" s="3" t="s">
        <v>57</v>
      </c>
      <c r="I26" s="84">
        <f>SUM(I10,I15,I20)</f>
        <v>0</v>
      </c>
      <c r="J26" s="84">
        <f t="shared" ref="J26:AQ26" si="7">SUM(J10,J15,J20)</f>
        <v>0</v>
      </c>
      <c r="K26" s="84">
        <f t="shared" si="7"/>
        <v>0</v>
      </c>
      <c r="L26" s="84">
        <f t="shared" si="7"/>
        <v>0</v>
      </c>
      <c r="M26" s="84">
        <f t="shared" si="7"/>
        <v>2.19</v>
      </c>
      <c r="N26" s="84">
        <f t="shared" si="7"/>
        <v>2.2338</v>
      </c>
      <c r="O26" s="84">
        <f t="shared" si="7"/>
        <v>2.2784760000000004</v>
      </c>
      <c r="P26" s="84">
        <f t="shared" si="7"/>
        <v>2.3240455200000003</v>
      </c>
      <c r="Q26" s="84">
        <f t="shared" si="7"/>
        <v>2.3705264304</v>
      </c>
      <c r="R26" s="84">
        <f t="shared" si="7"/>
        <v>2.4179369590080002</v>
      </c>
      <c r="S26" s="84">
        <f t="shared" si="7"/>
        <v>2.4662956981881603</v>
      </c>
      <c r="T26" s="84">
        <f t="shared" si="7"/>
        <v>2.5156216121519241</v>
      </c>
      <c r="U26" s="84">
        <f t="shared" si="7"/>
        <v>2.5659340443949628</v>
      </c>
      <c r="V26" s="84">
        <f t="shared" si="7"/>
        <v>2.6172527252828619</v>
      </c>
      <c r="W26" s="84">
        <f t="shared" si="7"/>
        <v>2.6695977797885186</v>
      </c>
      <c r="X26" s="84">
        <f t="shared" si="7"/>
        <v>2.7229897353842896</v>
      </c>
      <c r="Y26" s="84">
        <f t="shared" si="7"/>
        <v>2.7774495300919755</v>
      </c>
      <c r="Z26" s="84">
        <f t="shared" si="7"/>
        <v>2.8329985206938151</v>
      </c>
      <c r="AA26" s="84">
        <f t="shared" si="7"/>
        <v>2.8896584911076912</v>
      </c>
      <c r="AB26" s="84">
        <f t="shared" si="7"/>
        <v>2.9474516609298451</v>
      </c>
      <c r="AC26" s="84">
        <f t="shared" si="7"/>
        <v>3.006400694148442</v>
      </c>
      <c r="AD26" s="84">
        <f t="shared" si="7"/>
        <v>3.0665287080314103</v>
      </c>
      <c r="AE26" s="84">
        <f t="shared" si="7"/>
        <v>3.127859282192039</v>
      </c>
      <c r="AF26" s="84">
        <f t="shared" si="7"/>
        <v>3.1904164678358797</v>
      </c>
      <c r="AG26" s="84">
        <f t="shared" si="7"/>
        <v>3.2542247971925975</v>
      </c>
      <c r="AH26" s="84">
        <f t="shared" si="7"/>
        <v>3.3193092931364494</v>
      </c>
      <c r="AI26" s="84">
        <f t="shared" si="7"/>
        <v>3.3856954789991782</v>
      </c>
      <c r="AJ26" s="84">
        <f t="shared" si="7"/>
        <v>3.4534093885791624</v>
      </c>
      <c r="AK26" s="84">
        <f t="shared" si="7"/>
        <v>3.5224775763507452</v>
      </c>
      <c r="AL26" s="84">
        <f t="shared" si="7"/>
        <v>3.5929271278777604</v>
      </c>
      <c r="AM26" s="84">
        <f t="shared" si="7"/>
        <v>3.6647856704353154</v>
      </c>
      <c r="AN26" s="84">
        <f t="shared" si="7"/>
        <v>3.7380813838440226</v>
      </c>
      <c r="AO26" s="84">
        <f t="shared" si="7"/>
        <v>3.8128430115209029</v>
      </c>
      <c r="AP26" s="84">
        <f t="shared" si="7"/>
        <v>3.8890998717513208</v>
      </c>
      <c r="AQ26" s="84">
        <f t="shared" si="7"/>
        <v>3.9668818691863477</v>
      </c>
    </row>
    <row r="27" spans="2:49" ht="11.25" customHeight="1">
      <c r="B27" s="12"/>
    </row>
    <row r="28" spans="2:49" ht="11.25" customHeight="1" thickBot="1">
      <c r="B28" s="9" t="s">
        <v>28</v>
      </c>
      <c r="C28" s="8"/>
      <c r="D28" s="8"/>
      <c r="E28" s="9" t="s">
        <v>48</v>
      </c>
      <c r="F28" s="9" t="s">
        <v>72</v>
      </c>
      <c r="G28" s="8"/>
      <c r="H28" s="8"/>
      <c r="I28" s="9">
        <f>YEAR(Now)</f>
        <v>2016</v>
      </c>
      <c r="J28" s="9">
        <f t="shared" ref="J28:AQ28" si="8">IFERROR(IF(I28+1&gt;End,"",I28+1),"")</f>
        <v>2017</v>
      </c>
      <c r="K28" s="9">
        <f t="shared" si="8"/>
        <v>2018</v>
      </c>
      <c r="L28" s="9">
        <f t="shared" si="8"/>
        <v>2019</v>
      </c>
      <c r="M28" s="9">
        <f t="shared" si="8"/>
        <v>2020</v>
      </c>
      <c r="N28" s="9">
        <f t="shared" si="8"/>
        <v>2021</v>
      </c>
      <c r="O28" s="9">
        <f t="shared" si="8"/>
        <v>2022</v>
      </c>
      <c r="P28" s="9">
        <f t="shared" si="8"/>
        <v>2023</v>
      </c>
      <c r="Q28" s="9">
        <f t="shared" si="8"/>
        <v>2024</v>
      </c>
      <c r="R28" s="9">
        <f t="shared" si="8"/>
        <v>2025</v>
      </c>
      <c r="S28" s="9">
        <f t="shared" si="8"/>
        <v>2026</v>
      </c>
      <c r="T28" s="9">
        <f t="shared" si="8"/>
        <v>2027</v>
      </c>
      <c r="U28" s="9">
        <f t="shared" si="8"/>
        <v>2028</v>
      </c>
      <c r="V28" s="9">
        <f t="shared" si="8"/>
        <v>2029</v>
      </c>
      <c r="W28" s="9">
        <f t="shared" si="8"/>
        <v>2030</v>
      </c>
      <c r="X28" s="9">
        <f t="shared" si="8"/>
        <v>2031</v>
      </c>
      <c r="Y28" s="9">
        <f t="shared" si="8"/>
        <v>2032</v>
      </c>
      <c r="Z28" s="9">
        <f t="shared" si="8"/>
        <v>2033</v>
      </c>
      <c r="AA28" s="9">
        <f t="shared" si="8"/>
        <v>2034</v>
      </c>
      <c r="AB28" s="9">
        <f t="shared" si="8"/>
        <v>2035</v>
      </c>
      <c r="AC28" s="9">
        <f t="shared" si="8"/>
        <v>2036</v>
      </c>
      <c r="AD28" s="9">
        <f t="shared" si="8"/>
        <v>2037</v>
      </c>
      <c r="AE28" s="9">
        <f t="shared" si="8"/>
        <v>2038</v>
      </c>
      <c r="AF28" s="9">
        <f t="shared" si="8"/>
        <v>2039</v>
      </c>
      <c r="AG28" s="9">
        <f t="shared" si="8"/>
        <v>2040</v>
      </c>
      <c r="AH28" s="9">
        <f t="shared" si="8"/>
        <v>2041</v>
      </c>
      <c r="AI28" s="9">
        <f t="shared" si="8"/>
        <v>2042</v>
      </c>
      <c r="AJ28" s="9">
        <f t="shared" si="8"/>
        <v>2043</v>
      </c>
      <c r="AK28" s="9">
        <f t="shared" si="8"/>
        <v>2044</v>
      </c>
      <c r="AL28" s="9">
        <f t="shared" si="8"/>
        <v>2045</v>
      </c>
      <c r="AM28" s="9">
        <f t="shared" si="8"/>
        <v>2046</v>
      </c>
      <c r="AN28" s="9">
        <f t="shared" si="8"/>
        <v>2047</v>
      </c>
      <c r="AO28" s="9">
        <f t="shared" si="8"/>
        <v>2048</v>
      </c>
      <c r="AP28" s="9">
        <f t="shared" si="8"/>
        <v>2049</v>
      </c>
      <c r="AQ28" s="9">
        <f t="shared" si="8"/>
        <v>2050</v>
      </c>
    </row>
    <row r="29" spans="2:49" ht="11.25" customHeight="1">
      <c r="B29" s="11" t="str">
        <f>OtherRev1</f>
        <v>A</v>
      </c>
    </row>
    <row r="30" spans="2:49" ht="11.25" customHeight="1">
      <c r="B30" s="39" t="s">
        <v>84</v>
      </c>
      <c r="E30" s="3" t="s">
        <v>86</v>
      </c>
      <c r="F30" s="3" t="s">
        <v>57</v>
      </c>
      <c r="I30" s="70">
        <f>IF(I$28&lt;COD,0,IF(I$28=COD,'Operating Assumptions'!$I$54,Model!H30*(1+Model!I31)))</f>
        <v>0</v>
      </c>
      <c r="J30" s="70">
        <f>IF(J$28&lt;COD,0,IF(J$28=COD,'Operating Assumptions'!$I$54,Model!I30*(1+Model!J31)))</f>
        <v>0</v>
      </c>
      <c r="K30" s="70">
        <f>IF(K$28&lt;COD,0,IF(K$28=COD,'Operating Assumptions'!$I$54,Model!J30*(1+Model!K31)))</f>
        <v>0</v>
      </c>
      <c r="L30" s="70">
        <f>IF(L$28&lt;COD,0,IF(L$28=COD,'Operating Assumptions'!$I$54,Model!K30*(1+Model!L31)))</f>
        <v>0</v>
      </c>
      <c r="M30" s="70">
        <f>IF(M$28&lt;COD,0,IF(M$28=COD,'Operating Assumptions'!$I$54,Model!L30*(1+Model!M31)))</f>
        <v>10</v>
      </c>
      <c r="N30" s="70">
        <f>IF(N$28&lt;COD,0,IF(N$28=COD,'Operating Assumptions'!$I$54,Model!M30*(1+Model!N31)))</f>
        <v>10.199999999999999</v>
      </c>
      <c r="O30" s="70">
        <f>IF(O$28&lt;COD,0,IF(O$28=COD,'Operating Assumptions'!$I$54,Model!N30*(1+Model!O31)))</f>
        <v>10.404</v>
      </c>
      <c r="P30" s="70">
        <f>IF(P$28&lt;COD,0,IF(P$28=COD,'Operating Assumptions'!$I$54,Model!O30*(1+Model!P31)))</f>
        <v>10.612080000000001</v>
      </c>
      <c r="Q30" s="70">
        <f>IF(Q$28&lt;COD,0,IF(Q$28=COD,'Operating Assumptions'!$I$54,Model!P30*(1+Model!Q31)))</f>
        <v>10.824321600000001</v>
      </c>
      <c r="R30" s="70">
        <f>IF(R$28&lt;COD,0,IF(R$28=COD,'Operating Assumptions'!$I$54,Model!Q30*(1+Model!R31)))</f>
        <v>11.040808032000001</v>
      </c>
      <c r="S30" s="70">
        <f>IF(S$28&lt;COD,0,IF(S$28=COD,'Operating Assumptions'!$I$54,Model!R30*(1+Model!S31)))</f>
        <v>11.261624192640001</v>
      </c>
      <c r="T30" s="70">
        <f>IF(T$28&lt;COD,0,IF(T$28=COD,'Operating Assumptions'!$I$54,Model!S30*(1+Model!T31)))</f>
        <v>11.486856676492801</v>
      </c>
      <c r="U30" s="70">
        <f>IF(U$28&lt;COD,0,IF(U$28=COD,'Operating Assumptions'!$I$54,Model!T30*(1+Model!U31)))</f>
        <v>11.716593810022657</v>
      </c>
      <c r="V30" s="70">
        <f>IF(V$28&lt;COD,0,IF(V$28=COD,'Operating Assumptions'!$I$54,Model!U30*(1+Model!V31)))</f>
        <v>11.95092568622311</v>
      </c>
      <c r="W30" s="70">
        <f>IF(W$28&lt;COD,0,IF(W$28=COD,'Operating Assumptions'!$I$54,Model!V30*(1+Model!W31)))</f>
        <v>12.189944199947572</v>
      </c>
      <c r="X30" s="70">
        <f>IF(X$28&lt;COD,0,IF(X$28=COD,'Operating Assumptions'!$I$54,Model!W30*(1+Model!X31)))</f>
        <v>12.433743083946524</v>
      </c>
      <c r="Y30" s="70">
        <f>IF(Y$28&lt;COD,0,IF(Y$28=COD,'Operating Assumptions'!$I$54,Model!X30*(1+Model!Y31)))</f>
        <v>12.682417945625454</v>
      </c>
      <c r="Z30" s="70">
        <f>IF(Z$28&lt;COD,0,IF(Z$28=COD,'Operating Assumptions'!$I$54,Model!Y30*(1+Model!Z31)))</f>
        <v>12.936066304537963</v>
      </c>
      <c r="AA30" s="70">
        <f>IF(AA$28&lt;COD,0,IF(AA$28=COD,'Operating Assumptions'!$I$54,Model!Z30*(1+Model!AA31)))</f>
        <v>13.194787630628722</v>
      </c>
      <c r="AB30" s="70">
        <f>IF(AB$28&lt;COD,0,IF(AB$28=COD,'Operating Assumptions'!$I$54,Model!AA30*(1+Model!AB31)))</f>
        <v>13.458683383241297</v>
      </c>
      <c r="AC30" s="70">
        <f>IF(AC$28&lt;COD,0,IF(AC$28=COD,'Operating Assumptions'!$I$54,Model!AB30*(1+Model!AC31)))</f>
        <v>13.727857050906124</v>
      </c>
      <c r="AD30" s="70">
        <f>IF(AD$28&lt;COD,0,IF(AD$28=COD,'Operating Assumptions'!$I$54,Model!AC30*(1+Model!AD31)))</f>
        <v>14.002414191924247</v>
      </c>
      <c r="AE30" s="70">
        <f>IF(AE$28&lt;COD,0,IF(AE$28=COD,'Operating Assumptions'!$I$54,Model!AD30*(1+Model!AE31)))</f>
        <v>14.282462475762733</v>
      </c>
      <c r="AF30" s="70">
        <f>IF(AF$28&lt;COD,0,IF(AF$28=COD,'Operating Assumptions'!$I$54,Model!AE30*(1+Model!AF31)))</f>
        <v>14.568111725277987</v>
      </c>
      <c r="AG30" s="70">
        <f>IF(AG$28&lt;COD,0,IF(AG$28=COD,'Operating Assumptions'!$I$54,Model!AF30*(1+Model!AG31)))</f>
        <v>14.859473959783546</v>
      </c>
      <c r="AH30" s="70">
        <f>IF(AH$28&lt;COD,0,IF(AH$28=COD,'Operating Assumptions'!$I$54,Model!AG30*(1+Model!AH31)))</f>
        <v>15.156663438979217</v>
      </c>
      <c r="AI30" s="70">
        <f>IF(AI$28&lt;COD,0,IF(AI$28=COD,'Operating Assumptions'!$I$54,Model!AH30*(1+Model!AI31)))</f>
        <v>15.459796707758802</v>
      </c>
      <c r="AJ30" s="70">
        <f>IF(AJ$28&lt;COD,0,IF(AJ$28=COD,'Operating Assumptions'!$I$54,Model!AI30*(1+Model!AJ31)))</f>
        <v>15.768992641913979</v>
      </c>
      <c r="AK30" s="70">
        <f>IF(AK$28&lt;COD,0,IF(AK$28=COD,'Operating Assumptions'!$I$54,Model!AJ30*(1+Model!AK31)))</f>
        <v>16.084372494752259</v>
      </c>
      <c r="AL30" s="70">
        <f>IF(AL$28&lt;COD,0,IF(AL$28=COD,'Operating Assumptions'!$I$54,Model!AK30*(1+Model!AL31)))</f>
        <v>16.406059944647303</v>
      </c>
      <c r="AM30" s="70">
        <f>IF(AM$28&lt;COD,0,IF(AM$28=COD,'Operating Assumptions'!$I$54,Model!AL30*(1+Model!AM31)))</f>
        <v>16.734181143540251</v>
      </c>
      <c r="AN30" s="70">
        <f>IF(AN$28&lt;COD,0,IF(AN$28=COD,'Operating Assumptions'!$I$54,Model!AM30*(1+Model!AN31)))</f>
        <v>17.068864766411057</v>
      </c>
      <c r="AO30" s="70">
        <f>IF(AO$28&lt;COD,0,IF(AO$28=COD,'Operating Assumptions'!$I$54,Model!AN30*(1+Model!AO31)))</f>
        <v>17.410242061739279</v>
      </c>
      <c r="AP30" s="70">
        <f>IF(AP$28&lt;COD,0,IF(AP$28=COD,'Operating Assumptions'!$I$54,Model!AO30*(1+Model!AP31)))</f>
        <v>17.758446902974065</v>
      </c>
      <c r="AQ30" s="70">
        <f>IF(AQ$28&lt;COD,0,IF(AQ$28=COD,'Operating Assumptions'!$I$54,Model!AP30*(1+Model!AQ31)))</f>
        <v>18.113615841033546</v>
      </c>
    </row>
    <row r="31" spans="2:49" ht="11.25" customHeight="1">
      <c r="B31" s="53" t="s">
        <v>80</v>
      </c>
      <c r="E31" s="3" t="s">
        <v>51</v>
      </c>
      <c r="F31" s="3" t="s">
        <v>57</v>
      </c>
      <c r="I31" s="60">
        <f>IF(I$28&lt;COD,0,IF(I$28&gt;End,"",IF(OR(I$28&lt;'Operating Assumptions'!$K$49,'Operating Assumptions'!$K$49=End),'Operating Assumptions'!$I$55,IF(OR(I$28&lt;'Operating Assumptions'!$K$50,'Operating Assumptions'!$K$50=End),'Operating Assumptions'!$I$56,IF(I$28&lt;='Operating Assumptions'!$K$51,'Operating Assumptions'!$I$57,"")))))</f>
        <v>0</v>
      </c>
      <c r="J31" s="60">
        <f>IF(J$28&lt;COD,0,IF(J$28&gt;End,"",IF(OR(J$28&lt;'Operating Assumptions'!$K$49,'Operating Assumptions'!$K$49=End),'Operating Assumptions'!$I$55,IF(OR(J$28&lt;'Operating Assumptions'!$K$50,'Operating Assumptions'!$K$50=End),'Operating Assumptions'!$I$56,IF(J$28&lt;='Operating Assumptions'!$K$51,'Operating Assumptions'!$I$57,"")))))</f>
        <v>0</v>
      </c>
      <c r="K31" s="60">
        <f>IF(K$28&lt;COD,0,IF(K$28&gt;End,"",IF(OR(K$28&lt;'Operating Assumptions'!$K$49,'Operating Assumptions'!$K$49=End),'Operating Assumptions'!$I$55,IF(OR(K$28&lt;'Operating Assumptions'!$K$50,'Operating Assumptions'!$K$50=End),'Operating Assumptions'!$I$56,IF(K$28&lt;='Operating Assumptions'!$K$51,'Operating Assumptions'!$I$57,"")))))</f>
        <v>0</v>
      </c>
      <c r="L31" s="60">
        <f>IF(L$28&lt;COD,0,IF(L$28&gt;End,"",IF(OR(L$28&lt;'Operating Assumptions'!$K$49,'Operating Assumptions'!$K$49=End),'Operating Assumptions'!$I$55,IF(OR(L$28&lt;'Operating Assumptions'!$K$50,'Operating Assumptions'!$K$50=End),'Operating Assumptions'!$I$56,IF(L$28&lt;='Operating Assumptions'!$K$51,'Operating Assumptions'!$I$57,"")))))</f>
        <v>0</v>
      </c>
      <c r="M31" s="60">
        <f>IF(M$28&lt;COD,0,IF(M$28&gt;End,"",IF(OR(M$28&lt;'Operating Assumptions'!$K$49,'Operating Assumptions'!$K$49=End),'Operating Assumptions'!$I$55,IF(OR(M$28&lt;'Operating Assumptions'!$K$50,'Operating Assumptions'!$K$50=End),'Operating Assumptions'!$I$56,IF(M$28&lt;='Operating Assumptions'!$K$51,'Operating Assumptions'!$I$57,"")))))</f>
        <v>0.02</v>
      </c>
      <c r="N31" s="60">
        <f>IF(N$28&lt;COD,0,IF(N$28&gt;End,"",IF(OR(N$28&lt;'Operating Assumptions'!$K$49,'Operating Assumptions'!$K$49=End),'Operating Assumptions'!$I$55,IF(OR(N$28&lt;'Operating Assumptions'!$K$50,'Operating Assumptions'!$K$50=End),'Operating Assumptions'!$I$56,IF(N$28&lt;='Operating Assumptions'!$K$51,'Operating Assumptions'!$I$57,"")))))</f>
        <v>0.02</v>
      </c>
      <c r="O31" s="60">
        <f>IF(O$28&lt;COD,0,IF(O$28&gt;End,"",IF(OR(O$28&lt;'Operating Assumptions'!$K$49,'Operating Assumptions'!$K$49=End),'Operating Assumptions'!$I$55,IF(OR(O$28&lt;'Operating Assumptions'!$K$50,'Operating Assumptions'!$K$50=End),'Operating Assumptions'!$I$56,IF(O$28&lt;='Operating Assumptions'!$K$51,'Operating Assumptions'!$I$57,"")))))</f>
        <v>0.02</v>
      </c>
      <c r="P31" s="60">
        <f>IF(P$28&lt;COD,0,IF(P$28&gt;End,"",IF(OR(P$28&lt;'Operating Assumptions'!$K$49,'Operating Assumptions'!$K$49=End),'Operating Assumptions'!$I$55,IF(OR(P$28&lt;'Operating Assumptions'!$K$50,'Operating Assumptions'!$K$50=End),'Operating Assumptions'!$I$56,IF(P$28&lt;='Operating Assumptions'!$K$51,'Operating Assumptions'!$I$57,"")))))</f>
        <v>0.02</v>
      </c>
      <c r="Q31" s="60">
        <f>IF(Q$28&lt;COD,0,IF(Q$28&gt;End,"",IF(OR(Q$28&lt;'Operating Assumptions'!$K$49,'Operating Assumptions'!$K$49=End),'Operating Assumptions'!$I$55,IF(OR(Q$28&lt;'Operating Assumptions'!$K$50,'Operating Assumptions'!$K$50=End),'Operating Assumptions'!$I$56,IF(Q$28&lt;='Operating Assumptions'!$K$51,'Operating Assumptions'!$I$57,"")))))</f>
        <v>0.02</v>
      </c>
      <c r="R31" s="60">
        <f>IF(R$28&lt;COD,0,IF(R$28&gt;End,"",IF(OR(R$28&lt;'Operating Assumptions'!$K$49,'Operating Assumptions'!$K$49=End),'Operating Assumptions'!$I$55,IF(OR(R$28&lt;'Operating Assumptions'!$K$50,'Operating Assumptions'!$K$50=End),'Operating Assumptions'!$I$56,IF(R$28&lt;='Operating Assumptions'!$K$51,'Operating Assumptions'!$I$57,"")))))</f>
        <v>0.02</v>
      </c>
      <c r="S31" s="60">
        <f>IF(S$28&lt;COD,0,IF(S$28&gt;End,"",IF(OR(S$28&lt;'Operating Assumptions'!$K$49,'Operating Assumptions'!$K$49=End),'Operating Assumptions'!$I$55,IF(OR(S$28&lt;'Operating Assumptions'!$K$50,'Operating Assumptions'!$K$50=End),'Operating Assumptions'!$I$56,IF(S$28&lt;='Operating Assumptions'!$K$51,'Operating Assumptions'!$I$57,"")))))</f>
        <v>0.02</v>
      </c>
      <c r="T31" s="60">
        <f>IF(T$28&lt;COD,0,IF(T$28&gt;End,"",IF(OR(T$28&lt;'Operating Assumptions'!$K$49,'Operating Assumptions'!$K$49=End),'Operating Assumptions'!$I$55,IF(OR(T$28&lt;'Operating Assumptions'!$K$50,'Operating Assumptions'!$K$50=End),'Operating Assumptions'!$I$56,IF(T$28&lt;='Operating Assumptions'!$K$51,'Operating Assumptions'!$I$57,"")))))</f>
        <v>0.02</v>
      </c>
      <c r="U31" s="60">
        <f>IF(U$28&lt;COD,0,IF(U$28&gt;End,"",IF(OR(U$28&lt;'Operating Assumptions'!$K$49,'Operating Assumptions'!$K$49=End),'Operating Assumptions'!$I$55,IF(OR(U$28&lt;'Operating Assumptions'!$K$50,'Operating Assumptions'!$K$50=End),'Operating Assumptions'!$I$56,IF(U$28&lt;='Operating Assumptions'!$K$51,'Operating Assumptions'!$I$57,"")))))</f>
        <v>0.02</v>
      </c>
      <c r="V31" s="60">
        <f>IF(V$28&lt;COD,0,IF(V$28&gt;End,"",IF(OR(V$28&lt;'Operating Assumptions'!$K$49,'Operating Assumptions'!$K$49=End),'Operating Assumptions'!$I$55,IF(OR(V$28&lt;'Operating Assumptions'!$K$50,'Operating Assumptions'!$K$50=End),'Operating Assumptions'!$I$56,IF(V$28&lt;='Operating Assumptions'!$K$51,'Operating Assumptions'!$I$57,"")))))</f>
        <v>0.02</v>
      </c>
      <c r="W31" s="60">
        <f>IF(W$28&lt;COD,0,IF(W$28&gt;End,"",IF(OR(W$28&lt;'Operating Assumptions'!$K$49,'Operating Assumptions'!$K$49=End),'Operating Assumptions'!$I$55,IF(OR(W$28&lt;'Operating Assumptions'!$K$50,'Operating Assumptions'!$K$50=End),'Operating Assumptions'!$I$56,IF(W$28&lt;='Operating Assumptions'!$K$51,'Operating Assumptions'!$I$57,"")))))</f>
        <v>0.02</v>
      </c>
      <c r="X31" s="60">
        <f>IF(X$28&lt;COD,0,IF(X$28&gt;End,"",IF(OR(X$28&lt;'Operating Assumptions'!$K$49,'Operating Assumptions'!$K$49=End),'Operating Assumptions'!$I$55,IF(OR(X$28&lt;'Operating Assumptions'!$K$50,'Operating Assumptions'!$K$50=End),'Operating Assumptions'!$I$56,IF(X$28&lt;='Operating Assumptions'!$K$51,'Operating Assumptions'!$I$57,"")))))</f>
        <v>0.02</v>
      </c>
      <c r="Y31" s="60">
        <f>IF(Y$28&lt;COD,0,IF(Y$28&gt;End,"",IF(OR(Y$28&lt;'Operating Assumptions'!$K$49,'Operating Assumptions'!$K$49=End),'Operating Assumptions'!$I$55,IF(OR(Y$28&lt;'Operating Assumptions'!$K$50,'Operating Assumptions'!$K$50=End),'Operating Assumptions'!$I$56,IF(Y$28&lt;='Operating Assumptions'!$K$51,'Operating Assumptions'!$I$57,"")))))</f>
        <v>0.02</v>
      </c>
      <c r="Z31" s="60">
        <f>IF(Z$28&lt;COD,0,IF(Z$28&gt;End,"",IF(OR(Z$28&lt;'Operating Assumptions'!$K$49,'Operating Assumptions'!$K$49=End),'Operating Assumptions'!$I$55,IF(OR(Z$28&lt;'Operating Assumptions'!$K$50,'Operating Assumptions'!$K$50=End),'Operating Assumptions'!$I$56,IF(Z$28&lt;='Operating Assumptions'!$K$51,'Operating Assumptions'!$I$57,"")))))</f>
        <v>0.02</v>
      </c>
      <c r="AA31" s="60">
        <f>IF(AA$28&lt;COD,0,IF(AA$28&gt;End,"",IF(OR(AA$28&lt;'Operating Assumptions'!$K$49,'Operating Assumptions'!$K$49=End),'Operating Assumptions'!$I$55,IF(OR(AA$28&lt;'Operating Assumptions'!$K$50,'Operating Assumptions'!$K$50=End),'Operating Assumptions'!$I$56,IF(AA$28&lt;='Operating Assumptions'!$K$51,'Operating Assumptions'!$I$57,"")))))</f>
        <v>0.02</v>
      </c>
      <c r="AB31" s="60">
        <f>IF(AB$28&lt;COD,0,IF(AB$28&gt;End,"",IF(OR(AB$28&lt;'Operating Assumptions'!$K$49,'Operating Assumptions'!$K$49=End),'Operating Assumptions'!$I$55,IF(OR(AB$28&lt;'Operating Assumptions'!$K$50,'Operating Assumptions'!$K$50=End),'Operating Assumptions'!$I$56,IF(AB$28&lt;='Operating Assumptions'!$K$51,'Operating Assumptions'!$I$57,"")))))</f>
        <v>0.02</v>
      </c>
      <c r="AC31" s="60">
        <f>IF(AC$28&lt;COD,0,IF(AC$28&gt;End,"",IF(OR(AC$28&lt;'Operating Assumptions'!$K$49,'Operating Assumptions'!$K$49=End),'Operating Assumptions'!$I$55,IF(OR(AC$28&lt;'Operating Assumptions'!$K$50,'Operating Assumptions'!$K$50=End),'Operating Assumptions'!$I$56,IF(AC$28&lt;='Operating Assumptions'!$K$51,'Operating Assumptions'!$I$57,"")))))</f>
        <v>0.02</v>
      </c>
      <c r="AD31" s="60">
        <f>IF(AD$28&lt;COD,0,IF(AD$28&gt;End,"",IF(OR(AD$28&lt;'Operating Assumptions'!$K$49,'Operating Assumptions'!$K$49=End),'Operating Assumptions'!$I$55,IF(OR(AD$28&lt;'Operating Assumptions'!$K$50,'Operating Assumptions'!$K$50=End),'Operating Assumptions'!$I$56,IF(AD$28&lt;='Operating Assumptions'!$K$51,'Operating Assumptions'!$I$57,"")))))</f>
        <v>0.02</v>
      </c>
      <c r="AE31" s="60">
        <f>IF(AE$28&lt;COD,0,IF(AE$28&gt;End,"",IF(OR(AE$28&lt;'Operating Assumptions'!$K$49,'Operating Assumptions'!$K$49=End),'Operating Assumptions'!$I$55,IF(OR(AE$28&lt;'Operating Assumptions'!$K$50,'Operating Assumptions'!$K$50=End),'Operating Assumptions'!$I$56,IF(AE$28&lt;='Operating Assumptions'!$K$51,'Operating Assumptions'!$I$57,"")))))</f>
        <v>0.02</v>
      </c>
      <c r="AF31" s="60">
        <f>IF(AF$28&lt;COD,0,IF(AF$28&gt;End,"",IF(OR(AF$28&lt;'Operating Assumptions'!$K$49,'Operating Assumptions'!$K$49=End),'Operating Assumptions'!$I$55,IF(OR(AF$28&lt;'Operating Assumptions'!$K$50,'Operating Assumptions'!$K$50=End),'Operating Assumptions'!$I$56,IF(AF$28&lt;='Operating Assumptions'!$K$51,'Operating Assumptions'!$I$57,"")))))</f>
        <v>0.02</v>
      </c>
      <c r="AG31" s="60">
        <f>IF(AG$28&lt;COD,0,IF(AG$28&gt;End,"",IF(OR(AG$28&lt;'Operating Assumptions'!$K$49,'Operating Assumptions'!$K$49=End),'Operating Assumptions'!$I$55,IF(OR(AG$28&lt;'Operating Assumptions'!$K$50,'Operating Assumptions'!$K$50=End),'Operating Assumptions'!$I$56,IF(AG$28&lt;='Operating Assumptions'!$K$51,'Operating Assumptions'!$I$57,"")))))</f>
        <v>0.02</v>
      </c>
      <c r="AH31" s="60">
        <f>IF(AH$28&lt;COD,0,IF(AH$28&gt;End,"",IF(OR(AH$28&lt;'Operating Assumptions'!$K$49,'Operating Assumptions'!$K$49=End),'Operating Assumptions'!$I$55,IF(OR(AH$28&lt;'Operating Assumptions'!$K$50,'Operating Assumptions'!$K$50=End),'Operating Assumptions'!$I$56,IF(AH$28&lt;='Operating Assumptions'!$K$51,'Operating Assumptions'!$I$57,"")))))</f>
        <v>0.02</v>
      </c>
      <c r="AI31" s="60">
        <f>IF(AI$28&lt;COD,0,IF(AI$28&gt;End,"",IF(OR(AI$28&lt;'Operating Assumptions'!$K$49,'Operating Assumptions'!$K$49=End),'Operating Assumptions'!$I$55,IF(OR(AI$28&lt;'Operating Assumptions'!$K$50,'Operating Assumptions'!$K$50=End),'Operating Assumptions'!$I$56,IF(AI$28&lt;='Operating Assumptions'!$K$51,'Operating Assumptions'!$I$57,"")))))</f>
        <v>0.02</v>
      </c>
      <c r="AJ31" s="60">
        <f>IF(AJ$28&lt;COD,0,IF(AJ$28&gt;End,"",IF(OR(AJ$28&lt;'Operating Assumptions'!$K$49,'Operating Assumptions'!$K$49=End),'Operating Assumptions'!$I$55,IF(OR(AJ$28&lt;'Operating Assumptions'!$K$50,'Operating Assumptions'!$K$50=End),'Operating Assumptions'!$I$56,IF(AJ$28&lt;='Operating Assumptions'!$K$51,'Operating Assumptions'!$I$57,"")))))</f>
        <v>0.02</v>
      </c>
      <c r="AK31" s="60">
        <f>IF(AK$28&lt;COD,0,IF(AK$28&gt;End,"",IF(OR(AK$28&lt;'Operating Assumptions'!$K$49,'Operating Assumptions'!$K$49=End),'Operating Assumptions'!$I$55,IF(OR(AK$28&lt;'Operating Assumptions'!$K$50,'Operating Assumptions'!$K$50=End),'Operating Assumptions'!$I$56,IF(AK$28&lt;='Operating Assumptions'!$K$51,'Operating Assumptions'!$I$57,"")))))</f>
        <v>0.02</v>
      </c>
      <c r="AL31" s="60">
        <f>IF(AL$28&lt;COD,0,IF(AL$28&gt;End,"",IF(OR(AL$28&lt;'Operating Assumptions'!$K$49,'Operating Assumptions'!$K$49=End),'Operating Assumptions'!$I$55,IF(OR(AL$28&lt;'Operating Assumptions'!$K$50,'Operating Assumptions'!$K$50=End),'Operating Assumptions'!$I$56,IF(AL$28&lt;='Operating Assumptions'!$K$51,'Operating Assumptions'!$I$57,"")))))</f>
        <v>0.02</v>
      </c>
      <c r="AM31" s="60">
        <f>IF(AM$28&lt;COD,0,IF(AM$28&gt;End,"",IF(OR(AM$28&lt;'Operating Assumptions'!$K$49,'Operating Assumptions'!$K$49=End),'Operating Assumptions'!$I$55,IF(OR(AM$28&lt;'Operating Assumptions'!$K$50,'Operating Assumptions'!$K$50=End),'Operating Assumptions'!$I$56,IF(AM$28&lt;='Operating Assumptions'!$K$51,'Operating Assumptions'!$I$57,"")))))</f>
        <v>0.02</v>
      </c>
      <c r="AN31" s="60">
        <f>IF(AN$28&lt;COD,0,IF(AN$28&gt;End,"",IF(OR(AN$28&lt;'Operating Assumptions'!$K$49,'Operating Assumptions'!$K$49=End),'Operating Assumptions'!$I$55,IF(OR(AN$28&lt;'Operating Assumptions'!$K$50,'Operating Assumptions'!$K$50=End),'Operating Assumptions'!$I$56,IF(AN$28&lt;='Operating Assumptions'!$K$51,'Operating Assumptions'!$I$57,"")))))</f>
        <v>0.02</v>
      </c>
      <c r="AO31" s="60">
        <f>IF(AO$28&lt;COD,0,IF(AO$28&gt;End,"",IF(OR(AO$28&lt;'Operating Assumptions'!$K$49,'Operating Assumptions'!$K$49=End),'Operating Assumptions'!$I$55,IF(OR(AO$28&lt;'Operating Assumptions'!$K$50,'Operating Assumptions'!$K$50=End),'Operating Assumptions'!$I$56,IF(AO$28&lt;='Operating Assumptions'!$K$51,'Operating Assumptions'!$I$57,"")))))</f>
        <v>0.02</v>
      </c>
      <c r="AP31" s="60">
        <f>IF(AP$28&lt;COD,0,IF(AP$28&gt;End,"",IF(OR(AP$28&lt;'Operating Assumptions'!$K$49,'Operating Assumptions'!$K$49=End),'Operating Assumptions'!$I$55,IF(OR(AP$28&lt;'Operating Assumptions'!$K$50,'Operating Assumptions'!$K$50=End),'Operating Assumptions'!$I$56,IF(AP$28&lt;='Operating Assumptions'!$K$51,'Operating Assumptions'!$I$57,"")))))</f>
        <v>0.02</v>
      </c>
      <c r="AQ31" s="60">
        <f>IF(AQ$28&lt;COD,0,IF(AQ$28&gt;End,"",IF(OR(AQ$28&lt;'Operating Assumptions'!$K$49,'Operating Assumptions'!$K$49=End),'Operating Assumptions'!$I$55,IF(OR(AQ$28&lt;'Operating Assumptions'!$K$50,'Operating Assumptions'!$K$50=End),'Operating Assumptions'!$I$56,IF(AQ$28&lt;='Operating Assumptions'!$K$51,'Operating Assumptions'!$I$57,"")))))</f>
        <v>0.02</v>
      </c>
      <c r="AR31" s="60"/>
      <c r="AS31" s="60"/>
      <c r="AT31" s="60"/>
      <c r="AU31" s="60"/>
      <c r="AV31" s="60"/>
      <c r="AW31" s="60"/>
    </row>
    <row r="32" spans="2:49" ht="11.25" customHeight="1">
      <c r="B32" s="11" t="str">
        <f>OtherRev2</f>
        <v>B</v>
      </c>
    </row>
    <row r="33" spans="1:43" ht="11.25" customHeight="1">
      <c r="B33" s="39" t="s">
        <v>84</v>
      </c>
      <c r="E33" s="3" t="s">
        <v>86</v>
      </c>
      <c r="F33" s="3" t="s">
        <v>57</v>
      </c>
      <c r="I33" s="70">
        <f>IF(I$28&lt;COD,0,IF(I$28=COD,'Operating Assumptions'!$J$54,Model!H33*(1+Model!I34)))</f>
        <v>0</v>
      </c>
      <c r="J33" s="70">
        <f>IF(J$28&lt;COD,0,IF(J$28=COD,'Operating Assumptions'!$J$54,Model!I33*(1+Model!J34)))</f>
        <v>0</v>
      </c>
      <c r="K33" s="70">
        <f>IF(K$28&lt;COD,0,IF(K$28=COD,'Operating Assumptions'!$J$54,Model!J33*(1+Model!K34)))</f>
        <v>0</v>
      </c>
      <c r="L33" s="70">
        <f>IF(L$28&lt;COD,0,IF(L$28=COD,'Operating Assumptions'!$J$54,Model!K33*(1+Model!L34)))</f>
        <v>0</v>
      </c>
      <c r="M33" s="70">
        <f>IF(M$28&lt;COD,0,IF(M$28=COD,'Operating Assumptions'!$J$54,Model!L33*(1+Model!M34)))</f>
        <v>20</v>
      </c>
      <c r="N33" s="70">
        <f>IF(N$28&lt;COD,0,IF(N$28=COD,'Operating Assumptions'!$J$54,Model!M33*(1+Model!N34)))</f>
        <v>20.399999999999999</v>
      </c>
      <c r="O33" s="70">
        <f>IF(O$28&lt;COD,0,IF(O$28=COD,'Operating Assumptions'!$J$54,Model!N33*(1+Model!O34)))</f>
        <v>20.808</v>
      </c>
      <c r="P33" s="70">
        <f>IF(P$28&lt;COD,0,IF(P$28=COD,'Operating Assumptions'!$J$54,Model!O33*(1+Model!P34)))</f>
        <v>21.224160000000001</v>
      </c>
      <c r="Q33" s="70">
        <f>IF(Q$28&lt;COD,0,IF(Q$28=COD,'Operating Assumptions'!$J$54,Model!P33*(1+Model!Q34)))</f>
        <v>21.648643200000002</v>
      </c>
      <c r="R33" s="70">
        <f>IF(R$28&lt;COD,0,IF(R$28=COD,'Operating Assumptions'!$J$54,Model!Q33*(1+Model!R34)))</f>
        <v>22.081616064000002</v>
      </c>
      <c r="S33" s="70">
        <f>IF(S$28&lt;COD,0,IF(S$28=COD,'Operating Assumptions'!$J$54,Model!R33*(1+Model!S34)))</f>
        <v>22.523248385280002</v>
      </c>
      <c r="T33" s="70">
        <f>IF(T$28&lt;COD,0,IF(T$28=COD,'Operating Assumptions'!$J$54,Model!S33*(1+Model!T34)))</f>
        <v>22.973713352985602</v>
      </c>
      <c r="U33" s="70">
        <f>IF(U$28&lt;COD,0,IF(U$28=COD,'Operating Assumptions'!$J$54,Model!T33*(1+Model!U34)))</f>
        <v>23.433187620045313</v>
      </c>
      <c r="V33" s="70">
        <f>IF(V$28&lt;COD,0,IF(V$28=COD,'Operating Assumptions'!$J$54,Model!U33*(1+Model!V34)))</f>
        <v>23.90185137244622</v>
      </c>
      <c r="W33" s="70">
        <f>IF(W$28&lt;COD,0,IF(W$28=COD,'Operating Assumptions'!$J$54,Model!V33*(1+Model!W34)))</f>
        <v>24.379888399895144</v>
      </c>
      <c r="X33" s="70">
        <f>IF(X$28&lt;COD,0,IF(X$28=COD,'Operating Assumptions'!$J$54,Model!W33*(1+Model!X34)))</f>
        <v>24.867486167893048</v>
      </c>
      <c r="Y33" s="70">
        <f>IF(Y$28&lt;COD,0,IF(Y$28=COD,'Operating Assumptions'!$J$54,Model!X33*(1+Model!Y34)))</f>
        <v>25.364835891250909</v>
      </c>
      <c r="Z33" s="70">
        <f>IF(Z$28&lt;COD,0,IF(Z$28=COD,'Operating Assumptions'!$J$54,Model!Y33*(1+Model!Z34)))</f>
        <v>25.872132609075926</v>
      </c>
      <c r="AA33" s="70">
        <f>IF(AA$28&lt;COD,0,IF(AA$28=COD,'Operating Assumptions'!$J$54,Model!Z33*(1+Model!AA34)))</f>
        <v>26.389575261257445</v>
      </c>
      <c r="AB33" s="70">
        <f>IF(AB$28&lt;COD,0,IF(AB$28=COD,'Operating Assumptions'!$J$54,Model!AA33*(1+Model!AB34)))</f>
        <v>26.917366766482594</v>
      </c>
      <c r="AC33" s="70">
        <f>IF(AC$28&lt;COD,0,IF(AC$28=COD,'Operating Assumptions'!$J$54,Model!AB33*(1+Model!AC34)))</f>
        <v>27.455714101812248</v>
      </c>
      <c r="AD33" s="70">
        <f>IF(AD$28&lt;COD,0,IF(AD$28=COD,'Operating Assumptions'!$J$54,Model!AC33*(1+Model!AD34)))</f>
        <v>28.004828383848494</v>
      </c>
      <c r="AE33" s="70">
        <f>IF(AE$28&lt;COD,0,IF(AE$28=COD,'Operating Assumptions'!$J$54,Model!AD33*(1+Model!AE34)))</f>
        <v>28.564924951525466</v>
      </c>
      <c r="AF33" s="70">
        <f>IF(AF$28&lt;COD,0,IF(AF$28=COD,'Operating Assumptions'!$J$54,Model!AE33*(1+Model!AF34)))</f>
        <v>29.136223450555974</v>
      </c>
      <c r="AG33" s="70">
        <f>IF(AG$28&lt;COD,0,IF(AG$28=COD,'Operating Assumptions'!$J$54,Model!AF33*(1+Model!AG34)))</f>
        <v>29.718947919567093</v>
      </c>
      <c r="AH33" s="70">
        <f>IF(AH$28&lt;COD,0,IF(AH$28=COD,'Operating Assumptions'!$J$54,Model!AG33*(1+Model!AH34)))</f>
        <v>30.313326877958435</v>
      </c>
      <c r="AI33" s="70">
        <f>IF(AI$28&lt;COD,0,IF(AI$28=COD,'Operating Assumptions'!$J$54,Model!AH33*(1+Model!AI34)))</f>
        <v>30.919593415517603</v>
      </c>
      <c r="AJ33" s="70">
        <f>IF(AJ$28&lt;COD,0,IF(AJ$28=COD,'Operating Assumptions'!$J$54,Model!AI33*(1+Model!AJ34)))</f>
        <v>31.537985283827958</v>
      </c>
      <c r="AK33" s="70">
        <f>IF(AK$28&lt;COD,0,IF(AK$28=COD,'Operating Assumptions'!$J$54,Model!AJ33*(1+Model!AK34)))</f>
        <v>32.168744989504518</v>
      </c>
      <c r="AL33" s="70">
        <f>IF(AL$28&lt;COD,0,IF(AL$28=COD,'Operating Assumptions'!$J$54,Model!AK33*(1+Model!AL34)))</f>
        <v>32.812119889294607</v>
      </c>
      <c r="AM33" s="70">
        <f>IF(AM$28&lt;COD,0,IF(AM$28=COD,'Operating Assumptions'!$J$54,Model!AL33*(1+Model!AM34)))</f>
        <v>33.468362287080502</v>
      </c>
      <c r="AN33" s="70">
        <f>IF(AN$28&lt;COD,0,IF(AN$28=COD,'Operating Assumptions'!$J$54,Model!AM33*(1+Model!AN34)))</f>
        <v>34.137729532822114</v>
      </c>
      <c r="AO33" s="70">
        <f>IF(AO$28&lt;COD,0,IF(AO$28=COD,'Operating Assumptions'!$J$54,Model!AN33*(1+Model!AO34)))</f>
        <v>34.820484123478558</v>
      </c>
      <c r="AP33" s="70">
        <f>IF(AP$28&lt;COD,0,IF(AP$28=COD,'Operating Assumptions'!$J$54,Model!AO33*(1+Model!AP34)))</f>
        <v>35.516893805948129</v>
      </c>
      <c r="AQ33" s="70">
        <f>IF(AQ$28&lt;COD,0,IF(AQ$28=COD,'Operating Assumptions'!$J$54,Model!AP33*(1+Model!AQ34)))</f>
        <v>36.227231682067092</v>
      </c>
    </row>
    <row r="34" spans="1:43" ht="11.25" customHeight="1">
      <c r="B34" s="53" t="s">
        <v>80</v>
      </c>
      <c r="E34" s="3" t="s">
        <v>51</v>
      </c>
      <c r="F34" s="3" t="s">
        <v>57</v>
      </c>
      <c r="I34" s="60">
        <f>IF(I$28&lt;COD,0,IF(I$28&gt;End,"",IF(OR(I$28&lt;'Operating Assumptions'!$K$49,'Operating Assumptions'!$K$49=End),'Operating Assumptions'!$J$55,IF(OR(I$28&lt;'Operating Assumptions'!$K$50,'Operating Assumptions'!$K$50=End),'Operating Assumptions'!$J$56,IF(I$28&lt;='Operating Assumptions'!$K$51,'Operating Assumptions'!$J$57,"")))))</f>
        <v>0</v>
      </c>
      <c r="J34" s="60">
        <f>IF(J$28&lt;COD,0,IF(J$28&gt;End,"",IF(OR(J$28&lt;'Operating Assumptions'!$K$49,'Operating Assumptions'!$K$49=End),'Operating Assumptions'!$J$55,IF(OR(J$28&lt;'Operating Assumptions'!$K$50,'Operating Assumptions'!$K$50=End),'Operating Assumptions'!$J$56,IF(J$28&lt;='Operating Assumptions'!$K$51,'Operating Assumptions'!$J$57,"")))))</f>
        <v>0</v>
      </c>
      <c r="K34" s="60">
        <f>IF(K$28&lt;COD,0,IF(K$28&gt;End,"",IF(OR(K$28&lt;'Operating Assumptions'!$K$49,'Operating Assumptions'!$K$49=End),'Operating Assumptions'!$J$55,IF(OR(K$28&lt;'Operating Assumptions'!$K$50,'Operating Assumptions'!$K$50=End),'Operating Assumptions'!$J$56,IF(K$28&lt;='Operating Assumptions'!$K$51,'Operating Assumptions'!$J$57,"")))))</f>
        <v>0</v>
      </c>
      <c r="L34" s="60">
        <f>IF(L$28&lt;COD,0,IF(L$28&gt;End,"",IF(OR(L$28&lt;'Operating Assumptions'!$K$49,'Operating Assumptions'!$K$49=End),'Operating Assumptions'!$J$55,IF(OR(L$28&lt;'Operating Assumptions'!$K$50,'Operating Assumptions'!$K$50=End),'Operating Assumptions'!$J$56,IF(L$28&lt;='Operating Assumptions'!$K$51,'Operating Assumptions'!$J$57,"")))))</f>
        <v>0</v>
      </c>
      <c r="M34" s="60">
        <f>IF(M$28&lt;COD,0,IF(M$28&gt;End,"",IF(OR(M$28&lt;'Operating Assumptions'!$K$49,'Operating Assumptions'!$K$49=End),'Operating Assumptions'!$J$55,IF(OR(M$28&lt;'Operating Assumptions'!$K$50,'Operating Assumptions'!$K$50=End),'Operating Assumptions'!$J$56,IF(M$28&lt;='Operating Assumptions'!$K$51,'Operating Assumptions'!$J$57,"")))))</f>
        <v>0.02</v>
      </c>
      <c r="N34" s="60">
        <f>IF(N$28&lt;COD,0,IF(N$28&gt;End,"",IF(OR(N$28&lt;'Operating Assumptions'!$K$49,'Operating Assumptions'!$K$49=End),'Operating Assumptions'!$J$55,IF(OR(N$28&lt;'Operating Assumptions'!$K$50,'Operating Assumptions'!$K$50=End),'Operating Assumptions'!$J$56,IF(N$28&lt;='Operating Assumptions'!$K$51,'Operating Assumptions'!$J$57,"")))))</f>
        <v>0.02</v>
      </c>
      <c r="O34" s="60">
        <f>IF(O$28&lt;COD,0,IF(O$28&gt;End,"",IF(OR(O$28&lt;'Operating Assumptions'!$K$49,'Operating Assumptions'!$K$49=End),'Operating Assumptions'!$J$55,IF(OR(O$28&lt;'Operating Assumptions'!$K$50,'Operating Assumptions'!$K$50=End),'Operating Assumptions'!$J$56,IF(O$28&lt;='Operating Assumptions'!$K$51,'Operating Assumptions'!$J$57,"")))))</f>
        <v>0.02</v>
      </c>
      <c r="P34" s="60">
        <f>IF(P$28&lt;COD,0,IF(P$28&gt;End,"",IF(OR(P$28&lt;'Operating Assumptions'!$K$49,'Operating Assumptions'!$K$49=End),'Operating Assumptions'!$J$55,IF(OR(P$28&lt;'Operating Assumptions'!$K$50,'Operating Assumptions'!$K$50=End),'Operating Assumptions'!$J$56,IF(P$28&lt;='Operating Assumptions'!$K$51,'Operating Assumptions'!$J$57,"")))))</f>
        <v>0.02</v>
      </c>
      <c r="Q34" s="60">
        <f>IF(Q$28&lt;COD,0,IF(Q$28&gt;End,"",IF(OR(Q$28&lt;'Operating Assumptions'!$K$49,'Operating Assumptions'!$K$49=End),'Operating Assumptions'!$J$55,IF(OR(Q$28&lt;'Operating Assumptions'!$K$50,'Operating Assumptions'!$K$50=End),'Operating Assumptions'!$J$56,IF(Q$28&lt;='Operating Assumptions'!$K$51,'Operating Assumptions'!$J$57,"")))))</f>
        <v>0.02</v>
      </c>
      <c r="R34" s="60">
        <f>IF(R$28&lt;COD,0,IF(R$28&gt;End,"",IF(OR(R$28&lt;'Operating Assumptions'!$K$49,'Operating Assumptions'!$K$49=End),'Operating Assumptions'!$J$55,IF(OR(R$28&lt;'Operating Assumptions'!$K$50,'Operating Assumptions'!$K$50=End),'Operating Assumptions'!$J$56,IF(R$28&lt;='Operating Assumptions'!$K$51,'Operating Assumptions'!$J$57,"")))))</f>
        <v>0.02</v>
      </c>
      <c r="S34" s="60">
        <f>IF(S$28&lt;COD,0,IF(S$28&gt;End,"",IF(OR(S$28&lt;'Operating Assumptions'!$K$49,'Operating Assumptions'!$K$49=End),'Operating Assumptions'!$J$55,IF(OR(S$28&lt;'Operating Assumptions'!$K$50,'Operating Assumptions'!$K$50=End),'Operating Assumptions'!$J$56,IF(S$28&lt;='Operating Assumptions'!$K$51,'Operating Assumptions'!$J$57,"")))))</f>
        <v>0.02</v>
      </c>
      <c r="T34" s="60">
        <f>IF(T$28&lt;COD,0,IF(T$28&gt;End,"",IF(OR(T$28&lt;'Operating Assumptions'!$K$49,'Operating Assumptions'!$K$49=End),'Operating Assumptions'!$J$55,IF(OR(T$28&lt;'Operating Assumptions'!$K$50,'Operating Assumptions'!$K$50=End),'Operating Assumptions'!$J$56,IF(T$28&lt;='Operating Assumptions'!$K$51,'Operating Assumptions'!$J$57,"")))))</f>
        <v>0.02</v>
      </c>
      <c r="U34" s="60">
        <f>IF(U$28&lt;COD,0,IF(U$28&gt;End,"",IF(OR(U$28&lt;'Operating Assumptions'!$K$49,'Operating Assumptions'!$K$49=End),'Operating Assumptions'!$J$55,IF(OR(U$28&lt;'Operating Assumptions'!$K$50,'Operating Assumptions'!$K$50=End),'Operating Assumptions'!$J$56,IF(U$28&lt;='Operating Assumptions'!$K$51,'Operating Assumptions'!$J$57,"")))))</f>
        <v>0.02</v>
      </c>
      <c r="V34" s="60">
        <f>IF(V$28&lt;COD,0,IF(V$28&gt;End,"",IF(OR(V$28&lt;'Operating Assumptions'!$K$49,'Operating Assumptions'!$K$49=End),'Operating Assumptions'!$J$55,IF(OR(V$28&lt;'Operating Assumptions'!$K$50,'Operating Assumptions'!$K$50=End),'Operating Assumptions'!$J$56,IF(V$28&lt;='Operating Assumptions'!$K$51,'Operating Assumptions'!$J$57,"")))))</f>
        <v>0.02</v>
      </c>
      <c r="W34" s="60">
        <f>IF(W$28&lt;COD,0,IF(W$28&gt;End,"",IF(OR(W$28&lt;'Operating Assumptions'!$K$49,'Operating Assumptions'!$K$49=End),'Operating Assumptions'!$J$55,IF(OR(W$28&lt;'Operating Assumptions'!$K$50,'Operating Assumptions'!$K$50=End),'Operating Assumptions'!$J$56,IF(W$28&lt;='Operating Assumptions'!$K$51,'Operating Assumptions'!$J$57,"")))))</f>
        <v>0.02</v>
      </c>
      <c r="X34" s="60">
        <f>IF(X$28&lt;COD,0,IF(X$28&gt;End,"",IF(OR(X$28&lt;'Operating Assumptions'!$K$49,'Operating Assumptions'!$K$49=End),'Operating Assumptions'!$J$55,IF(OR(X$28&lt;'Operating Assumptions'!$K$50,'Operating Assumptions'!$K$50=End),'Operating Assumptions'!$J$56,IF(X$28&lt;='Operating Assumptions'!$K$51,'Operating Assumptions'!$J$57,"")))))</f>
        <v>0.02</v>
      </c>
      <c r="Y34" s="60">
        <f>IF(Y$28&lt;COD,0,IF(Y$28&gt;End,"",IF(OR(Y$28&lt;'Operating Assumptions'!$K$49,'Operating Assumptions'!$K$49=End),'Operating Assumptions'!$J$55,IF(OR(Y$28&lt;'Operating Assumptions'!$K$50,'Operating Assumptions'!$K$50=End),'Operating Assumptions'!$J$56,IF(Y$28&lt;='Operating Assumptions'!$K$51,'Operating Assumptions'!$J$57,"")))))</f>
        <v>0.02</v>
      </c>
      <c r="Z34" s="60">
        <f>IF(Z$28&lt;COD,0,IF(Z$28&gt;End,"",IF(OR(Z$28&lt;'Operating Assumptions'!$K$49,'Operating Assumptions'!$K$49=End),'Operating Assumptions'!$J$55,IF(OR(Z$28&lt;'Operating Assumptions'!$K$50,'Operating Assumptions'!$K$50=End),'Operating Assumptions'!$J$56,IF(Z$28&lt;='Operating Assumptions'!$K$51,'Operating Assumptions'!$J$57,"")))))</f>
        <v>0.02</v>
      </c>
      <c r="AA34" s="60">
        <f>IF(AA$28&lt;COD,0,IF(AA$28&gt;End,"",IF(OR(AA$28&lt;'Operating Assumptions'!$K$49,'Operating Assumptions'!$K$49=End),'Operating Assumptions'!$J$55,IF(OR(AA$28&lt;'Operating Assumptions'!$K$50,'Operating Assumptions'!$K$50=End),'Operating Assumptions'!$J$56,IF(AA$28&lt;='Operating Assumptions'!$K$51,'Operating Assumptions'!$J$57,"")))))</f>
        <v>0.02</v>
      </c>
      <c r="AB34" s="60">
        <f>IF(AB$28&lt;COD,0,IF(AB$28&gt;End,"",IF(OR(AB$28&lt;'Operating Assumptions'!$K$49,'Operating Assumptions'!$K$49=End),'Operating Assumptions'!$J$55,IF(OR(AB$28&lt;'Operating Assumptions'!$K$50,'Operating Assumptions'!$K$50=End),'Operating Assumptions'!$J$56,IF(AB$28&lt;='Operating Assumptions'!$K$51,'Operating Assumptions'!$J$57,"")))))</f>
        <v>0.02</v>
      </c>
      <c r="AC34" s="60">
        <f>IF(AC$28&lt;COD,0,IF(AC$28&gt;End,"",IF(OR(AC$28&lt;'Operating Assumptions'!$K$49,'Operating Assumptions'!$K$49=End),'Operating Assumptions'!$J$55,IF(OR(AC$28&lt;'Operating Assumptions'!$K$50,'Operating Assumptions'!$K$50=End),'Operating Assumptions'!$J$56,IF(AC$28&lt;='Operating Assumptions'!$K$51,'Operating Assumptions'!$J$57,"")))))</f>
        <v>0.02</v>
      </c>
      <c r="AD34" s="60">
        <f>IF(AD$28&lt;COD,0,IF(AD$28&gt;End,"",IF(OR(AD$28&lt;'Operating Assumptions'!$K$49,'Operating Assumptions'!$K$49=End),'Operating Assumptions'!$J$55,IF(OR(AD$28&lt;'Operating Assumptions'!$K$50,'Operating Assumptions'!$K$50=End),'Operating Assumptions'!$J$56,IF(AD$28&lt;='Operating Assumptions'!$K$51,'Operating Assumptions'!$J$57,"")))))</f>
        <v>0.02</v>
      </c>
      <c r="AE34" s="60">
        <f>IF(AE$28&lt;COD,0,IF(AE$28&gt;End,"",IF(OR(AE$28&lt;'Operating Assumptions'!$K$49,'Operating Assumptions'!$K$49=End),'Operating Assumptions'!$J$55,IF(OR(AE$28&lt;'Operating Assumptions'!$K$50,'Operating Assumptions'!$K$50=End),'Operating Assumptions'!$J$56,IF(AE$28&lt;='Operating Assumptions'!$K$51,'Operating Assumptions'!$J$57,"")))))</f>
        <v>0.02</v>
      </c>
      <c r="AF34" s="60">
        <f>IF(AF$28&lt;COD,0,IF(AF$28&gt;End,"",IF(OR(AF$28&lt;'Operating Assumptions'!$K$49,'Operating Assumptions'!$K$49=End),'Operating Assumptions'!$J$55,IF(OR(AF$28&lt;'Operating Assumptions'!$K$50,'Operating Assumptions'!$K$50=End),'Operating Assumptions'!$J$56,IF(AF$28&lt;='Operating Assumptions'!$K$51,'Operating Assumptions'!$J$57,"")))))</f>
        <v>0.02</v>
      </c>
      <c r="AG34" s="60">
        <f>IF(AG$28&lt;COD,0,IF(AG$28&gt;End,"",IF(OR(AG$28&lt;'Operating Assumptions'!$K$49,'Operating Assumptions'!$K$49=End),'Operating Assumptions'!$J$55,IF(OR(AG$28&lt;'Operating Assumptions'!$K$50,'Operating Assumptions'!$K$50=End),'Operating Assumptions'!$J$56,IF(AG$28&lt;='Operating Assumptions'!$K$51,'Operating Assumptions'!$J$57,"")))))</f>
        <v>0.02</v>
      </c>
      <c r="AH34" s="60">
        <f>IF(AH$28&lt;COD,0,IF(AH$28&gt;End,"",IF(OR(AH$28&lt;'Operating Assumptions'!$K$49,'Operating Assumptions'!$K$49=End),'Operating Assumptions'!$J$55,IF(OR(AH$28&lt;'Operating Assumptions'!$K$50,'Operating Assumptions'!$K$50=End),'Operating Assumptions'!$J$56,IF(AH$28&lt;='Operating Assumptions'!$K$51,'Operating Assumptions'!$J$57,"")))))</f>
        <v>0.02</v>
      </c>
      <c r="AI34" s="60">
        <f>IF(AI$28&lt;COD,0,IF(AI$28&gt;End,"",IF(OR(AI$28&lt;'Operating Assumptions'!$K$49,'Operating Assumptions'!$K$49=End),'Operating Assumptions'!$J$55,IF(OR(AI$28&lt;'Operating Assumptions'!$K$50,'Operating Assumptions'!$K$50=End),'Operating Assumptions'!$J$56,IF(AI$28&lt;='Operating Assumptions'!$K$51,'Operating Assumptions'!$J$57,"")))))</f>
        <v>0.02</v>
      </c>
      <c r="AJ34" s="60">
        <f>IF(AJ$28&lt;COD,0,IF(AJ$28&gt;End,"",IF(OR(AJ$28&lt;'Operating Assumptions'!$K$49,'Operating Assumptions'!$K$49=End),'Operating Assumptions'!$J$55,IF(OR(AJ$28&lt;'Operating Assumptions'!$K$50,'Operating Assumptions'!$K$50=End),'Operating Assumptions'!$J$56,IF(AJ$28&lt;='Operating Assumptions'!$K$51,'Operating Assumptions'!$J$57,"")))))</f>
        <v>0.02</v>
      </c>
      <c r="AK34" s="60">
        <f>IF(AK$28&lt;COD,0,IF(AK$28&gt;End,"",IF(OR(AK$28&lt;'Operating Assumptions'!$K$49,'Operating Assumptions'!$K$49=End),'Operating Assumptions'!$J$55,IF(OR(AK$28&lt;'Operating Assumptions'!$K$50,'Operating Assumptions'!$K$50=End),'Operating Assumptions'!$J$56,IF(AK$28&lt;='Operating Assumptions'!$K$51,'Operating Assumptions'!$J$57,"")))))</f>
        <v>0.02</v>
      </c>
      <c r="AL34" s="60">
        <f>IF(AL$28&lt;COD,0,IF(AL$28&gt;End,"",IF(OR(AL$28&lt;'Operating Assumptions'!$K$49,'Operating Assumptions'!$K$49=End),'Operating Assumptions'!$J$55,IF(OR(AL$28&lt;'Operating Assumptions'!$K$50,'Operating Assumptions'!$K$50=End),'Operating Assumptions'!$J$56,IF(AL$28&lt;='Operating Assumptions'!$K$51,'Operating Assumptions'!$J$57,"")))))</f>
        <v>0.02</v>
      </c>
      <c r="AM34" s="60">
        <f>IF(AM$28&lt;COD,0,IF(AM$28&gt;End,"",IF(OR(AM$28&lt;'Operating Assumptions'!$K$49,'Operating Assumptions'!$K$49=End),'Operating Assumptions'!$J$55,IF(OR(AM$28&lt;'Operating Assumptions'!$K$50,'Operating Assumptions'!$K$50=End),'Operating Assumptions'!$J$56,IF(AM$28&lt;='Operating Assumptions'!$K$51,'Operating Assumptions'!$J$57,"")))))</f>
        <v>0.02</v>
      </c>
      <c r="AN34" s="60">
        <f>IF(AN$28&lt;COD,0,IF(AN$28&gt;End,"",IF(OR(AN$28&lt;'Operating Assumptions'!$K$49,'Operating Assumptions'!$K$49=End),'Operating Assumptions'!$J$55,IF(OR(AN$28&lt;'Operating Assumptions'!$K$50,'Operating Assumptions'!$K$50=End),'Operating Assumptions'!$J$56,IF(AN$28&lt;='Operating Assumptions'!$K$51,'Operating Assumptions'!$J$57,"")))))</f>
        <v>0.02</v>
      </c>
      <c r="AO34" s="60">
        <f>IF(AO$28&lt;COD,0,IF(AO$28&gt;End,"",IF(OR(AO$28&lt;'Operating Assumptions'!$K$49,'Operating Assumptions'!$K$49=End),'Operating Assumptions'!$J$55,IF(OR(AO$28&lt;'Operating Assumptions'!$K$50,'Operating Assumptions'!$K$50=End),'Operating Assumptions'!$J$56,IF(AO$28&lt;='Operating Assumptions'!$K$51,'Operating Assumptions'!$J$57,"")))))</f>
        <v>0.02</v>
      </c>
      <c r="AP34" s="60">
        <f>IF(AP$28&lt;COD,0,IF(AP$28&gt;End,"",IF(OR(AP$28&lt;'Operating Assumptions'!$K$49,'Operating Assumptions'!$K$49=End),'Operating Assumptions'!$J$55,IF(OR(AP$28&lt;'Operating Assumptions'!$K$50,'Operating Assumptions'!$K$50=End),'Operating Assumptions'!$J$56,IF(AP$28&lt;='Operating Assumptions'!$K$51,'Operating Assumptions'!$J$57,"")))))</f>
        <v>0.02</v>
      </c>
      <c r="AQ34" s="60">
        <f>IF(AQ$28&lt;COD,0,IF(AQ$28&gt;End,"",IF(OR(AQ$28&lt;'Operating Assumptions'!$K$49,'Operating Assumptions'!$K$49=End),'Operating Assumptions'!$J$55,IF(OR(AQ$28&lt;'Operating Assumptions'!$K$50,'Operating Assumptions'!$K$50=End),'Operating Assumptions'!$J$56,IF(AQ$28&lt;='Operating Assumptions'!$K$51,'Operating Assumptions'!$J$57,"")))))</f>
        <v>0.02</v>
      </c>
    </row>
    <row r="35" spans="1:43" ht="11.25" customHeight="1">
      <c r="B35" s="11" t="str">
        <f>OtherRev3</f>
        <v>C</v>
      </c>
    </row>
    <row r="36" spans="1:43" ht="11.25" customHeight="1">
      <c r="B36" s="39" t="s">
        <v>84</v>
      </c>
      <c r="E36" s="3" t="s">
        <v>86</v>
      </c>
      <c r="F36" s="3" t="s">
        <v>57</v>
      </c>
      <c r="I36" s="70">
        <f>IF(I$28&lt;COD,0,IF(I$28=COD,'Operating Assumptions'!$K$54,Model!H36*(1+Model!I37)))</f>
        <v>0</v>
      </c>
      <c r="J36" s="70">
        <f>IF(J$28&lt;COD,0,IF(J$28=COD,'Operating Assumptions'!$K$54,Model!I36*(1+Model!J37)))</f>
        <v>0</v>
      </c>
      <c r="K36" s="70">
        <f>IF(K$28&lt;COD,0,IF(K$28=COD,'Operating Assumptions'!$K$54,Model!J36*(1+Model!K37)))</f>
        <v>0</v>
      </c>
      <c r="L36" s="70">
        <f>IF(L$28&lt;COD,0,IF(L$28=COD,'Operating Assumptions'!$K$54,Model!K36*(1+Model!L37)))</f>
        <v>0</v>
      </c>
      <c r="M36" s="70">
        <f>IF(M$28&lt;COD,0,IF(M$28=COD,'Operating Assumptions'!$K$54,Model!L36*(1+Model!M37)))</f>
        <v>30</v>
      </c>
      <c r="N36" s="70">
        <f>IF(N$28&lt;COD,0,IF(N$28=COD,'Operating Assumptions'!$K$54,Model!M36*(1+Model!N37)))</f>
        <v>30.6</v>
      </c>
      <c r="O36" s="70">
        <f>IF(O$28&lt;COD,0,IF(O$28=COD,'Operating Assumptions'!$K$54,Model!N36*(1+Model!O37)))</f>
        <v>31.212000000000003</v>
      </c>
      <c r="P36" s="70">
        <f>IF(P$28&lt;COD,0,IF(P$28=COD,'Operating Assumptions'!$K$54,Model!O36*(1+Model!P37)))</f>
        <v>31.836240000000004</v>
      </c>
      <c r="Q36" s="70">
        <f>IF(Q$28&lt;COD,0,IF(Q$28=COD,'Operating Assumptions'!$K$54,Model!P36*(1+Model!Q37)))</f>
        <v>32.472964800000007</v>
      </c>
      <c r="R36" s="70">
        <f>IF(R$28&lt;COD,0,IF(R$28=COD,'Operating Assumptions'!$K$54,Model!Q36*(1+Model!R37)))</f>
        <v>33.12242409600001</v>
      </c>
      <c r="S36" s="70">
        <f>IF(S$28&lt;COD,0,IF(S$28=COD,'Operating Assumptions'!$K$54,Model!R36*(1+Model!S37)))</f>
        <v>33.784872577920012</v>
      </c>
      <c r="T36" s="70">
        <f>IF(T$28&lt;COD,0,IF(T$28=COD,'Operating Assumptions'!$K$54,Model!S36*(1+Model!T37)))</f>
        <v>34.460570029478411</v>
      </c>
      <c r="U36" s="70">
        <f>IF(U$28&lt;COD,0,IF(U$28=COD,'Operating Assumptions'!$K$54,Model!T36*(1+Model!U37)))</f>
        <v>35.149781430067982</v>
      </c>
      <c r="V36" s="70">
        <f>IF(V$28&lt;COD,0,IF(V$28=COD,'Operating Assumptions'!$K$54,Model!U36*(1+Model!V37)))</f>
        <v>35.852777058669339</v>
      </c>
      <c r="W36" s="70">
        <f>IF(W$28&lt;COD,0,IF(W$28=COD,'Operating Assumptions'!$K$54,Model!V36*(1+Model!W37)))</f>
        <v>36.569832599842726</v>
      </c>
      <c r="X36" s="70">
        <f>IF(X$28&lt;COD,0,IF(X$28=COD,'Operating Assumptions'!$K$54,Model!W36*(1+Model!X37)))</f>
        <v>37.30122925183958</v>
      </c>
      <c r="Y36" s="70">
        <f>IF(Y$28&lt;COD,0,IF(Y$28=COD,'Operating Assumptions'!$K$54,Model!X36*(1+Model!Y37)))</f>
        <v>38.047253836876372</v>
      </c>
      <c r="Z36" s="70">
        <f>IF(Z$28&lt;COD,0,IF(Z$28=COD,'Operating Assumptions'!$K$54,Model!Y36*(1+Model!Z37)))</f>
        <v>38.8081989136139</v>
      </c>
      <c r="AA36" s="70">
        <f>IF(AA$28&lt;COD,0,IF(AA$28=COD,'Operating Assumptions'!$K$54,Model!Z36*(1+Model!AA37)))</f>
        <v>39.58436289188618</v>
      </c>
      <c r="AB36" s="70">
        <f>IF(AB$28&lt;COD,0,IF(AB$28=COD,'Operating Assumptions'!$K$54,Model!AA36*(1+Model!AB37)))</f>
        <v>40.376050149723902</v>
      </c>
      <c r="AC36" s="70">
        <f>IF(AC$28&lt;COD,0,IF(AC$28=COD,'Operating Assumptions'!$K$54,Model!AB36*(1+Model!AC37)))</f>
        <v>41.183571152718379</v>
      </c>
      <c r="AD36" s="70">
        <f>IF(AD$28&lt;COD,0,IF(AD$28=COD,'Operating Assumptions'!$K$54,Model!AC36*(1+Model!AD37)))</f>
        <v>42.00724257577275</v>
      </c>
      <c r="AE36" s="70">
        <f>IF(AE$28&lt;COD,0,IF(AE$28=COD,'Operating Assumptions'!$K$54,Model!AD36*(1+Model!AE37)))</f>
        <v>42.847387427288204</v>
      </c>
      <c r="AF36" s="70">
        <f>IF(AF$28&lt;COD,0,IF(AF$28=COD,'Operating Assumptions'!$K$54,Model!AE36*(1+Model!AF37)))</f>
        <v>43.704335175833968</v>
      </c>
      <c r="AG36" s="70">
        <f>IF(AG$28&lt;COD,0,IF(AG$28=COD,'Operating Assumptions'!$K$54,Model!AF36*(1+Model!AG37)))</f>
        <v>44.57842187935065</v>
      </c>
      <c r="AH36" s="70">
        <f>IF(AH$28&lt;COD,0,IF(AH$28=COD,'Operating Assumptions'!$K$54,Model!AG36*(1+Model!AH37)))</f>
        <v>45.469990316937661</v>
      </c>
      <c r="AI36" s="70">
        <f>IF(AI$28&lt;COD,0,IF(AI$28=COD,'Operating Assumptions'!$K$54,Model!AH36*(1+Model!AI37)))</f>
        <v>46.379390123276416</v>
      </c>
      <c r="AJ36" s="70">
        <f>IF(AJ$28&lt;COD,0,IF(AJ$28=COD,'Operating Assumptions'!$K$54,Model!AI36*(1+Model!AJ37)))</f>
        <v>47.306977925741947</v>
      </c>
      <c r="AK36" s="70">
        <f>IF(AK$28&lt;COD,0,IF(AK$28=COD,'Operating Assumptions'!$K$54,Model!AJ36*(1+Model!AK37)))</f>
        <v>48.253117484256784</v>
      </c>
      <c r="AL36" s="70">
        <f>IF(AL$28&lt;COD,0,IF(AL$28=COD,'Operating Assumptions'!$K$54,Model!AK36*(1+Model!AL37)))</f>
        <v>49.218179833941917</v>
      </c>
      <c r="AM36" s="70">
        <f>IF(AM$28&lt;COD,0,IF(AM$28=COD,'Operating Assumptions'!$K$54,Model!AL36*(1+Model!AM37)))</f>
        <v>50.202543430620757</v>
      </c>
      <c r="AN36" s="70">
        <f>IF(AN$28&lt;COD,0,IF(AN$28=COD,'Operating Assumptions'!$K$54,Model!AM36*(1+Model!AN37)))</f>
        <v>51.206594299233174</v>
      </c>
      <c r="AO36" s="70">
        <f>IF(AO$28&lt;COD,0,IF(AO$28=COD,'Operating Assumptions'!$K$54,Model!AN36*(1+Model!AO37)))</f>
        <v>52.23072618521784</v>
      </c>
      <c r="AP36" s="70">
        <f>IF(AP$28&lt;COD,0,IF(AP$28=COD,'Operating Assumptions'!$K$54,Model!AO36*(1+Model!AP37)))</f>
        <v>53.275340708922201</v>
      </c>
      <c r="AQ36" s="70">
        <f>IF(AQ$28&lt;COD,0,IF(AQ$28=COD,'Operating Assumptions'!$K$54,Model!AP36*(1+Model!AQ37)))</f>
        <v>54.340847523100649</v>
      </c>
    </row>
    <row r="37" spans="1:43" ht="11.25" customHeight="1">
      <c r="B37" s="53" t="s">
        <v>80</v>
      </c>
      <c r="E37" s="3" t="s">
        <v>51</v>
      </c>
      <c r="F37" s="3" t="s">
        <v>57</v>
      </c>
      <c r="I37" s="60">
        <f>IF(I$28&lt;COD,0,IF(I$28&gt;End,"",IF(OR(I$28&lt;'Operating Assumptions'!$K$49,'Operating Assumptions'!$K$49=End),'Operating Assumptions'!$K$55,IF(OR(I$28&lt;'Operating Assumptions'!$K$50,'Operating Assumptions'!$K$50=End),'Operating Assumptions'!$K$56,IF(I$28&lt;='Operating Assumptions'!$K$51,'Operating Assumptions'!$K$57,"")))))</f>
        <v>0</v>
      </c>
      <c r="J37" s="60">
        <f>IF(J$28&lt;COD,0,IF(J$28&gt;End,"",IF(OR(J$28&lt;'Operating Assumptions'!$K$49,'Operating Assumptions'!$K$49=End),'Operating Assumptions'!$K$55,IF(OR(J$28&lt;'Operating Assumptions'!$K$50,'Operating Assumptions'!$K$50=End),'Operating Assumptions'!$K$56,IF(J$28&lt;='Operating Assumptions'!$K$51,'Operating Assumptions'!$K$57,"")))))</f>
        <v>0</v>
      </c>
      <c r="K37" s="60">
        <f>IF(K$28&lt;COD,0,IF(K$28&gt;End,"",IF(OR(K$28&lt;'Operating Assumptions'!$K$49,'Operating Assumptions'!$K$49=End),'Operating Assumptions'!$K$55,IF(OR(K$28&lt;'Operating Assumptions'!$K$50,'Operating Assumptions'!$K$50=End),'Operating Assumptions'!$K$56,IF(K$28&lt;='Operating Assumptions'!$K$51,'Operating Assumptions'!$K$57,"")))))</f>
        <v>0</v>
      </c>
      <c r="L37" s="60">
        <f>IF(L$28&lt;COD,0,IF(L$28&gt;End,"",IF(OR(L$28&lt;'Operating Assumptions'!$K$49,'Operating Assumptions'!$K$49=End),'Operating Assumptions'!$K$55,IF(OR(L$28&lt;'Operating Assumptions'!$K$50,'Operating Assumptions'!$K$50=End),'Operating Assumptions'!$K$56,IF(L$28&lt;='Operating Assumptions'!$K$51,'Operating Assumptions'!$K$57,"")))))</f>
        <v>0</v>
      </c>
      <c r="M37" s="60">
        <f>IF(M$28&lt;COD,0,IF(M$28&gt;End,"",IF(OR(M$28&lt;'Operating Assumptions'!$K$49,'Operating Assumptions'!$K$49=End),'Operating Assumptions'!$K$55,IF(OR(M$28&lt;'Operating Assumptions'!$K$50,'Operating Assumptions'!$K$50=End),'Operating Assumptions'!$K$56,IF(M$28&lt;='Operating Assumptions'!$K$51,'Operating Assumptions'!$K$57,"")))))</f>
        <v>0.02</v>
      </c>
      <c r="N37" s="60">
        <f>IF(N$28&lt;COD,0,IF(N$28&gt;End,"",IF(OR(N$28&lt;'Operating Assumptions'!$K$49,'Operating Assumptions'!$K$49=End),'Operating Assumptions'!$K$55,IF(OR(N$28&lt;'Operating Assumptions'!$K$50,'Operating Assumptions'!$K$50=End),'Operating Assumptions'!$K$56,IF(N$28&lt;='Operating Assumptions'!$K$51,'Operating Assumptions'!$K$57,"")))))</f>
        <v>0.02</v>
      </c>
      <c r="O37" s="60">
        <f>IF(O$28&lt;COD,0,IF(O$28&gt;End,"",IF(OR(O$28&lt;'Operating Assumptions'!$K$49,'Operating Assumptions'!$K$49=End),'Operating Assumptions'!$K$55,IF(OR(O$28&lt;'Operating Assumptions'!$K$50,'Operating Assumptions'!$K$50=End),'Operating Assumptions'!$K$56,IF(O$28&lt;='Operating Assumptions'!$K$51,'Operating Assumptions'!$K$57,"")))))</f>
        <v>0.02</v>
      </c>
      <c r="P37" s="60">
        <f>IF(P$28&lt;COD,0,IF(P$28&gt;End,"",IF(OR(P$28&lt;'Operating Assumptions'!$K$49,'Operating Assumptions'!$K$49=End),'Operating Assumptions'!$K$55,IF(OR(P$28&lt;'Operating Assumptions'!$K$50,'Operating Assumptions'!$K$50=End),'Operating Assumptions'!$K$56,IF(P$28&lt;='Operating Assumptions'!$K$51,'Operating Assumptions'!$K$57,"")))))</f>
        <v>0.02</v>
      </c>
      <c r="Q37" s="60">
        <f>IF(Q$28&lt;COD,0,IF(Q$28&gt;End,"",IF(OR(Q$28&lt;'Operating Assumptions'!$K$49,'Operating Assumptions'!$K$49=End),'Operating Assumptions'!$K$55,IF(OR(Q$28&lt;'Operating Assumptions'!$K$50,'Operating Assumptions'!$K$50=End),'Operating Assumptions'!$K$56,IF(Q$28&lt;='Operating Assumptions'!$K$51,'Operating Assumptions'!$K$57,"")))))</f>
        <v>0.02</v>
      </c>
      <c r="R37" s="60">
        <f>IF(R$28&lt;COD,0,IF(R$28&gt;End,"",IF(OR(R$28&lt;'Operating Assumptions'!$K$49,'Operating Assumptions'!$K$49=End),'Operating Assumptions'!$K$55,IF(OR(R$28&lt;'Operating Assumptions'!$K$50,'Operating Assumptions'!$K$50=End),'Operating Assumptions'!$K$56,IF(R$28&lt;='Operating Assumptions'!$K$51,'Operating Assumptions'!$K$57,"")))))</f>
        <v>0.02</v>
      </c>
      <c r="S37" s="60">
        <f>IF(S$28&lt;COD,0,IF(S$28&gt;End,"",IF(OR(S$28&lt;'Operating Assumptions'!$K$49,'Operating Assumptions'!$K$49=End),'Operating Assumptions'!$K$55,IF(OR(S$28&lt;'Operating Assumptions'!$K$50,'Operating Assumptions'!$K$50=End),'Operating Assumptions'!$K$56,IF(S$28&lt;='Operating Assumptions'!$K$51,'Operating Assumptions'!$K$57,"")))))</f>
        <v>0.02</v>
      </c>
      <c r="T37" s="60">
        <f>IF(T$28&lt;COD,0,IF(T$28&gt;End,"",IF(OR(T$28&lt;'Operating Assumptions'!$K$49,'Operating Assumptions'!$K$49=End),'Operating Assumptions'!$K$55,IF(OR(T$28&lt;'Operating Assumptions'!$K$50,'Operating Assumptions'!$K$50=End),'Operating Assumptions'!$K$56,IF(T$28&lt;='Operating Assumptions'!$K$51,'Operating Assumptions'!$K$57,"")))))</f>
        <v>0.02</v>
      </c>
      <c r="U37" s="60">
        <f>IF(U$28&lt;COD,0,IF(U$28&gt;End,"",IF(OR(U$28&lt;'Operating Assumptions'!$K$49,'Operating Assumptions'!$K$49=End),'Operating Assumptions'!$K$55,IF(OR(U$28&lt;'Operating Assumptions'!$K$50,'Operating Assumptions'!$K$50=End),'Operating Assumptions'!$K$56,IF(U$28&lt;='Operating Assumptions'!$K$51,'Operating Assumptions'!$K$57,"")))))</f>
        <v>0.02</v>
      </c>
      <c r="V37" s="60">
        <f>IF(V$28&lt;COD,0,IF(V$28&gt;End,"",IF(OR(V$28&lt;'Operating Assumptions'!$K$49,'Operating Assumptions'!$K$49=End),'Operating Assumptions'!$K$55,IF(OR(V$28&lt;'Operating Assumptions'!$K$50,'Operating Assumptions'!$K$50=End),'Operating Assumptions'!$K$56,IF(V$28&lt;='Operating Assumptions'!$K$51,'Operating Assumptions'!$K$57,"")))))</f>
        <v>0.02</v>
      </c>
      <c r="W37" s="60">
        <f>IF(W$28&lt;COD,0,IF(W$28&gt;End,"",IF(OR(W$28&lt;'Operating Assumptions'!$K$49,'Operating Assumptions'!$K$49=End),'Operating Assumptions'!$K$55,IF(OR(W$28&lt;'Operating Assumptions'!$K$50,'Operating Assumptions'!$K$50=End),'Operating Assumptions'!$K$56,IF(W$28&lt;='Operating Assumptions'!$K$51,'Operating Assumptions'!$K$57,"")))))</f>
        <v>0.02</v>
      </c>
      <c r="X37" s="60">
        <f>IF(X$28&lt;COD,0,IF(X$28&gt;End,"",IF(OR(X$28&lt;'Operating Assumptions'!$K$49,'Operating Assumptions'!$K$49=End),'Operating Assumptions'!$K$55,IF(OR(X$28&lt;'Operating Assumptions'!$K$50,'Operating Assumptions'!$K$50=End),'Operating Assumptions'!$K$56,IF(X$28&lt;='Operating Assumptions'!$K$51,'Operating Assumptions'!$K$57,"")))))</f>
        <v>0.02</v>
      </c>
      <c r="Y37" s="60">
        <f>IF(Y$28&lt;COD,0,IF(Y$28&gt;End,"",IF(OR(Y$28&lt;'Operating Assumptions'!$K$49,'Operating Assumptions'!$K$49=End),'Operating Assumptions'!$K$55,IF(OR(Y$28&lt;'Operating Assumptions'!$K$50,'Operating Assumptions'!$K$50=End),'Operating Assumptions'!$K$56,IF(Y$28&lt;='Operating Assumptions'!$K$51,'Operating Assumptions'!$K$57,"")))))</f>
        <v>0.02</v>
      </c>
      <c r="Z37" s="60">
        <f>IF(Z$28&lt;COD,0,IF(Z$28&gt;End,"",IF(OR(Z$28&lt;'Operating Assumptions'!$K$49,'Operating Assumptions'!$K$49=End),'Operating Assumptions'!$K$55,IF(OR(Z$28&lt;'Operating Assumptions'!$K$50,'Operating Assumptions'!$K$50=End),'Operating Assumptions'!$K$56,IF(Z$28&lt;='Operating Assumptions'!$K$51,'Operating Assumptions'!$K$57,"")))))</f>
        <v>0.02</v>
      </c>
      <c r="AA37" s="60">
        <f>IF(AA$28&lt;COD,0,IF(AA$28&gt;End,"",IF(OR(AA$28&lt;'Operating Assumptions'!$K$49,'Operating Assumptions'!$K$49=End),'Operating Assumptions'!$K$55,IF(OR(AA$28&lt;'Operating Assumptions'!$K$50,'Operating Assumptions'!$K$50=End),'Operating Assumptions'!$K$56,IF(AA$28&lt;='Operating Assumptions'!$K$51,'Operating Assumptions'!$K$57,"")))))</f>
        <v>0.02</v>
      </c>
      <c r="AB37" s="60">
        <f>IF(AB$28&lt;COD,0,IF(AB$28&gt;End,"",IF(OR(AB$28&lt;'Operating Assumptions'!$K$49,'Operating Assumptions'!$K$49=End),'Operating Assumptions'!$K$55,IF(OR(AB$28&lt;'Operating Assumptions'!$K$50,'Operating Assumptions'!$K$50=End),'Operating Assumptions'!$K$56,IF(AB$28&lt;='Operating Assumptions'!$K$51,'Operating Assumptions'!$K$57,"")))))</f>
        <v>0.02</v>
      </c>
      <c r="AC37" s="60">
        <f>IF(AC$28&lt;COD,0,IF(AC$28&gt;End,"",IF(OR(AC$28&lt;'Operating Assumptions'!$K$49,'Operating Assumptions'!$K$49=End),'Operating Assumptions'!$K$55,IF(OR(AC$28&lt;'Operating Assumptions'!$K$50,'Operating Assumptions'!$K$50=End),'Operating Assumptions'!$K$56,IF(AC$28&lt;='Operating Assumptions'!$K$51,'Operating Assumptions'!$K$57,"")))))</f>
        <v>0.02</v>
      </c>
      <c r="AD37" s="60">
        <f>IF(AD$28&lt;COD,0,IF(AD$28&gt;End,"",IF(OR(AD$28&lt;'Operating Assumptions'!$K$49,'Operating Assumptions'!$K$49=End),'Operating Assumptions'!$K$55,IF(OR(AD$28&lt;'Operating Assumptions'!$K$50,'Operating Assumptions'!$K$50=End),'Operating Assumptions'!$K$56,IF(AD$28&lt;='Operating Assumptions'!$K$51,'Operating Assumptions'!$K$57,"")))))</f>
        <v>0.02</v>
      </c>
      <c r="AE37" s="60">
        <f>IF(AE$28&lt;COD,0,IF(AE$28&gt;End,"",IF(OR(AE$28&lt;'Operating Assumptions'!$K$49,'Operating Assumptions'!$K$49=End),'Operating Assumptions'!$K$55,IF(OR(AE$28&lt;'Operating Assumptions'!$K$50,'Operating Assumptions'!$K$50=End),'Operating Assumptions'!$K$56,IF(AE$28&lt;='Operating Assumptions'!$K$51,'Operating Assumptions'!$K$57,"")))))</f>
        <v>0.02</v>
      </c>
      <c r="AF37" s="60">
        <f>IF(AF$28&lt;COD,0,IF(AF$28&gt;End,"",IF(OR(AF$28&lt;'Operating Assumptions'!$K$49,'Operating Assumptions'!$K$49=End),'Operating Assumptions'!$K$55,IF(OR(AF$28&lt;'Operating Assumptions'!$K$50,'Operating Assumptions'!$K$50=End),'Operating Assumptions'!$K$56,IF(AF$28&lt;='Operating Assumptions'!$K$51,'Operating Assumptions'!$K$57,"")))))</f>
        <v>0.02</v>
      </c>
      <c r="AG37" s="60">
        <f>IF(AG$28&lt;COD,0,IF(AG$28&gt;End,"",IF(OR(AG$28&lt;'Operating Assumptions'!$K$49,'Operating Assumptions'!$K$49=End),'Operating Assumptions'!$K$55,IF(OR(AG$28&lt;'Operating Assumptions'!$K$50,'Operating Assumptions'!$K$50=End),'Operating Assumptions'!$K$56,IF(AG$28&lt;='Operating Assumptions'!$K$51,'Operating Assumptions'!$K$57,"")))))</f>
        <v>0.02</v>
      </c>
      <c r="AH37" s="60">
        <f>IF(AH$28&lt;COD,0,IF(AH$28&gt;End,"",IF(OR(AH$28&lt;'Operating Assumptions'!$K$49,'Operating Assumptions'!$K$49=End),'Operating Assumptions'!$K$55,IF(OR(AH$28&lt;'Operating Assumptions'!$K$50,'Operating Assumptions'!$K$50=End),'Operating Assumptions'!$K$56,IF(AH$28&lt;='Operating Assumptions'!$K$51,'Operating Assumptions'!$K$57,"")))))</f>
        <v>0.02</v>
      </c>
      <c r="AI37" s="60">
        <f>IF(AI$28&lt;COD,0,IF(AI$28&gt;End,"",IF(OR(AI$28&lt;'Operating Assumptions'!$K$49,'Operating Assumptions'!$K$49=End),'Operating Assumptions'!$K$55,IF(OR(AI$28&lt;'Operating Assumptions'!$K$50,'Operating Assumptions'!$K$50=End),'Operating Assumptions'!$K$56,IF(AI$28&lt;='Operating Assumptions'!$K$51,'Operating Assumptions'!$K$57,"")))))</f>
        <v>0.02</v>
      </c>
      <c r="AJ37" s="60">
        <f>IF(AJ$28&lt;COD,0,IF(AJ$28&gt;End,"",IF(OR(AJ$28&lt;'Operating Assumptions'!$K$49,'Operating Assumptions'!$K$49=End),'Operating Assumptions'!$K$55,IF(OR(AJ$28&lt;'Operating Assumptions'!$K$50,'Operating Assumptions'!$K$50=End),'Operating Assumptions'!$K$56,IF(AJ$28&lt;='Operating Assumptions'!$K$51,'Operating Assumptions'!$K$57,"")))))</f>
        <v>0.02</v>
      </c>
      <c r="AK37" s="60">
        <f>IF(AK$28&lt;COD,0,IF(AK$28&gt;End,"",IF(OR(AK$28&lt;'Operating Assumptions'!$K$49,'Operating Assumptions'!$K$49=End),'Operating Assumptions'!$K$55,IF(OR(AK$28&lt;'Operating Assumptions'!$K$50,'Operating Assumptions'!$K$50=End),'Operating Assumptions'!$K$56,IF(AK$28&lt;='Operating Assumptions'!$K$51,'Operating Assumptions'!$K$57,"")))))</f>
        <v>0.02</v>
      </c>
      <c r="AL37" s="60">
        <f>IF(AL$28&lt;COD,0,IF(AL$28&gt;End,"",IF(OR(AL$28&lt;'Operating Assumptions'!$K$49,'Operating Assumptions'!$K$49=End),'Operating Assumptions'!$K$55,IF(OR(AL$28&lt;'Operating Assumptions'!$K$50,'Operating Assumptions'!$K$50=End),'Operating Assumptions'!$K$56,IF(AL$28&lt;='Operating Assumptions'!$K$51,'Operating Assumptions'!$K$57,"")))))</f>
        <v>0.02</v>
      </c>
      <c r="AM37" s="60">
        <f>IF(AM$28&lt;COD,0,IF(AM$28&gt;End,"",IF(OR(AM$28&lt;'Operating Assumptions'!$K$49,'Operating Assumptions'!$K$49=End),'Operating Assumptions'!$K$55,IF(OR(AM$28&lt;'Operating Assumptions'!$K$50,'Operating Assumptions'!$K$50=End),'Operating Assumptions'!$K$56,IF(AM$28&lt;='Operating Assumptions'!$K$51,'Operating Assumptions'!$K$57,"")))))</f>
        <v>0.02</v>
      </c>
      <c r="AN37" s="60">
        <f>IF(AN$28&lt;COD,0,IF(AN$28&gt;End,"",IF(OR(AN$28&lt;'Operating Assumptions'!$K$49,'Operating Assumptions'!$K$49=End),'Operating Assumptions'!$K$55,IF(OR(AN$28&lt;'Operating Assumptions'!$K$50,'Operating Assumptions'!$K$50=End),'Operating Assumptions'!$K$56,IF(AN$28&lt;='Operating Assumptions'!$K$51,'Operating Assumptions'!$K$57,"")))))</f>
        <v>0.02</v>
      </c>
      <c r="AO37" s="60">
        <f>IF(AO$28&lt;COD,0,IF(AO$28&gt;End,"",IF(OR(AO$28&lt;'Operating Assumptions'!$K$49,'Operating Assumptions'!$K$49=End),'Operating Assumptions'!$K$55,IF(OR(AO$28&lt;'Operating Assumptions'!$K$50,'Operating Assumptions'!$K$50=End),'Operating Assumptions'!$K$56,IF(AO$28&lt;='Operating Assumptions'!$K$51,'Operating Assumptions'!$K$57,"")))))</f>
        <v>0.02</v>
      </c>
      <c r="AP37" s="60">
        <f>IF(AP$28&lt;COD,0,IF(AP$28&gt;End,"",IF(OR(AP$28&lt;'Operating Assumptions'!$K$49,'Operating Assumptions'!$K$49=End),'Operating Assumptions'!$K$55,IF(OR(AP$28&lt;'Operating Assumptions'!$K$50,'Operating Assumptions'!$K$50=End),'Operating Assumptions'!$K$56,IF(AP$28&lt;='Operating Assumptions'!$K$51,'Operating Assumptions'!$K$57,"")))))</f>
        <v>0.02</v>
      </c>
      <c r="AQ37" s="60">
        <f>IF(AQ$28&lt;COD,0,IF(AQ$28&gt;End,"",IF(OR(AQ$28&lt;'Operating Assumptions'!$K$49,'Operating Assumptions'!$K$49=End),'Operating Assumptions'!$K$55,IF(OR(AQ$28&lt;'Operating Assumptions'!$K$50,'Operating Assumptions'!$K$50=End),'Operating Assumptions'!$K$56,IF(AQ$28&lt;='Operating Assumptions'!$K$51,'Operating Assumptions'!$K$57,"")))))</f>
        <v>0.02</v>
      </c>
    </row>
    <row r="38" spans="1:43" ht="11.25" customHeight="1"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</row>
    <row r="39" spans="1:43" ht="11.25" customHeight="1">
      <c r="B39" s="82" t="s">
        <v>93</v>
      </c>
      <c r="C39" s="48"/>
      <c r="D39" s="48"/>
      <c r="E39" s="15" t="s">
        <v>88</v>
      </c>
      <c r="F39" s="15" t="s">
        <v>57</v>
      </c>
      <c r="G39" s="48"/>
      <c r="H39" s="48"/>
      <c r="I39" s="58">
        <f>SUM(I30,I33,I36)</f>
        <v>0</v>
      </c>
      <c r="J39" s="58">
        <f t="shared" ref="J39:AQ39" si="9">SUM(J30,J33,J36)</f>
        <v>0</v>
      </c>
      <c r="K39" s="58">
        <f t="shared" si="9"/>
        <v>0</v>
      </c>
      <c r="L39" s="58">
        <f t="shared" si="9"/>
        <v>0</v>
      </c>
      <c r="M39" s="58">
        <f t="shared" si="9"/>
        <v>60</v>
      </c>
      <c r="N39" s="58">
        <f t="shared" si="9"/>
        <v>61.2</v>
      </c>
      <c r="O39" s="58">
        <f t="shared" si="9"/>
        <v>62.424000000000007</v>
      </c>
      <c r="P39" s="58">
        <f t="shared" si="9"/>
        <v>63.672480000000007</v>
      </c>
      <c r="Q39" s="58">
        <f t="shared" si="9"/>
        <v>64.945929599999999</v>
      </c>
      <c r="R39" s="58">
        <f t="shared" si="9"/>
        <v>66.244848192000006</v>
      </c>
      <c r="S39" s="58">
        <f t="shared" si="9"/>
        <v>67.569745155840025</v>
      </c>
      <c r="T39" s="58">
        <f t="shared" si="9"/>
        <v>68.921140058956809</v>
      </c>
      <c r="U39" s="58">
        <f t="shared" si="9"/>
        <v>70.29956286013595</v>
      </c>
      <c r="V39" s="58">
        <f t="shared" si="9"/>
        <v>71.705554117338664</v>
      </c>
      <c r="W39" s="58">
        <f t="shared" si="9"/>
        <v>73.139665199685439</v>
      </c>
      <c r="X39" s="58">
        <f t="shared" si="9"/>
        <v>74.602458503679145</v>
      </c>
      <c r="Y39" s="58">
        <f t="shared" si="9"/>
        <v>76.09450767375273</v>
      </c>
      <c r="Z39" s="58">
        <f t="shared" si="9"/>
        <v>77.616397827227786</v>
      </c>
      <c r="AA39" s="58">
        <f t="shared" si="9"/>
        <v>79.168725783772345</v>
      </c>
      <c r="AB39" s="58">
        <f t="shared" si="9"/>
        <v>80.75210029944779</v>
      </c>
      <c r="AC39" s="58">
        <f t="shared" si="9"/>
        <v>82.367142305436744</v>
      </c>
      <c r="AD39" s="58">
        <f t="shared" si="9"/>
        <v>84.0144851515455</v>
      </c>
      <c r="AE39" s="58">
        <f t="shared" si="9"/>
        <v>85.694774854576394</v>
      </c>
      <c r="AF39" s="58">
        <f t="shared" si="9"/>
        <v>87.408670351667922</v>
      </c>
      <c r="AG39" s="58">
        <f t="shared" si="9"/>
        <v>89.156843758701285</v>
      </c>
      <c r="AH39" s="58">
        <f t="shared" si="9"/>
        <v>90.939980633875308</v>
      </c>
      <c r="AI39" s="58">
        <f t="shared" si="9"/>
        <v>92.758780246552817</v>
      </c>
      <c r="AJ39" s="58">
        <f t="shared" si="9"/>
        <v>94.61395585148388</v>
      </c>
      <c r="AK39" s="58">
        <f t="shared" si="9"/>
        <v>96.506234968513553</v>
      </c>
      <c r="AL39" s="58">
        <f t="shared" si="9"/>
        <v>98.436359667883835</v>
      </c>
      <c r="AM39" s="58">
        <f t="shared" si="9"/>
        <v>100.4050868612415</v>
      </c>
      <c r="AN39" s="58">
        <f t="shared" si="9"/>
        <v>102.41318859846635</v>
      </c>
      <c r="AO39" s="58">
        <f t="shared" si="9"/>
        <v>104.46145237043567</v>
      </c>
      <c r="AP39" s="58">
        <f t="shared" si="9"/>
        <v>106.5506814178444</v>
      </c>
      <c r="AQ39" s="58">
        <f t="shared" si="9"/>
        <v>108.68169504620128</v>
      </c>
    </row>
    <row r="40" spans="1:43" ht="11.25" customHeight="1">
      <c r="B40" s="83" t="s">
        <v>87</v>
      </c>
      <c r="E40" s="3" t="s">
        <v>51</v>
      </c>
      <c r="F40" s="3" t="s">
        <v>57</v>
      </c>
      <c r="J40" s="55" t="str">
        <f t="shared" ref="J40:AQ40" si="10">IFERROR(J39/I39-1,"-")</f>
        <v>-</v>
      </c>
      <c r="K40" s="55" t="str">
        <f t="shared" si="10"/>
        <v>-</v>
      </c>
      <c r="L40" s="55" t="str">
        <f t="shared" si="10"/>
        <v>-</v>
      </c>
      <c r="M40" s="55" t="str">
        <f t="shared" si="10"/>
        <v>-</v>
      </c>
      <c r="N40" s="55">
        <f t="shared" si="10"/>
        <v>2.0000000000000018E-2</v>
      </c>
      <c r="O40" s="55">
        <f t="shared" si="10"/>
        <v>2.0000000000000018E-2</v>
      </c>
      <c r="P40" s="55">
        <f t="shared" si="10"/>
        <v>2.0000000000000018E-2</v>
      </c>
      <c r="Q40" s="55">
        <f t="shared" si="10"/>
        <v>1.9999999999999796E-2</v>
      </c>
      <c r="R40" s="55">
        <f t="shared" si="10"/>
        <v>2.0000000000000018E-2</v>
      </c>
      <c r="S40" s="55">
        <f t="shared" si="10"/>
        <v>2.000000000000024E-2</v>
      </c>
      <c r="T40" s="55">
        <f t="shared" si="10"/>
        <v>1.9999999999999796E-2</v>
      </c>
      <c r="U40" s="55">
        <f t="shared" si="10"/>
        <v>2.0000000000000018E-2</v>
      </c>
      <c r="V40" s="55">
        <f t="shared" si="10"/>
        <v>2.0000000000000018E-2</v>
      </c>
      <c r="W40" s="55">
        <f t="shared" si="10"/>
        <v>2.0000000000000018E-2</v>
      </c>
      <c r="X40" s="55">
        <f t="shared" si="10"/>
        <v>2.0000000000000018E-2</v>
      </c>
      <c r="Y40" s="55">
        <f t="shared" si="10"/>
        <v>2.0000000000000018E-2</v>
      </c>
      <c r="Z40" s="55">
        <f t="shared" si="10"/>
        <v>2.0000000000000018E-2</v>
      </c>
      <c r="AA40" s="55">
        <f t="shared" si="10"/>
        <v>2.0000000000000018E-2</v>
      </c>
      <c r="AB40" s="55">
        <f t="shared" si="10"/>
        <v>2.0000000000000018E-2</v>
      </c>
      <c r="AC40" s="55">
        <f t="shared" si="10"/>
        <v>2.0000000000000018E-2</v>
      </c>
      <c r="AD40" s="55">
        <f t="shared" si="10"/>
        <v>2.000000000000024E-2</v>
      </c>
      <c r="AE40" s="55">
        <f t="shared" si="10"/>
        <v>1.9999999999999796E-2</v>
      </c>
      <c r="AF40" s="55">
        <f t="shared" si="10"/>
        <v>2.0000000000000018E-2</v>
      </c>
      <c r="AG40" s="55">
        <f t="shared" si="10"/>
        <v>2.0000000000000018E-2</v>
      </c>
      <c r="AH40" s="55">
        <f t="shared" si="10"/>
        <v>2.0000000000000018E-2</v>
      </c>
      <c r="AI40" s="55">
        <f t="shared" si="10"/>
        <v>2.0000000000000018E-2</v>
      </c>
      <c r="AJ40" s="55">
        <f t="shared" si="10"/>
        <v>2.0000000000000018E-2</v>
      </c>
      <c r="AK40" s="55">
        <f t="shared" si="10"/>
        <v>2.0000000000000018E-2</v>
      </c>
      <c r="AL40" s="55">
        <f t="shared" si="10"/>
        <v>2.0000000000000018E-2</v>
      </c>
      <c r="AM40" s="55">
        <f t="shared" si="10"/>
        <v>1.9999999999999796E-2</v>
      </c>
      <c r="AN40" s="55">
        <f t="shared" si="10"/>
        <v>2.000000000000024E-2</v>
      </c>
      <c r="AO40" s="55">
        <f t="shared" si="10"/>
        <v>1.9999999999999796E-2</v>
      </c>
      <c r="AP40" s="55">
        <f t="shared" si="10"/>
        <v>2.000000000000024E-2</v>
      </c>
      <c r="AQ40" s="55">
        <f t="shared" si="10"/>
        <v>2.0000000000000018E-2</v>
      </c>
    </row>
    <row r="41" spans="1:43" ht="11.25" customHeight="1">
      <c r="B41" s="117"/>
      <c r="C41" s="118"/>
      <c r="D41" s="118"/>
      <c r="E41" s="118"/>
      <c r="F41" s="118"/>
      <c r="G41" s="118"/>
      <c r="H41" s="118"/>
      <c r="I41" s="118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19"/>
      <c r="AL41" s="119"/>
      <c r="AM41" s="119"/>
      <c r="AN41" s="119"/>
      <c r="AO41" s="119"/>
      <c r="AP41" s="119"/>
      <c r="AQ41" s="119"/>
    </row>
    <row r="42" spans="1:43" ht="11.25" customHeight="1">
      <c r="A42" s="3" t="s">
        <v>0</v>
      </c>
      <c r="B42" s="4" t="s">
        <v>101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</row>
    <row r="43" spans="1:43" ht="11.25" customHeight="1">
      <c r="I43" s="133">
        <v>1</v>
      </c>
      <c r="J43" s="133">
        <f t="shared" ref="J43:AQ43" si="11">IF(J44="","",I43+1)</f>
        <v>2</v>
      </c>
      <c r="K43" s="133">
        <f t="shared" si="11"/>
        <v>3</v>
      </c>
      <c r="L43" s="133">
        <f t="shared" si="11"/>
        <v>4</v>
      </c>
      <c r="M43" s="133">
        <f t="shared" si="11"/>
        <v>5</v>
      </c>
      <c r="N43" s="133">
        <f t="shared" si="11"/>
        <v>6</v>
      </c>
      <c r="O43" s="133">
        <f t="shared" si="11"/>
        <v>7</v>
      </c>
      <c r="P43" s="133">
        <f t="shared" si="11"/>
        <v>8</v>
      </c>
      <c r="Q43" s="133">
        <f t="shared" si="11"/>
        <v>9</v>
      </c>
      <c r="R43" s="133">
        <f t="shared" si="11"/>
        <v>10</v>
      </c>
      <c r="S43" s="133">
        <f t="shared" si="11"/>
        <v>11</v>
      </c>
      <c r="T43" s="133">
        <f t="shared" si="11"/>
        <v>12</v>
      </c>
      <c r="U43" s="133">
        <f t="shared" si="11"/>
        <v>13</v>
      </c>
      <c r="V43" s="133">
        <f t="shared" si="11"/>
        <v>14</v>
      </c>
      <c r="W43" s="133">
        <f t="shared" si="11"/>
        <v>15</v>
      </c>
      <c r="X43" s="133">
        <f t="shared" si="11"/>
        <v>16</v>
      </c>
      <c r="Y43" s="133">
        <f t="shared" si="11"/>
        <v>17</v>
      </c>
      <c r="Z43" s="133">
        <f t="shared" si="11"/>
        <v>18</v>
      </c>
      <c r="AA43" s="133">
        <f t="shared" si="11"/>
        <v>19</v>
      </c>
      <c r="AB43" s="133">
        <f t="shared" si="11"/>
        <v>20</v>
      </c>
      <c r="AC43" s="133">
        <f t="shared" si="11"/>
        <v>21</v>
      </c>
      <c r="AD43" s="133">
        <f t="shared" si="11"/>
        <v>22</v>
      </c>
      <c r="AE43" s="133">
        <f t="shared" si="11"/>
        <v>23</v>
      </c>
      <c r="AF43" s="133">
        <f t="shared" si="11"/>
        <v>24</v>
      </c>
      <c r="AG43" s="133">
        <f t="shared" si="11"/>
        <v>25</v>
      </c>
      <c r="AH43" s="133">
        <f t="shared" si="11"/>
        <v>26</v>
      </c>
      <c r="AI43" s="133">
        <f t="shared" si="11"/>
        <v>27</v>
      </c>
      <c r="AJ43" s="133">
        <f t="shared" si="11"/>
        <v>28</v>
      </c>
      <c r="AK43" s="133">
        <f t="shared" si="11"/>
        <v>29</v>
      </c>
      <c r="AL43" s="133">
        <f t="shared" si="11"/>
        <v>30</v>
      </c>
      <c r="AM43" s="133">
        <f t="shared" si="11"/>
        <v>31</v>
      </c>
      <c r="AN43" s="133">
        <f t="shared" si="11"/>
        <v>32</v>
      </c>
      <c r="AO43" s="133">
        <f t="shared" si="11"/>
        <v>33</v>
      </c>
      <c r="AP43" s="133">
        <f t="shared" si="11"/>
        <v>34</v>
      </c>
      <c r="AQ43" s="133">
        <f t="shared" si="11"/>
        <v>35</v>
      </c>
    </row>
    <row r="44" spans="1:43" ht="11.25" customHeight="1" thickBot="1">
      <c r="B44" s="9" t="s">
        <v>46</v>
      </c>
      <c r="C44" s="8"/>
      <c r="D44" s="8"/>
      <c r="E44" s="9" t="s">
        <v>48</v>
      </c>
      <c r="F44" s="9" t="s">
        <v>72</v>
      </c>
      <c r="G44" s="8"/>
      <c r="H44" s="153"/>
      <c r="I44" s="9">
        <f>YEAR(Now)</f>
        <v>2016</v>
      </c>
      <c r="J44" s="9">
        <f t="shared" ref="J44:AQ44" si="12">IFERROR(IF(I44+1&gt;End,"",I44+1),"")</f>
        <v>2017</v>
      </c>
      <c r="K44" s="9">
        <f t="shared" si="12"/>
        <v>2018</v>
      </c>
      <c r="L44" s="9">
        <f t="shared" si="12"/>
        <v>2019</v>
      </c>
      <c r="M44" s="9">
        <f t="shared" si="12"/>
        <v>2020</v>
      </c>
      <c r="N44" s="9">
        <f t="shared" si="12"/>
        <v>2021</v>
      </c>
      <c r="O44" s="9">
        <f t="shared" si="12"/>
        <v>2022</v>
      </c>
      <c r="P44" s="9">
        <f t="shared" si="12"/>
        <v>2023</v>
      </c>
      <c r="Q44" s="9">
        <f t="shared" si="12"/>
        <v>2024</v>
      </c>
      <c r="R44" s="9">
        <f t="shared" si="12"/>
        <v>2025</v>
      </c>
      <c r="S44" s="9">
        <f t="shared" si="12"/>
        <v>2026</v>
      </c>
      <c r="T44" s="9">
        <f t="shared" si="12"/>
        <v>2027</v>
      </c>
      <c r="U44" s="9">
        <f t="shared" si="12"/>
        <v>2028</v>
      </c>
      <c r="V44" s="9">
        <f t="shared" si="12"/>
        <v>2029</v>
      </c>
      <c r="W44" s="9">
        <f t="shared" si="12"/>
        <v>2030</v>
      </c>
      <c r="X44" s="9">
        <f t="shared" si="12"/>
        <v>2031</v>
      </c>
      <c r="Y44" s="9">
        <f t="shared" si="12"/>
        <v>2032</v>
      </c>
      <c r="Z44" s="9">
        <f t="shared" si="12"/>
        <v>2033</v>
      </c>
      <c r="AA44" s="9">
        <f t="shared" si="12"/>
        <v>2034</v>
      </c>
      <c r="AB44" s="9">
        <f t="shared" si="12"/>
        <v>2035</v>
      </c>
      <c r="AC44" s="9">
        <f t="shared" si="12"/>
        <v>2036</v>
      </c>
      <c r="AD44" s="9">
        <f t="shared" si="12"/>
        <v>2037</v>
      </c>
      <c r="AE44" s="9">
        <f t="shared" si="12"/>
        <v>2038</v>
      </c>
      <c r="AF44" s="9">
        <f t="shared" si="12"/>
        <v>2039</v>
      </c>
      <c r="AG44" s="9">
        <f t="shared" si="12"/>
        <v>2040</v>
      </c>
      <c r="AH44" s="9">
        <f t="shared" si="12"/>
        <v>2041</v>
      </c>
      <c r="AI44" s="9">
        <f t="shared" si="12"/>
        <v>2042</v>
      </c>
      <c r="AJ44" s="9">
        <f t="shared" si="12"/>
        <v>2043</v>
      </c>
      <c r="AK44" s="9">
        <f t="shared" si="12"/>
        <v>2044</v>
      </c>
      <c r="AL44" s="9">
        <f t="shared" si="12"/>
        <v>2045</v>
      </c>
      <c r="AM44" s="9">
        <f t="shared" si="12"/>
        <v>2046</v>
      </c>
      <c r="AN44" s="9">
        <f t="shared" si="12"/>
        <v>2047</v>
      </c>
      <c r="AO44" s="9">
        <f t="shared" si="12"/>
        <v>2048</v>
      </c>
      <c r="AP44" s="9">
        <f t="shared" si="12"/>
        <v>2049</v>
      </c>
      <c r="AQ44" s="9">
        <f t="shared" si="12"/>
        <v>2050</v>
      </c>
    </row>
    <row r="45" spans="1:43" ht="11.25" customHeight="1">
      <c r="B45" s="3" t="str">
        <f>'Operating Assumptions'!B62</f>
        <v xml:space="preserve">Concessionaire Costs </v>
      </c>
      <c r="E45" s="3" t="str">
        <f>Currency&amp;"mm"</f>
        <v>CADmm</v>
      </c>
      <c r="F45" s="3" t="s">
        <v>57</v>
      </c>
      <c r="I45" s="79">
        <f>IF(I44&gt;End,"",'Operating Assumptions'!$K$62*(1+Inflation*'Operating Assumptions'!$H$61)^(I44-$I$44))</f>
        <v>20</v>
      </c>
      <c r="J45" s="79">
        <f>IF(J44&gt;End,"",'Operating Assumptions'!$K$62*(1+Inflation*'Operating Assumptions'!$H$61)^(J44-$I$44))</f>
        <v>20.399999999999999</v>
      </c>
      <c r="K45" s="79">
        <f>IF(K44&gt;End,"",'Operating Assumptions'!$K$62*(1+Inflation*'Operating Assumptions'!$H$61)^(K44-$I$44))</f>
        <v>20.808</v>
      </c>
      <c r="L45" s="79">
        <f>IF(L44&gt;End,"",'Operating Assumptions'!$K$62*(1+Inflation*'Operating Assumptions'!$H$61)^(L44-$I$44))</f>
        <v>21.224159999999998</v>
      </c>
      <c r="M45" s="79">
        <f>IF(M44&gt;End,"",'Operating Assumptions'!$K$62*(1+Inflation*'Operating Assumptions'!$H$61)^(M44-$I$44))</f>
        <v>21.648643199999999</v>
      </c>
      <c r="N45" s="79">
        <f>IF(N44&gt;End,"",'Operating Assumptions'!$K$62*(1+Inflation*'Operating Assumptions'!$H$61)^(N44-$I$44))</f>
        <v>22.081616064000002</v>
      </c>
      <c r="O45" s="79">
        <f>IF(O44&gt;End,"",'Operating Assumptions'!$K$62*(1+Inflation*'Operating Assumptions'!$H$61)^(O44-$I$44))</f>
        <v>22.523248385280002</v>
      </c>
      <c r="P45" s="79">
        <f>IF(P44&gt;End,"",'Operating Assumptions'!$K$62*(1+Inflation*'Operating Assumptions'!$H$61)^(P44-$I$44))</f>
        <v>22.973713352985598</v>
      </c>
      <c r="Q45" s="79">
        <f>IF(Q44&gt;End,"",'Operating Assumptions'!$K$62*(1+Inflation*'Operating Assumptions'!$H$61)^(Q44-$I$44))</f>
        <v>23.43318762004531</v>
      </c>
      <c r="R45" s="79">
        <f>IF(R44&gt;End,"",'Operating Assumptions'!$K$62*(1+Inflation*'Operating Assumptions'!$H$61)^(R44-$I$44))</f>
        <v>23.901851372446217</v>
      </c>
      <c r="S45" s="79">
        <f>IF(S44&gt;End,"",'Operating Assumptions'!$K$62*(1+Inflation*'Operating Assumptions'!$H$61)^(S44-$I$44))</f>
        <v>24.379888399895144</v>
      </c>
      <c r="T45" s="79">
        <f>IF(T44&gt;End,"",'Operating Assumptions'!$K$62*(1+Inflation*'Operating Assumptions'!$H$61)^(T44-$I$44))</f>
        <v>24.867486167893041</v>
      </c>
      <c r="U45" s="79">
        <f>IF(U44&gt;End,"",'Operating Assumptions'!$K$62*(1+Inflation*'Operating Assumptions'!$H$61)^(U44-$I$44))</f>
        <v>25.364835891250905</v>
      </c>
      <c r="V45" s="79">
        <f>IF(V44&gt;End,"",'Operating Assumptions'!$K$62*(1+Inflation*'Operating Assumptions'!$H$61)^(V44-$I$44))</f>
        <v>25.872132609075923</v>
      </c>
      <c r="W45" s="79">
        <f>IF(W44&gt;End,"",'Operating Assumptions'!$K$62*(1+Inflation*'Operating Assumptions'!$H$61)^(W44-$I$44))</f>
        <v>26.389575261257441</v>
      </c>
      <c r="X45" s="79">
        <f>IF(X44&gt;End,"",'Operating Assumptions'!$K$62*(1+Inflation*'Operating Assumptions'!$H$61)^(X44-$I$44))</f>
        <v>26.917366766482584</v>
      </c>
      <c r="Y45" s="79">
        <f>IF(Y44&gt;End,"",'Operating Assumptions'!$K$62*(1+Inflation*'Operating Assumptions'!$H$61)^(Y44-$I$44))</f>
        <v>27.455714101812241</v>
      </c>
      <c r="Z45" s="79">
        <f>IF(Z44&gt;End,"",'Operating Assumptions'!$K$62*(1+Inflation*'Operating Assumptions'!$H$61)^(Z44-$I$44))</f>
        <v>28.004828383848487</v>
      </c>
      <c r="AA45" s="79">
        <f>IF(AA44&gt;End,"",'Operating Assumptions'!$K$62*(1+Inflation*'Operating Assumptions'!$H$61)^(AA44-$I$44))</f>
        <v>28.564924951525455</v>
      </c>
      <c r="AB45" s="79">
        <f>IF(AB44&gt;End,"",'Operating Assumptions'!$K$62*(1+Inflation*'Operating Assumptions'!$H$61)^(AB44-$I$44))</f>
        <v>29.136223450555963</v>
      </c>
      <c r="AC45" s="79">
        <f>IF(AC44&gt;End,"",'Operating Assumptions'!$K$62*(1+Inflation*'Operating Assumptions'!$H$61)^(AC44-$I$44))</f>
        <v>29.718947919567086</v>
      </c>
      <c r="AD45" s="79">
        <f>IF(AD44&gt;End,"",'Operating Assumptions'!$K$62*(1+Inflation*'Operating Assumptions'!$H$61)^(AD44-$I$44))</f>
        <v>30.313326877958424</v>
      </c>
      <c r="AE45" s="79">
        <f>IF(AE44&gt;End,"",'Operating Assumptions'!$K$62*(1+Inflation*'Operating Assumptions'!$H$61)^(AE44-$I$44))</f>
        <v>30.919593415517596</v>
      </c>
      <c r="AF45" s="79">
        <f>IF(AF44&gt;End,"",'Operating Assumptions'!$K$62*(1+Inflation*'Operating Assumptions'!$H$61)^(AF44-$I$44))</f>
        <v>31.53798528382794</v>
      </c>
      <c r="AG45" s="79">
        <f>IF(AG44&gt;End,"",'Operating Assumptions'!$K$62*(1+Inflation*'Operating Assumptions'!$H$61)^(AG44-$I$44))</f>
        <v>32.168744989504503</v>
      </c>
      <c r="AH45" s="79">
        <f>IF(AH44&gt;End,"",'Operating Assumptions'!$K$62*(1+Inflation*'Operating Assumptions'!$H$61)^(AH44-$I$44))</f>
        <v>32.812119889294593</v>
      </c>
      <c r="AI45" s="79">
        <f>IF(AI44&gt;End,"",'Operating Assumptions'!$K$62*(1+Inflation*'Operating Assumptions'!$H$61)^(AI44-$I$44))</f>
        <v>33.468362287080488</v>
      </c>
      <c r="AJ45" s="79">
        <f>IF(AJ44&gt;End,"",'Operating Assumptions'!$K$62*(1+Inflation*'Operating Assumptions'!$H$61)^(AJ44-$I$44))</f>
        <v>34.137729532822092</v>
      </c>
      <c r="AK45" s="79">
        <f>IF(AK44&gt;End,"",'Operating Assumptions'!$K$62*(1+Inflation*'Operating Assumptions'!$H$61)^(AK44-$I$44))</f>
        <v>34.820484123478536</v>
      </c>
      <c r="AL45" s="79">
        <f>IF(AL44&gt;End,"",'Operating Assumptions'!$K$62*(1+Inflation*'Operating Assumptions'!$H$61)^(AL44-$I$44))</f>
        <v>35.516893805948101</v>
      </c>
      <c r="AM45" s="79">
        <f>IF(AM44&gt;End,"",'Operating Assumptions'!$K$62*(1+Inflation*'Operating Assumptions'!$H$61)^(AM44-$I$44))</f>
        <v>36.227231682067071</v>
      </c>
      <c r="AN45" s="79">
        <f>IF(AN44&gt;End,"",'Operating Assumptions'!$K$62*(1+Inflation*'Operating Assumptions'!$H$61)^(AN44-$I$44))</f>
        <v>36.9517763157084</v>
      </c>
      <c r="AO45" s="79">
        <f>IF(AO44&gt;End,"",'Operating Assumptions'!$K$62*(1+Inflation*'Operating Assumptions'!$H$61)^(AO44-$I$44))</f>
        <v>37.690811842022576</v>
      </c>
      <c r="AP45" s="79">
        <f>IF(AP44&gt;End,"",'Operating Assumptions'!$K$62*(1+Inflation*'Operating Assumptions'!$H$61)^(AP44-$I$44))</f>
        <v>38.444628078863033</v>
      </c>
      <c r="AQ45" s="79">
        <f>IF(AQ44&gt;End,"",'Operating Assumptions'!$K$62*(1+Inflation*'Operating Assumptions'!$H$61)^(AQ44-$I$44))</f>
        <v>39.213520640440287</v>
      </c>
    </row>
    <row r="46" spans="1:43" ht="11.25" customHeight="1">
      <c r="B46" s="13" t="str">
        <f>'Operating Assumptions'!B63</f>
        <v>Operation costs</v>
      </c>
      <c r="C46" s="13"/>
      <c r="D46" s="13"/>
      <c r="E46" s="13" t="str">
        <f>Currency&amp;"mm"</f>
        <v>CADmm</v>
      </c>
      <c r="F46" s="13" t="s">
        <v>57</v>
      </c>
      <c r="G46" s="13"/>
      <c r="H46" s="13"/>
      <c r="I46" s="81">
        <f>IF(I44&lt;COD,0,IF(I44&gt;End,"",'Operating Assumptions'!$K$63*(1+Inflation*'Operating Assumptions'!$H$61)^(Model!I44-COD)))</f>
        <v>0</v>
      </c>
      <c r="J46" s="81">
        <f>IF(J44&lt;COD,0,IF(J44&gt;End,"",'Operating Assumptions'!$K$63*(1+Inflation*'Operating Assumptions'!$H$61)^(Model!J44-COD)))</f>
        <v>0</v>
      </c>
      <c r="K46" s="81">
        <f>IF(K44&lt;COD,0,IF(K44&gt;End,"",'Operating Assumptions'!$K$63*(1+Inflation*'Operating Assumptions'!$H$61)^(Model!K44-COD)))</f>
        <v>0</v>
      </c>
      <c r="L46" s="81">
        <f>IF(L44&lt;COD,0,IF(L44&gt;End,"",'Operating Assumptions'!$K$63*(1+Inflation*'Operating Assumptions'!$H$61)^(Model!L44-COD)))</f>
        <v>0</v>
      </c>
      <c r="M46" s="81">
        <f>IF(M44&lt;COD,0,IF(M44&gt;End,"",'Operating Assumptions'!$K$63*(1+Inflation*'Operating Assumptions'!$H$61)^(Model!M44-COD)))</f>
        <v>70</v>
      </c>
      <c r="N46" s="81">
        <f>IF(N44&lt;COD,0,IF(N44&gt;End,"",'Operating Assumptions'!$K$63*(1+Inflation*'Operating Assumptions'!$H$61)^(Model!N44-COD)))</f>
        <v>71.400000000000006</v>
      </c>
      <c r="O46" s="81">
        <f>IF(O44&lt;COD,0,IF(O44&gt;End,"",'Operating Assumptions'!$K$63*(1+Inflation*'Operating Assumptions'!$H$61)^(Model!O44-COD)))</f>
        <v>72.828000000000003</v>
      </c>
      <c r="P46" s="81">
        <f>IF(P44&lt;COD,0,IF(P44&gt;End,"",'Operating Assumptions'!$K$63*(1+Inflation*'Operating Assumptions'!$H$61)^(Model!P44-COD)))</f>
        <v>74.284559999999999</v>
      </c>
      <c r="Q46" s="81">
        <f>IF(Q44&lt;COD,0,IF(Q44&gt;End,"",'Operating Assumptions'!$K$63*(1+Inflation*'Operating Assumptions'!$H$61)^(Model!Q44-COD)))</f>
        <v>75.770251200000004</v>
      </c>
      <c r="R46" s="81">
        <f>IF(R44&lt;COD,0,IF(R44&gt;End,"",'Operating Assumptions'!$K$63*(1+Inflation*'Operating Assumptions'!$H$61)^(Model!R44-COD)))</f>
        <v>77.285656224000007</v>
      </c>
      <c r="S46" s="81">
        <f>IF(S44&lt;COD,0,IF(S44&gt;End,"",'Operating Assumptions'!$K$63*(1+Inflation*'Operating Assumptions'!$H$61)^(Model!S44-COD)))</f>
        <v>78.83136934848001</v>
      </c>
      <c r="T46" s="81">
        <f>IF(T44&lt;COD,0,IF(T44&gt;End,"",'Operating Assumptions'!$K$63*(1+Inflation*'Operating Assumptions'!$H$61)^(Model!T44-COD)))</f>
        <v>80.407996735449586</v>
      </c>
      <c r="U46" s="81">
        <f>IF(U44&lt;COD,0,IF(U44&gt;End,"",'Operating Assumptions'!$K$63*(1+Inflation*'Operating Assumptions'!$H$61)^(Model!U44-COD)))</f>
        <v>82.01615667015858</v>
      </c>
      <c r="V46" s="81">
        <f>IF(V44&lt;COD,0,IF(V44&gt;End,"",'Operating Assumptions'!$K$63*(1+Inflation*'Operating Assumptions'!$H$61)^(Model!V44-COD)))</f>
        <v>83.656479803561751</v>
      </c>
      <c r="W46" s="81">
        <f>IF(W44&lt;COD,0,IF(W44&gt;End,"",'Operating Assumptions'!$K$63*(1+Inflation*'Operating Assumptions'!$H$61)^(Model!W44-COD)))</f>
        <v>85.329609399633</v>
      </c>
      <c r="X46" s="81">
        <f>IF(X44&lt;COD,0,IF(X44&gt;End,"",'Operating Assumptions'!$K$63*(1+Inflation*'Operating Assumptions'!$H$61)^(Model!X44-COD)))</f>
        <v>87.036201587625641</v>
      </c>
      <c r="Y46" s="81">
        <f>IF(Y44&lt;COD,0,IF(Y44&gt;End,"",'Operating Assumptions'!$K$63*(1+Inflation*'Operating Assumptions'!$H$61)^(Model!Y44-COD)))</f>
        <v>88.776925619378176</v>
      </c>
      <c r="Z46" s="81">
        <f>IF(Z44&lt;COD,0,IF(Z44&gt;End,"",'Operating Assumptions'!$K$63*(1+Inflation*'Operating Assumptions'!$H$61)^(Model!Z44-COD)))</f>
        <v>90.552464131765731</v>
      </c>
      <c r="AA46" s="81">
        <f>IF(AA44&lt;COD,0,IF(AA44&gt;End,"",'Operating Assumptions'!$K$63*(1+Inflation*'Operating Assumptions'!$H$61)^(Model!AA44-COD)))</f>
        <v>92.363513414401055</v>
      </c>
      <c r="AB46" s="81">
        <f>IF(AB44&lt;COD,0,IF(AB44&gt;End,"",'Operating Assumptions'!$K$63*(1+Inflation*'Operating Assumptions'!$H$61)^(Model!AB44-COD)))</f>
        <v>94.210783682689041</v>
      </c>
      <c r="AC46" s="81">
        <f>IF(AC44&lt;COD,0,IF(AC44&gt;End,"",'Operating Assumptions'!$K$63*(1+Inflation*'Operating Assumptions'!$H$61)^(Model!AC44-COD)))</f>
        <v>96.094999356342839</v>
      </c>
      <c r="AD46" s="81">
        <f>IF(AD44&lt;COD,0,IF(AD44&gt;End,"",'Operating Assumptions'!$K$63*(1+Inflation*'Operating Assumptions'!$H$61)^(Model!AD44-COD)))</f>
        <v>98.016899343469703</v>
      </c>
      <c r="AE46" s="81">
        <f>IF(AE44&lt;COD,0,IF(AE44&gt;End,"",'Operating Assumptions'!$K$63*(1+Inflation*'Operating Assumptions'!$H$61)^(Model!AE44-COD)))</f>
        <v>99.977237330339094</v>
      </c>
      <c r="AF46" s="81">
        <f>IF(AF44&lt;COD,0,IF(AF44&gt;End,"",'Operating Assumptions'!$K$63*(1+Inflation*'Operating Assumptions'!$H$61)^(Model!AF44-COD)))</f>
        <v>101.97678207694587</v>
      </c>
      <c r="AG46" s="81">
        <f>IF(AG44&lt;COD,0,IF(AG44&gt;End,"",'Operating Assumptions'!$K$63*(1+Inflation*'Operating Assumptions'!$H$61)^(Model!AG44-COD)))</f>
        <v>104.0163177184848</v>
      </c>
      <c r="AH46" s="81">
        <f>IF(AH44&lt;COD,0,IF(AH44&gt;End,"",'Operating Assumptions'!$K$63*(1+Inflation*'Operating Assumptions'!$H$61)^(Model!AH44-COD)))</f>
        <v>106.09664407285449</v>
      </c>
      <c r="AI46" s="81">
        <f>IF(AI44&lt;COD,0,IF(AI44&gt;End,"",'Operating Assumptions'!$K$63*(1+Inflation*'Operating Assumptions'!$H$61)^(Model!AI44-COD)))</f>
        <v>108.21857695431159</v>
      </c>
      <c r="AJ46" s="81">
        <f>IF(AJ44&lt;COD,0,IF(AJ44&gt;End,"",'Operating Assumptions'!$K$63*(1+Inflation*'Operating Assumptions'!$H$61)^(Model!AJ44-COD)))</f>
        <v>110.38294849339779</v>
      </c>
      <c r="AK46" s="81">
        <f>IF(AK44&lt;COD,0,IF(AK44&gt;End,"",'Operating Assumptions'!$K$63*(1+Inflation*'Operating Assumptions'!$H$61)^(Model!AK44-COD)))</f>
        <v>112.59060746326575</v>
      </c>
      <c r="AL46" s="81">
        <f>IF(AL44&lt;COD,0,IF(AL44&gt;End,"",'Operating Assumptions'!$K$63*(1+Inflation*'Operating Assumptions'!$H$61)^(Model!AL44-COD)))</f>
        <v>114.84241961253107</v>
      </c>
      <c r="AM46" s="81">
        <f>IF(AM44&lt;COD,0,IF(AM44&gt;End,"",'Operating Assumptions'!$K$63*(1+Inflation*'Operating Assumptions'!$H$61)^(Model!AM44-COD)))</f>
        <v>117.1392680047817</v>
      </c>
      <c r="AN46" s="81">
        <f>IF(AN44&lt;COD,0,IF(AN44&gt;End,"",'Operating Assumptions'!$K$63*(1+Inflation*'Operating Assumptions'!$H$61)^(Model!AN44-COD)))</f>
        <v>119.48205336487732</v>
      </c>
      <c r="AO46" s="81">
        <f>IF(AO44&lt;COD,0,IF(AO44&gt;End,"",'Operating Assumptions'!$K$63*(1+Inflation*'Operating Assumptions'!$H$61)^(Model!AO44-COD)))</f>
        <v>121.87169443217489</v>
      </c>
      <c r="AP46" s="81">
        <f>IF(AP44&lt;COD,0,IF(AP44&gt;End,"",'Operating Assumptions'!$K$63*(1+Inflation*'Operating Assumptions'!$H$61)^(Model!AP44-COD)))</f>
        <v>124.30912832081836</v>
      </c>
      <c r="AQ46" s="81">
        <f>IF(AQ44&lt;COD,0,IF(AQ44&gt;End,"",'Operating Assumptions'!$K$63*(1+Inflation*'Operating Assumptions'!$H$61)^(Model!AQ44-COD)))</f>
        <v>126.79531088723475</v>
      </c>
    </row>
    <row r="47" spans="1:43" ht="11.25" customHeight="1">
      <c r="B47" s="15" t="s">
        <v>107</v>
      </c>
      <c r="C47" s="15"/>
      <c r="D47" s="15"/>
      <c r="E47" s="15" t="str">
        <f>Currency&amp;"mm"</f>
        <v>CADmm</v>
      </c>
      <c r="F47" s="15" t="s">
        <v>57</v>
      </c>
      <c r="G47" s="15"/>
      <c r="H47" s="15"/>
      <c r="I47" s="85">
        <f>SUM(I45:I46)</f>
        <v>20</v>
      </c>
      <c r="J47" s="85">
        <f t="shared" ref="J47:AQ47" si="13">SUM(J45:J46)</f>
        <v>20.399999999999999</v>
      </c>
      <c r="K47" s="85">
        <f t="shared" si="13"/>
        <v>20.808</v>
      </c>
      <c r="L47" s="85">
        <f t="shared" si="13"/>
        <v>21.224159999999998</v>
      </c>
      <c r="M47" s="85">
        <f t="shared" si="13"/>
        <v>91.648643199999995</v>
      </c>
      <c r="N47" s="85">
        <f t="shared" si="13"/>
        <v>93.481616064000008</v>
      </c>
      <c r="O47" s="85">
        <f t="shared" si="13"/>
        <v>95.351248385280002</v>
      </c>
      <c r="P47" s="85">
        <f t="shared" si="13"/>
        <v>97.258273352985597</v>
      </c>
      <c r="Q47" s="85">
        <f t="shared" si="13"/>
        <v>99.203438820045307</v>
      </c>
      <c r="R47" s="85">
        <f t="shared" si="13"/>
        <v>101.18750759644622</v>
      </c>
      <c r="S47" s="85">
        <f t="shared" si="13"/>
        <v>103.21125774837515</v>
      </c>
      <c r="T47" s="85">
        <f t="shared" si="13"/>
        <v>105.27548290334263</v>
      </c>
      <c r="U47" s="85">
        <f t="shared" si="13"/>
        <v>107.38099256140949</v>
      </c>
      <c r="V47" s="85">
        <f t="shared" si="13"/>
        <v>109.52861241263767</v>
      </c>
      <c r="W47" s="85">
        <f t="shared" si="13"/>
        <v>111.71918466089045</v>
      </c>
      <c r="X47" s="85">
        <f t="shared" si="13"/>
        <v>113.95356835410823</v>
      </c>
      <c r="Y47" s="85">
        <f t="shared" si="13"/>
        <v>116.23263972119042</v>
      </c>
      <c r="Z47" s="85">
        <f t="shared" si="13"/>
        <v>118.55729251561422</v>
      </c>
      <c r="AA47" s="85">
        <f t="shared" si="13"/>
        <v>120.92843836592651</v>
      </c>
      <c r="AB47" s="85">
        <f t="shared" si="13"/>
        <v>123.347007133245</v>
      </c>
      <c r="AC47" s="85">
        <f t="shared" si="13"/>
        <v>125.81394727590992</v>
      </c>
      <c r="AD47" s="85">
        <f t="shared" si="13"/>
        <v>128.33022622142812</v>
      </c>
      <c r="AE47" s="85">
        <f t="shared" si="13"/>
        <v>130.89683074585668</v>
      </c>
      <c r="AF47" s="85">
        <f t="shared" si="13"/>
        <v>133.51476736077382</v>
      </c>
      <c r="AG47" s="85">
        <f t="shared" si="13"/>
        <v>136.18506270798929</v>
      </c>
      <c r="AH47" s="85">
        <f t="shared" si="13"/>
        <v>138.90876396214907</v>
      </c>
      <c r="AI47" s="85">
        <f t="shared" si="13"/>
        <v>141.68693924139208</v>
      </c>
      <c r="AJ47" s="85">
        <f t="shared" si="13"/>
        <v>144.52067802621988</v>
      </c>
      <c r="AK47" s="85">
        <f t="shared" si="13"/>
        <v>147.41109158674431</v>
      </c>
      <c r="AL47" s="85">
        <f t="shared" si="13"/>
        <v>150.35931341847919</v>
      </c>
      <c r="AM47" s="85">
        <f t="shared" si="13"/>
        <v>153.36649968684878</v>
      </c>
      <c r="AN47" s="85">
        <f t="shared" si="13"/>
        <v>156.43382968058572</v>
      </c>
      <c r="AO47" s="85">
        <f t="shared" si="13"/>
        <v>159.56250627419746</v>
      </c>
      <c r="AP47" s="85">
        <f t="shared" si="13"/>
        <v>162.75375639968138</v>
      </c>
      <c r="AQ47" s="85">
        <f t="shared" si="13"/>
        <v>166.00883152767503</v>
      </c>
    </row>
    <row r="49" spans="1:54" ht="11.25" customHeight="1" thickBot="1">
      <c r="B49" s="9" t="s">
        <v>63</v>
      </c>
      <c r="C49" s="8"/>
      <c r="D49" s="8"/>
      <c r="E49" s="9" t="s">
        <v>48</v>
      </c>
      <c r="F49" s="9" t="s">
        <v>72</v>
      </c>
      <c r="G49" s="8"/>
      <c r="H49" s="8"/>
      <c r="I49" s="9">
        <f>YEAR(Now)</f>
        <v>2016</v>
      </c>
      <c r="J49" s="9">
        <f t="shared" ref="J49:AQ49" si="14">IFERROR(IF(I49+1&gt;End,"",I49+1),"")</f>
        <v>2017</v>
      </c>
      <c r="K49" s="9">
        <f t="shared" si="14"/>
        <v>2018</v>
      </c>
      <c r="L49" s="9">
        <f t="shared" si="14"/>
        <v>2019</v>
      </c>
      <c r="M49" s="9">
        <f t="shared" si="14"/>
        <v>2020</v>
      </c>
      <c r="N49" s="9">
        <f t="shared" si="14"/>
        <v>2021</v>
      </c>
      <c r="O49" s="9">
        <f t="shared" si="14"/>
        <v>2022</v>
      </c>
      <c r="P49" s="9">
        <f t="shared" si="14"/>
        <v>2023</v>
      </c>
      <c r="Q49" s="9">
        <f t="shared" si="14"/>
        <v>2024</v>
      </c>
      <c r="R49" s="9">
        <f t="shared" si="14"/>
        <v>2025</v>
      </c>
      <c r="S49" s="9">
        <f t="shared" si="14"/>
        <v>2026</v>
      </c>
      <c r="T49" s="9">
        <f t="shared" si="14"/>
        <v>2027</v>
      </c>
      <c r="U49" s="9">
        <f t="shared" si="14"/>
        <v>2028</v>
      </c>
      <c r="V49" s="9">
        <f t="shared" si="14"/>
        <v>2029</v>
      </c>
      <c r="W49" s="9">
        <f t="shared" si="14"/>
        <v>2030</v>
      </c>
      <c r="X49" s="9">
        <f t="shared" si="14"/>
        <v>2031</v>
      </c>
      <c r="Y49" s="9">
        <f t="shared" si="14"/>
        <v>2032</v>
      </c>
      <c r="Z49" s="9">
        <f t="shared" si="14"/>
        <v>2033</v>
      </c>
      <c r="AA49" s="9">
        <f t="shared" si="14"/>
        <v>2034</v>
      </c>
      <c r="AB49" s="9">
        <f t="shared" si="14"/>
        <v>2035</v>
      </c>
      <c r="AC49" s="9">
        <f t="shared" si="14"/>
        <v>2036</v>
      </c>
      <c r="AD49" s="9">
        <f t="shared" si="14"/>
        <v>2037</v>
      </c>
      <c r="AE49" s="9">
        <f t="shared" si="14"/>
        <v>2038</v>
      </c>
      <c r="AF49" s="9">
        <f t="shared" si="14"/>
        <v>2039</v>
      </c>
      <c r="AG49" s="9">
        <f t="shared" si="14"/>
        <v>2040</v>
      </c>
      <c r="AH49" s="9">
        <f t="shared" si="14"/>
        <v>2041</v>
      </c>
      <c r="AI49" s="9">
        <f t="shared" si="14"/>
        <v>2042</v>
      </c>
      <c r="AJ49" s="9">
        <f t="shared" si="14"/>
        <v>2043</v>
      </c>
      <c r="AK49" s="9">
        <f t="shared" si="14"/>
        <v>2044</v>
      </c>
      <c r="AL49" s="9">
        <f t="shared" si="14"/>
        <v>2045</v>
      </c>
      <c r="AM49" s="9">
        <f t="shared" si="14"/>
        <v>2046</v>
      </c>
      <c r="AN49" s="9">
        <f t="shared" si="14"/>
        <v>2047</v>
      </c>
      <c r="AO49" s="9">
        <f t="shared" si="14"/>
        <v>2048</v>
      </c>
      <c r="AP49" s="9">
        <f t="shared" si="14"/>
        <v>2049</v>
      </c>
      <c r="AQ49" s="9">
        <f t="shared" si="14"/>
        <v>2050</v>
      </c>
    </row>
    <row r="50" spans="1:54" ht="11.25" customHeight="1">
      <c r="B50" s="3" t="s">
        <v>104</v>
      </c>
      <c r="E50" s="3" t="str">
        <f>Currency&amp;"mm"</f>
        <v>CADmm</v>
      </c>
      <c r="F50" s="3" t="s">
        <v>73</v>
      </c>
      <c r="I50" s="70">
        <f>IF(I49&lt;COD,0,IF(I49&gt;End,"",IF(Traffic!I22&lt;'Operating Assumptions'!$J$68,'Operating Assumptions'!$I$70,IF(Traffic!I22&lt;'Operating Assumptions'!$K$68,'Operating Assumptions'!$J$70,'Operating Assumptions'!$K$70))))</f>
        <v>0</v>
      </c>
      <c r="J50" s="70">
        <f>IF(J49&lt;COD,0,IF(J49&gt;End,"",IF(Traffic!J22&lt;'Operating Assumptions'!$J$68,'Operating Assumptions'!$I$70,IF(Traffic!J22&lt;'Operating Assumptions'!$K$68,'Operating Assumptions'!$J$70,'Operating Assumptions'!$K$70))))</f>
        <v>0</v>
      </c>
      <c r="K50" s="70">
        <f>IF(K49&lt;COD,0,IF(K49&gt;End,"",IF(Traffic!K22&lt;'Operating Assumptions'!$J$68,'Operating Assumptions'!$I$70,IF(Traffic!K22&lt;'Operating Assumptions'!$K$68,'Operating Assumptions'!$J$70,'Operating Assumptions'!$K$70))))</f>
        <v>0</v>
      </c>
      <c r="L50" s="70">
        <f>IF(L49&lt;COD,0,IF(L49&gt;End,"",IF(Traffic!L22&lt;'Operating Assumptions'!$J$68,'Operating Assumptions'!$I$70,IF(Traffic!L22&lt;'Operating Assumptions'!$K$68,'Operating Assumptions'!$J$70,'Operating Assumptions'!$K$70))))</f>
        <v>0</v>
      </c>
      <c r="M50" s="70">
        <f>IF(M49&lt;COD,0,IF(M49&gt;End,"",IF(Traffic!M22&lt;'Operating Assumptions'!$J$68,'Operating Assumptions'!$I$70,IF(Traffic!M22&lt;'Operating Assumptions'!$K$68,'Operating Assumptions'!$J$70,'Operating Assumptions'!$K$70))))</f>
        <v>0</v>
      </c>
      <c r="N50" s="70">
        <f>IF(N49&lt;COD,0,IF(N49&gt;End,"",IF(Traffic!N22&lt;'Operating Assumptions'!$J$68,'Operating Assumptions'!$I$70,IF(Traffic!N22&lt;'Operating Assumptions'!$K$68,'Operating Assumptions'!$J$70,'Operating Assumptions'!$K$70))))</f>
        <v>0</v>
      </c>
      <c r="O50" s="70">
        <f>IF(O49&lt;COD,0,IF(O49&gt;End,"",IF(Traffic!O22&lt;'Operating Assumptions'!$J$68,'Operating Assumptions'!$I$70,IF(Traffic!O22&lt;'Operating Assumptions'!$K$68,'Operating Assumptions'!$J$70,'Operating Assumptions'!$K$70))))</f>
        <v>0</v>
      </c>
      <c r="P50" s="70">
        <f>IF(P49&lt;COD,0,IF(P49&gt;End,"",IF(Traffic!P22&lt;'Operating Assumptions'!$J$68,'Operating Assumptions'!$I$70,IF(Traffic!P22&lt;'Operating Assumptions'!$K$68,'Operating Assumptions'!$J$70,'Operating Assumptions'!$K$70))))</f>
        <v>0</v>
      </c>
      <c r="Q50" s="70">
        <f>IF(Q49&lt;COD,0,IF(Q49&gt;End,"",IF(Traffic!Q22&lt;'Operating Assumptions'!$J$68,'Operating Assumptions'!$I$70,IF(Traffic!Q22&lt;'Operating Assumptions'!$K$68,'Operating Assumptions'!$J$70,'Operating Assumptions'!$K$70))))</f>
        <v>0</v>
      </c>
      <c r="R50" s="70">
        <f>IF(R49&lt;COD,0,IF(R49&gt;End,"",IF(Traffic!R22&lt;'Operating Assumptions'!$J$68,'Operating Assumptions'!$I$70,IF(Traffic!R22&lt;'Operating Assumptions'!$K$68,'Operating Assumptions'!$J$70,'Operating Assumptions'!$K$70))))</f>
        <v>0</v>
      </c>
      <c r="S50" s="70">
        <f>IF(S49&lt;COD,0,IF(S49&gt;End,"",IF(Traffic!S22&lt;'Operating Assumptions'!$J$68,'Operating Assumptions'!$I$70,IF(Traffic!S22&lt;'Operating Assumptions'!$K$68,'Operating Assumptions'!$J$70,'Operating Assumptions'!$K$70))))</f>
        <v>0</v>
      </c>
      <c r="T50" s="70">
        <f>IF(T49&lt;COD,0,IF(T49&gt;End,"",IF(Traffic!T22&lt;'Operating Assumptions'!$J$68,'Operating Assumptions'!$I$70,IF(Traffic!T22&lt;'Operating Assumptions'!$K$68,'Operating Assumptions'!$J$70,'Operating Assumptions'!$K$70))))</f>
        <v>0</v>
      </c>
      <c r="U50" s="70">
        <f>IF(U49&lt;COD,0,IF(U49&gt;End,"",IF(Traffic!U22&lt;'Operating Assumptions'!$J$68,'Operating Assumptions'!$I$70,IF(Traffic!U22&lt;'Operating Assumptions'!$K$68,'Operating Assumptions'!$J$70,'Operating Assumptions'!$K$70))))</f>
        <v>0</v>
      </c>
      <c r="V50" s="70">
        <f>IF(V49&lt;COD,0,IF(V49&gt;End,"",IF(Traffic!V22&lt;'Operating Assumptions'!$J$68,'Operating Assumptions'!$I$70,IF(Traffic!V22&lt;'Operating Assumptions'!$K$68,'Operating Assumptions'!$J$70,'Operating Assumptions'!$K$70))))</f>
        <v>0</v>
      </c>
      <c r="W50" s="70">
        <f>IF(W49&lt;COD,0,IF(W49&gt;End,"",IF(Traffic!W22&lt;'Operating Assumptions'!$J$68,'Operating Assumptions'!$I$70,IF(Traffic!W22&lt;'Operating Assumptions'!$K$68,'Operating Assumptions'!$J$70,'Operating Assumptions'!$K$70))))</f>
        <v>0</v>
      </c>
      <c r="X50" s="70">
        <f>IF(X49&lt;COD,0,IF(X49&gt;End,"",IF(Traffic!X22&lt;'Operating Assumptions'!$J$68,'Operating Assumptions'!$I$70,IF(Traffic!X22&lt;'Operating Assumptions'!$K$68,'Operating Assumptions'!$J$70,'Operating Assumptions'!$K$70))))</f>
        <v>0</v>
      </c>
      <c r="Y50" s="70">
        <f>IF(Y49&lt;COD,0,IF(Y49&gt;End,"",IF(Traffic!Y22&lt;'Operating Assumptions'!$J$68,'Operating Assumptions'!$I$70,IF(Traffic!Y22&lt;'Operating Assumptions'!$K$68,'Operating Assumptions'!$J$70,'Operating Assumptions'!$K$70))))</f>
        <v>0</v>
      </c>
      <c r="Z50" s="70">
        <f>IF(Z49&lt;COD,0,IF(Z49&gt;End,"",IF(Traffic!Z22&lt;'Operating Assumptions'!$J$68,'Operating Assumptions'!$I$70,IF(Traffic!Z22&lt;'Operating Assumptions'!$K$68,'Operating Assumptions'!$J$70,'Operating Assumptions'!$K$70))))</f>
        <v>0</v>
      </c>
      <c r="AA50" s="70">
        <f>IF(AA49&lt;COD,0,IF(AA49&gt;End,"",IF(Traffic!AA22&lt;'Operating Assumptions'!$J$68,'Operating Assumptions'!$I$70,IF(Traffic!AA22&lt;'Operating Assumptions'!$K$68,'Operating Assumptions'!$J$70,'Operating Assumptions'!$K$70))))</f>
        <v>0</v>
      </c>
      <c r="AB50" s="70">
        <f>IF(AB49&lt;COD,0,IF(AB49&gt;End,"",IF(Traffic!AB22&lt;'Operating Assumptions'!$J$68,'Operating Assumptions'!$I$70,IF(Traffic!AB22&lt;'Operating Assumptions'!$K$68,'Operating Assumptions'!$J$70,'Operating Assumptions'!$K$70))))</f>
        <v>0</v>
      </c>
      <c r="AC50" s="70">
        <f>IF(AC49&lt;COD,0,IF(AC49&gt;End,"",IF(Traffic!AC22&lt;'Operating Assumptions'!$J$68,'Operating Assumptions'!$I$70,IF(Traffic!AC22&lt;'Operating Assumptions'!$K$68,'Operating Assumptions'!$J$70,'Operating Assumptions'!$K$70))))</f>
        <v>0</v>
      </c>
      <c r="AD50" s="70">
        <f>IF(AD49&lt;COD,0,IF(AD49&gt;End,"",IF(Traffic!AD22&lt;'Operating Assumptions'!$J$68,'Operating Assumptions'!$I$70,IF(Traffic!AD22&lt;'Operating Assumptions'!$K$68,'Operating Assumptions'!$J$70,'Operating Assumptions'!$K$70))))</f>
        <v>0</v>
      </c>
      <c r="AE50" s="70">
        <f>IF(AE49&lt;COD,0,IF(AE49&gt;End,"",IF(Traffic!AE22&lt;'Operating Assumptions'!$J$68,'Operating Assumptions'!$I$70,IF(Traffic!AE22&lt;'Operating Assumptions'!$K$68,'Operating Assumptions'!$J$70,'Operating Assumptions'!$K$70))))</f>
        <v>0</v>
      </c>
      <c r="AF50" s="70">
        <f>IF(AF49&lt;COD,0,IF(AF49&gt;End,"",IF(Traffic!AF22&lt;'Operating Assumptions'!$J$68,'Operating Assumptions'!$I$70,IF(Traffic!AF22&lt;'Operating Assumptions'!$K$68,'Operating Assumptions'!$J$70,'Operating Assumptions'!$K$70))))</f>
        <v>0</v>
      </c>
      <c r="AG50" s="70">
        <f>IF(AG49&lt;COD,0,IF(AG49&gt;End,"",IF(Traffic!AG22&lt;'Operating Assumptions'!$J$68,'Operating Assumptions'!$I$70,IF(Traffic!AG22&lt;'Operating Assumptions'!$K$68,'Operating Assumptions'!$J$70,'Operating Assumptions'!$K$70))))</f>
        <v>0</v>
      </c>
      <c r="AH50" s="70">
        <f>IF(AH49&lt;COD,0,IF(AH49&gt;End,"",IF(Traffic!AH22&lt;'Operating Assumptions'!$J$68,'Operating Assumptions'!$I$70,IF(Traffic!AH22&lt;'Operating Assumptions'!$K$68,'Operating Assumptions'!$J$70,'Operating Assumptions'!$K$70))))</f>
        <v>0</v>
      </c>
      <c r="AI50" s="70">
        <f>IF(AI49&lt;COD,0,IF(AI49&gt;End,"",IF(Traffic!AI22&lt;'Operating Assumptions'!$J$68,'Operating Assumptions'!$I$70,IF(Traffic!AI22&lt;'Operating Assumptions'!$K$68,'Operating Assumptions'!$J$70,'Operating Assumptions'!$K$70))))</f>
        <v>0</v>
      </c>
      <c r="AJ50" s="70">
        <f>IF(AJ49&lt;COD,0,IF(AJ49&gt;End,"",IF(Traffic!AJ22&lt;'Operating Assumptions'!$J$68,'Operating Assumptions'!$I$70,IF(Traffic!AJ22&lt;'Operating Assumptions'!$K$68,'Operating Assumptions'!$J$70,'Operating Assumptions'!$K$70))))</f>
        <v>0</v>
      </c>
      <c r="AK50" s="70">
        <f>IF(AK49&lt;COD,0,IF(AK49&gt;End,"",IF(Traffic!AK22&lt;'Operating Assumptions'!$J$68,'Operating Assumptions'!$I$70,IF(Traffic!AK22&lt;'Operating Assumptions'!$K$68,'Operating Assumptions'!$J$70,'Operating Assumptions'!$K$70))))</f>
        <v>0</v>
      </c>
      <c r="AL50" s="70">
        <f>IF(AL49&lt;COD,0,IF(AL49&gt;End,"",IF(Traffic!AL22&lt;'Operating Assumptions'!$J$68,'Operating Assumptions'!$I$70,IF(Traffic!AL22&lt;'Operating Assumptions'!$K$68,'Operating Assumptions'!$J$70,'Operating Assumptions'!$K$70))))</f>
        <v>0</v>
      </c>
      <c r="AM50" s="70">
        <f>IF(AM49&lt;COD,0,IF(AM49&gt;End,"",IF(Traffic!AM22&lt;'Operating Assumptions'!$J$68,'Operating Assumptions'!$I$70,IF(Traffic!AM22&lt;'Operating Assumptions'!$K$68,'Operating Assumptions'!$J$70,'Operating Assumptions'!$K$70))))</f>
        <v>0.6</v>
      </c>
      <c r="AN50" s="70">
        <f>IF(AN49&lt;COD,0,IF(AN49&gt;End,"",IF(Traffic!AN22&lt;'Operating Assumptions'!$J$68,'Operating Assumptions'!$I$70,IF(Traffic!AN22&lt;'Operating Assumptions'!$K$68,'Operating Assumptions'!$J$70,'Operating Assumptions'!$K$70))))</f>
        <v>0.6</v>
      </c>
      <c r="AO50" s="70">
        <f>IF(AO49&lt;COD,0,IF(AO49&gt;End,"",IF(Traffic!AO22&lt;'Operating Assumptions'!$J$68,'Operating Assumptions'!$I$70,IF(Traffic!AO22&lt;'Operating Assumptions'!$K$68,'Operating Assumptions'!$J$70,'Operating Assumptions'!$K$70))))</f>
        <v>0.6</v>
      </c>
      <c r="AP50" s="70">
        <f>IF(AP49&lt;COD,0,IF(AP49&gt;End,"",IF(Traffic!AP22&lt;'Operating Assumptions'!$J$68,'Operating Assumptions'!$I$70,IF(Traffic!AP22&lt;'Operating Assumptions'!$K$68,'Operating Assumptions'!$J$70,'Operating Assumptions'!$K$70))))</f>
        <v>0.6</v>
      </c>
      <c r="AQ50" s="70">
        <f>IF(AQ49&lt;COD,0,IF(AQ49&gt;End,"",IF(Traffic!AQ22&lt;'Operating Assumptions'!$J$68,'Operating Assumptions'!$I$70,IF(Traffic!AQ22&lt;'Operating Assumptions'!$K$68,'Operating Assumptions'!$J$70,'Operating Assumptions'!$K$70))))</f>
        <v>0.6</v>
      </c>
    </row>
    <row r="51" spans="1:54" ht="11.25" customHeight="1">
      <c r="B51" s="13" t="s">
        <v>106</v>
      </c>
      <c r="C51" s="13"/>
      <c r="D51" s="13"/>
      <c r="E51" s="13" t="s">
        <v>86</v>
      </c>
      <c r="F51" s="13" t="s">
        <v>57</v>
      </c>
      <c r="G51" s="13"/>
      <c r="H51" s="13"/>
      <c r="I51" s="94">
        <f t="shared" ref="I51:AQ51" si="15">I26</f>
        <v>0</v>
      </c>
      <c r="J51" s="94">
        <f t="shared" si="15"/>
        <v>0</v>
      </c>
      <c r="K51" s="94">
        <f t="shared" si="15"/>
        <v>0</v>
      </c>
      <c r="L51" s="94">
        <f t="shared" si="15"/>
        <v>0</v>
      </c>
      <c r="M51" s="94">
        <f t="shared" si="15"/>
        <v>2.19</v>
      </c>
      <c r="N51" s="94">
        <f t="shared" si="15"/>
        <v>2.2338</v>
      </c>
      <c r="O51" s="94">
        <f t="shared" si="15"/>
        <v>2.2784760000000004</v>
      </c>
      <c r="P51" s="94">
        <f t="shared" si="15"/>
        <v>2.3240455200000003</v>
      </c>
      <c r="Q51" s="94">
        <f t="shared" si="15"/>
        <v>2.3705264304</v>
      </c>
      <c r="R51" s="94">
        <f t="shared" si="15"/>
        <v>2.4179369590080002</v>
      </c>
      <c r="S51" s="94">
        <f t="shared" si="15"/>
        <v>2.4662956981881603</v>
      </c>
      <c r="T51" s="94">
        <f t="shared" si="15"/>
        <v>2.5156216121519241</v>
      </c>
      <c r="U51" s="94">
        <f t="shared" si="15"/>
        <v>2.5659340443949628</v>
      </c>
      <c r="V51" s="94">
        <f t="shared" si="15"/>
        <v>2.6172527252828619</v>
      </c>
      <c r="W51" s="94">
        <f t="shared" si="15"/>
        <v>2.6695977797885186</v>
      </c>
      <c r="X51" s="94">
        <f t="shared" si="15"/>
        <v>2.7229897353842896</v>
      </c>
      <c r="Y51" s="94">
        <f t="shared" si="15"/>
        <v>2.7774495300919755</v>
      </c>
      <c r="Z51" s="94">
        <f t="shared" si="15"/>
        <v>2.8329985206938151</v>
      </c>
      <c r="AA51" s="94">
        <f t="shared" si="15"/>
        <v>2.8896584911076912</v>
      </c>
      <c r="AB51" s="94">
        <f t="shared" si="15"/>
        <v>2.9474516609298451</v>
      </c>
      <c r="AC51" s="94">
        <f t="shared" si="15"/>
        <v>3.006400694148442</v>
      </c>
      <c r="AD51" s="94">
        <f t="shared" si="15"/>
        <v>3.0665287080314103</v>
      </c>
      <c r="AE51" s="94">
        <f t="shared" si="15"/>
        <v>3.127859282192039</v>
      </c>
      <c r="AF51" s="94">
        <f t="shared" si="15"/>
        <v>3.1904164678358797</v>
      </c>
      <c r="AG51" s="94">
        <f t="shared" si="15"/>
        <v>3.2542247971925975</v>
      </c>
      <c r="AH51" s="94">
        <f t="shared" si="15"/>
        <v>3.3193092931364494</v>
      </c>
      <c r="AI51" s="94">
        <f t="shared" si="15"/>
        <v>3.3856954789991782</v>
      </c>
      <c r="AJ51" s="94">
        <f t="shared" si="15"/>
        <v>3.4534093885791624</v>
      </c>
      <c r="AK51" s="94">
        <f t="shared" si="15"/>
        <v>3.5224775763507452</v>
      </c>
      <c r="AL51" s="94">
        <f t="shared" si="15"/>
        <v>3.5929271278777604</v>
      </c>
      <c r="AM51" s="94">
        <f t="shared" si="15"/>
        <v>3.6647856704353154</v>
      </c>
      <c r="AN51" s="94">
        <f t="shared" si="15"/>
        <v>3.7380813838440226</v>
      </c>
      <c r="AO51" s="94">
        <f t="shared" si="15"/>
        <v>3.8128430115209029</v>
      </c>
      <c r="AP51" s="94">
        <f t="shared" si="15"/>
        <v>3.8890998717513208</v>
      </c>
      <c r="AQ51" s="94">
        <f t="shared" si="15"/>
        <v>3.9668818691863477</v>
      </c>
    </row>
    <row r="52" spans="1:54" ht="11.25" customHeight="1">
      <c r="B52" s="15" t="s">
        <v>109</v>
      </c>
      <c r="C52" s="15"/>
      <c r="D52" s="15"/>
      <c r="E52" s="15" t="str">
        <f>Currency&amp;"mm"</f>
        <v>CADmm</v>
      </c>
      <c r="F52" s="15" t="s">
        <v>57</v>
      </c>
      <c r="G52" s="15"/>
      <c r="H52" s="15"/>
      <c r="I52" s="85">
        <f>I50*I51</f>
        <v>0</v>
      </c>
      <c r="J52" s="85">
        <f t="shared" ref="J52:AQ52" si="16">J50*J51</f>
        <v>0</v>
      </c>
      <c r="K52" s="85">
        <f t="shared" si="16"/>
        <v>0</v>
      </c>
      <c r="L52" s="85">
        <f t="shared" si="16"/>
        <v>0</v>
      </c>
      <c r="M52" s="85">
        <f t="shared" si="16"/>
        <v>0</v>
      </c>
      <c r="N52" s="85">
        <f t="shared" si="16"/>
        <v>0</v>
      </c>
      <c r="O52" s="85">
        <f t="shared" si="16"/>
        <v>0</v>
      </c>
      <c r="P52" s="85">
        <f t="shared" si="16"/>
        <v>0</v>
      </c>
      <c r="Q52" s="85">
        <f t="shared" si="16"/>
        <v>0</v>
      </c>
      <c r="R52" s="85">
        <f t="shared" si="16"/>
        <v>0</v>
      </c>
      <c r="S52" s="85">
        <f t="shared" si="16"/>
        <v>0</v>
      </c>
      <c r="T52" s="85">
        <f t="shared" si="16"/>
        <v>0</v>
      </c>
      <c r="U52" s="85">
        <f t="shared" si="16"/>
        <v>0</v>
      </c>
      <c r="V52" s="85">
        <f t="shared" si="16"/>
        <v>0</v>
      </c>
      <c r="W52" s="85">
        <f t="shared" si="16"/>
        <v>0</v>
      </c>
      <c r="X52" s="85">
        <f t="shared" si="16"/>
        <v>0</v>
      </c>
      <c r="Y52" s="85">
        <f t="shared" si="16"/>
        <v>0</v>
      </c>
      <c r="Z52" s="85">
        <f t="shared" si="16"/>
        <v>0</v>
      </c>
      <c r="AA52" s="85">
        <f t="shared" si="16"/>
        <v>0</v>
      </c>
      <c r="AB52" s="85">
        <f t="shared" si="16"/>
        <v>0</v>
      </c>
      <c r="AC52" s="85">
        <f t="shared" si="16"/>
        <v>0</v>
      </c>
      <c r="AD52" s="85">
        <f t="shared" si="16"/>
        <v>0</v>
      </c>
      <c r="AE52" s="85">
        <f t="shared" si="16"/>
        <v>0</v>
      </c>
      <c r="AF52" s="85">
        <f t="shared" si="16"/>
        <v>0</v>
      </c>
      <c r="AG52" s="85">
        <f t="shared" si="16"/>
        <v>0</v>
      </c>
      <c r="AH52" s="85">
        <f t="shared" si="16"/>
        <v>0</v>
      </c>
      <c r="AI52" s="85">
        <f t="shared" si="16"/>
        <v>0</v>
      </c>
      <c r="AJ52" s="85">
        <f t="shared" si="16"/>
        <v>0</v>
      </c>
      <c r="AK52" s="85">
        <f t="shared" si="16"/>
        <v>0</v>
      </c>
      <c r="AL52" s="85">
        <f t="shared" si="16"/>
        <v>0</v>
      </c>
      <c r="AM52" s="85">
        <f t="shared" si="16"/>
        <v>2.1988714022611893</v>
      </c>
      <c r="AN52" s="85">
        <f t="shared" si="16"/>
        <v>2.2428488303064134</v>
      </c>
      <c r="AO52" s="85">
        <f t="shared" si="16"/>
        <v>2.2877058069125416</v>
      </c>
      <c r="AP52" s="85">
        <f t="shared" si="16"/>
        <v>2.3334599230507922</v>
      </c>
      <c r="AQ52" s="85">
        <f t="shared" si="16"/>
        <v>2.3801291215118083</v>
      </c>
    </row>
    <row r="53" spans="1:54" ht="11.25" customHeight="1"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120"/>
      <c r="AS53" s="120"/>
      <c r="AT53" s="120"/>
      <c r="AU53" s="120"/>
      <c r="AV53" s="120"/>
      <c r="AW53" s="120"/>
      <c r="AX53" s="120"/>
      <c r="AY53" s="120"/>
      <c r="AZ53" s="120"/>
      <c r="BA53" s="120"/>
      <c r="BB53" s="120"/>
    </row>
    <row r="54" spans="1:54" ht="11.25" customHeight="1" thickBot="1">
      <c r="B54" s="132" t="s">
        <v>111</v>
      </c>
      <c r="C54" s="131"/>
      <c r="D54" s="131"/>
      <c r="E54" s="131"/>
      <c r="F54" s="131"/>
      <c r="G54" s="131"/>
    </row>
    <row r="56" spans="1:54" ht="11.25" customHeight="1">
      <c r="A56" s="3" t="s">
        <v>0</v>
      </c>
      <c r="B56" s="4" t="s">
        <v>156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54" ht="11.25" customHeight="1">
      <c r="I57" s="133">
        <v>1</v>
      </c>
      <c r="J57" s="133">
        <f t="shared" ref="J57:AQ57" si="17">IF(J58="","",I57+1)</f>
        <v>2</v>
      </c>
      <c r="K57" s="133">
        <f t="shared" si="17"/>
        <v>3</v>
      </c>
      <c r="L57" s="133">
        <f t="shared" si="17"/>
        <v>4</v>
      </c>
      <c r="M57" s="133">
        <f t="shared" si="17"/>
        <v>5</v>
      </c>
      <c r="N57" s="133">
        <f t="shared" si="17"/>
        <v>6</v>
      </c>
      <c r="O57" s="133">
        <f t="shared" si="17"/>
        <v>7</v>
      </c>
      <c r="P57" s="133">
        <f t="shared" si="17"/>
        <v>8</v>
      </c>
      <c r="Q57" s="133">
        <f t="shared" si="17"/>
        <v>9</v>
      </c>
      <c r="R57" s="133">
        <f t="shared" si="17"/>
        <v>10</v>
      </c>
      <c r="S57" s="133">
        <f t="shared" si="17"/>
        <v>11</v>
      </c>
      <c r="T57" s="133">
        <f t="shared" si="17"/>
        <v>12</v>
      </c>
      <c r="U57" s="133">
        <f t="shared" si="17"/>
        <v>13</v>
      </c>
      <c r="V57" s="133">
        <f t="shared" si="17"/>
        <v>14</v>
      </c>
      <c r="W57" s="133">
        <f t="shared" si="17"/>
        <v>15</v>
      </c>
      <c r="X57" s="133">
        <f t="shared" si="17"/>
        <v>16</v>
      </c>
      <c r="Y57" s="133">
        <f t="shared" si="17"/>
        <v>17</v>
      </c>
      <c r="Z57" s="133">
        <f t="shared" si="17"/>
        <v>18</v>
      </c>
      <c r="AA57" s="133">
        <f t="shared" si="17"/>
        <v>19</v>
      </c>
      <c r="AB57" s="133">
        <f t="shared" si="17"/>
        <v>20</v>
      </c>
      <c r="AC57" s="133">
        <f t="shared" si="17"/>
        <v>21</v>
      </c>
      <c r="AD57" s="133">
        <f t="shared" si="17"/>
        <v>22</v>
      </c>
      <c r="AE57" s="133">
        <f t="shared" si="17"/>
        <v>23</v>
      </c>
      <c r="AF57" s="133">
        <f t="shared" si="17"/>
        <v>24</v>
      </c>
      <c r="AG57" s="133">
        <f t="shared" si="17"/>
        <v>25</v>
      </c>
      <c r="AH57" s="133">
        <f t="shared" si="17"/>
        <v>26</v>
      </c>
      <c r="AI57" s="133">
        <f t="shared" si="17"/>
        <v>27</v>
      </c>
      <c r="AJ57" s="133">
        <f t="shared" si="17"/>
        <v>28</v>
      </c>
      <c r="AK57" s="133">
        <f t="shared" si="17"/>
        <v>29</v>
      </c>
      <c r="AL57" s="133">
        <f t="shared" si="17"/>
        <v>30</v>
      </c>
      <c r="AM57" s="133">
        <f t="shared" si="17"/>
        <v>31</v>
      </c>
      <c r="AN57" s="133">
        <f t="shared" si="17"/>
        <v>32</v>
      </c>
      <c r="AO57" s="133">
        <f t="shared" si="17"/>
        <v>33</v>
      </c>
      <c r="AP57" s="133">
        <f t="shared" si="17"/>
        <v>34</v>
      </c>
      <c r="AQ57" s="133">
        <f t="shared" si="17"/>
        <v>35</v>
      </c>
    </row>
    <row r="58" spans="1:54" ht="11.25" customHeight="1" thickBot="1">
      <c r="B58" s="9" t="s">
        <v>157</v>
      </c>
      <c r="C58" s="8"/>
      <c r="D58" s="8"/>
      <c r="E58" s="9" t="s">
        <v>48</v>
      </c>
      <c r="F58" s="9" t="s">
        <v>72</v>
      </c>
      <c r="G58" s="8"/>
      <c r="H58" s="8"/>
      <c r="I58" s="9">
        <f>YEAR(Now)</f>
        <v>2016</v>
      </c>
      <c r="J58" s="9">
        <f t="shared" ref="J58:AQ58" si="18">IFERROR(IF(I58+1&gt;End,"",I58+1),"")</f>
        <v>2017</v>
      </c>
      <c r="K58" s="9">
        <f t="shared" si="18"/>
        <v>2018</v>
      </c>
      <c r="L58" s="9">
        <f t="shared" si="18"/>
        <v>2019</v>
      </c>
      <c r="M58" s="9">
        <f t="shared" si="18"/>
        <v>2020</v>
      </c>
      <c r="N58" s="9">
        <f t="shared" si="18"/>
        <v>2021</v>
      </c>
      <c r="O58" s="9">
        <f t="shared" si="18"/>
        <v>2022</v>
      </c>
      <c r="P58" s="9">
        <f t="shared" si="18"/>
        <v>2023</v>
      </c>
      <c r="Q58" s="9">
        <f t="shared" si="18"/>
        <v>2024</v>
      </c>
      <c r="R58" s="9">
        <f t="shared" si="18"/>
        <v>2025</v>
      </c>
      <c r="S58" s="9">
        <f t="shared" si="18"/>
        <v>2026</v>
      </c>
      <c r="T58" s="9">
        <f t="shared" si="18"/>
        <v>2027</v>
      </c>
      <c r="U58" s="9">
        <f t="shared" si="18"/>
        <v>2028</v>
      </c>
      <c r="V58" s="9">
        <f t="shared" si="18"/>
        <v>2029</v>
      </c>
      <c r="W58" s="9">
        <f t="shared" si="18"/>
        <v>2030</v>
      </c>
      <c r="X58" s="9">
        <f t="shared" si="18"/>
        <v>2031</v>
      </c>
      <c r="Y58" s="9">
        <f t="shared" si="18"/>
        <v>2032</v>
      </c>
      <c r="Z58" s="9">
        <f t="shared" si="18"/>
        <v>2033</v>
      </c>
      <c r="AA58" s="9">
        <f t="shared" si="18"/>
        <v>2034</v>
      </c>
      <c r="AB58" s="9">
        <f t="shared" si="18"/>
        <v>2035</v>
      </c>
      <c r="AC58" s="9">
        <f t="shared" si="18"/>
        <v>2036</v>
      </c>
      <c r="AD58" s="9">
        <f t="shared" si="18"/>
        <v>2037</v>
      </c>
      <c r="AE58" s="9">
        <f t="shared" si="18"/>
        <v>2038</v>
      </c>
      <c r="AF58" s="9">
        <f t="shared" si="18"/>
        <v>2039</v>
      </c>
      <c r="AG58" s="9">
        <f t="shared" si="18"/>
        <v>2040</v>
      </c>
      <c r="AH58" s="9">
        <f t="shared" si="18"/>
        <v>2041</v>
      </c>
      <c r="AI58" s="9">
        <f t="shared" si="18"/>
        <v>2042</v>
      </c>
      <c r="AJ58" s="9">
        <f t="shared" si="18"/>
        <v>2043</v>
      </c>
      <c r="AK58" s="9">
        <f t="shared" si="18"/>
        <v>2044</v>
      </c>
      <c r="AL58" s="9">
        <f t="shared" si="18"/>
        <v>2045</v>
      </c>
      <c r="AM58" s="9">
        <f t="shared" si="18"/>
        <v>2046</v>
      </c>
      <c r="AN58" s="9">
        <f t="shared" si="18"/>
        <v>2047</v>
      </c>
      <c r="AO58" s="9">
        <f t="shared" si="18"/>
        <v>2048</v>
      </c>
      <c r="AP58" s="9">
        <f t="shared" si="18"/>
        <v>2049</v>
      </c>
      <c r="AQ58" s="9">
        <f t="shared" si="18"/>
        <v>2050</v>
      </c>
    </row>
    <row r="59" spans="1:54" ht="11.25" customHeight="1">
      <c r="B59" s="3" t="s">
        <v>158</v>
      </c>
      <c r="G59" s="95">
        <v>30</v>
      </c>
    </row>
    <row r="60" spans="1:54" ht="11.25" customHeight="1">
      <c r="B60" s="3" t="s">
        <v>159</v>
      </c>
      <c r="I60" s="70">
        <v>0</v>
      </c>
      <c r="J60" s="70">
        <f>I62</f>
        <v>0</v>
      </c>
      <c r="K60" s="70">
        <f t="shared" ref="K60:AQ60" si="19">J62</f>
        <v>0</v>
      </c>
      <c r="L60" s="70">
        <f t="shared" si="19"/>
        <v>0</v>
      </c>
      <c r="M60" s="70">
        <f t="shared" si="19"/>
        <v>0</v>
      </c>
      <c r="N60" s="70">
        <f t="shared" si="19"/>
        <v>79.93150684931507</v>
      </c>
      <c r="O60" s="70">
        <f t="shared" si="19"/>
        <v>80.030136986301372</v>
      </c>
      <c r="P60" s="70">
        <f t="shared" si="19"/>
        <v>80.1307397260274</v>
      </c>
      <c r="Q60" s="70">
        <f t="shared" si="19"/>
        <v>80.233354520547962</v>
      </c>
      <c r="R60" s="70">
        <f t="shared" si="19"/>
        <v>80.338021610958904</v>
      </c>
      <c r="S60" s="70">
        <f t="shared" si="19"/>
        <v>80.444782043178108</v>
      </c>
      <c r="T60" s="70">
        <f t="shared" si="19"/>
        <v>80.553677684041645</v>
      </c>
      <c r="U60" s="70">
        <f t="shared" si="19"/>
        <v>80.664751237722498</v>
      </c>
      <c r="V60" s="70">
        <f t="shared" si="19"/>
        <v>80.778046262476963</v>
      </c>
      <c r="W60" s="70">
        <f t="shared" si="19"/>
        <v>80.893607187726502</v>
      </c>
      <c r="X60" s="70">
        <f t="shared" si="19"/>
        <v>81.011479331481013</v>
      </c>
      <c r="Y60" s="70">
        <f t="shared" si="19"/>
        <v>81.131708918110647</v>
      </c>
      <c r="Z60" s="70">
        <f t="shared" si="19"/>
        <v>81.254343096472866</v>
      </c>
      <c r="AA60" s="70">
        <f t="shared" si="19"/>
        <v>81.379429958402312</v>
      </c>
      <c r="AB60" s="70">
        <f t="shared" si="19"/>
        <v>81.507018557570362</v>
      </c>
      <c r="AC60" s="70">
        <f t="shared" si="19"/>
        <v>81.63715892872176</v>
      </c>
      <c r="AD60" s="70">
        <f t="shared" si="19"/>
        <v>81.769902107296218</v>
      </c>
      <c r="AE60" s="70">
        <f t="shared" si="19"/>
        <v>81.905300149442127</v>
      </c>
      <c r="AF60" s="70">
        <f t="shared" si="19"/>
        <v>82.043406152430975</v>
      </c>
      <c r="AG60" s="70">
        <f t="shared" si="19"/>
        <v>82.184274275479609</v>
      </c>
      <c r="AH60" s="70">
        <f t="shared" si="19"/>
        <v>82.327959760989174</v>
      </c>
      <c r="AI60" s="70">
        <f t="shared" si="19"/>
        <v>82.474518956208968</v>
      </c>
      <c r="AJ60" s="70">
        <f t="shared" si="19"/>
        <v>82.624009335333142</v>
      </c>
      <c r="AK60" s="70">
        <f t="shared" si="19"/>
        <v>82.776489522039824</v>
      </c>
      <c r="AL60" s="70">
        <f t="shared" si="19"/>
        <v>82.93201931248062</v>
      </c>
      <c r="AM60" s="70">
        <f t="shared" si="19"/>
        <v>83.090659698730235</v>
      </c>
      <c r="AN60" s="70">
        <f t="shared" si="19"/>
        <v>83.25247289270483</v>
      </c>
      <c r="AO60" s="70">
        <f t="shared" si="19"/>
        <v>83.417522350558954</v>
      </c>
      <c r="AP60" s="70">
        <f t="shared" si="19"/>
        <v>83.585872797570104</v>
      </c>
      <c r="AQ60" s="70">
        <f t="shared" si="19"/>
        <v>83.757590253521514</v>
      </c>
    </row>
    <row r="61" spans="1:54" ht="11.25" customHeight="1">
      <c r="B61" s="118" t="s">
        <v>81</v>
      </c>
      <c r="C61" s="118"/>
      <c r="D61" s="118"/>
      <c r="E61" s="118"/>
      <c r="F61" s="118"/>
      <c r="G61" s="118"/>
      <c r="H61" s="118"/>
      <c r="I61" s="122">
        <f>I62-I60</f>
        <v>0</v>
      </c>
      <c r="J61" s="122">
        <f t="shared" ref="J61:AQ61" si="20">J62-J60</f>
        <v>0</v>
      </c>
      <c r="K61" s="122">
        <f t="shared" si="20"/>
        <v>0</v>
      </c>
      <c r="L61" s="122">
        <f t="shared" si="20"/>
        <v>0</v>
      </c>
      <c r="M61" s="122">
        <f t="shared" si="20"/>
        <v>79.93150684931507</v>
      </c>
      <c r="N61" s="122">
        <f t="shared" si="20"/>
        <v>9.8630136986301409E-2</v>
      </c>
      <c r="O61" s="122">
        <f t="shared" si="20"/>
        <v>0.10060273972602829</v>
      </c>
      <c r="P61" s="122">
        <f t="shared" si="20"/>
        <v>0.10261479452056221</v>
      </c>
      <c r="Q61" s="122">
        <f t="shared" si="20"/>
        <v>0.10466709041094191</v>
      </c>
      <c r="R61" s="122">
        <f t="shared" si="20"/>
        <v>0.10676043221920395</v>
      </c>
      <c r="S61" s="122">
        <f t="shared" si="20"/>
        <v>0.10889564086353687</v>
      </c>
      <c r="T61" s="122">
        <f t="shared" si="20"/>
        <v>0.11107355368085337</v>
      </c>
      <c r="U61" s="122">
        <f t="shared" si="20"/>
        <v>0.11329502475446418</v>
      </c>
      <c r="V61" s="122">
        <f t="shared" si="20"/>
        <v>0.11556092524953954</v>
      </c>
      <c r="W61" s="122">
        <f t="shared" si="20"/>
        <v>0.11787214375451072</v>
      </c>
      <c r="X61" s="122">
        <f t="shared" si="20"/>
        <v>0.1202295866296339</v>
      </c>
      <c r="Y61" s="122">
        <f t="shared" si="20"/>
        <v>0.1226341783622189</v>
      </c>
      <c r="Z61" s="122">
        <f t="shared" si="20"/>
        <v>0.12508686192944651</v>
      </c>
      <c r="AA61" s="122">
        <f t="shared" si="20"/>
        <v>0.12758859916804965</v>
      </c>
      <c r="AB61" s="122">
        <f t="shared" si="20"/>
        <v>0.13014037115139843</v>
      </c>
      <c r="AC61" s="122">
        <f t="shared" si="20"/>
        <v>0.13274317857445794</v>
      </c>
      <c r="AD61" s="122">
        <f t="shared" si="20"/>
        <v>0.13539804214590845</v>
      </c>
      <c r="AE61" s="122">
        <f t="shared" si="20"/>
        <v>0.13810600298884879</v>
      </c>
      <c r="AF61" s="122">
        <f t="shared" si="20"/>
        <v>0.14086812304863372</v>
      </c>
      <c r="AG61" s="122">
        <f t="shared" si="20"/>
        <v>0.14368548550956461</v>
      </c>
      <c r="AH61" s="122">
        <f t="shared" si="20"/>
        <v>0.14655919521979399</v>
      </c>
      <c r="AI61" s="122">
        <f t="shared" si="20"/>
        <v>0.14949037912417396</v>
      </c>
      <c r="AJ61" s="122">
        <f t="shared" si="20"/>
        <v>0.15248018670668273</v>
      </c>
      <c r="AK61" s="122">
        <f t="shared" si="20"/>
        <v>0.15552979044079507</v>
      </c>
      <c r="AL61" s="122">
        <f t="shared" si="20"/>
        <v>0.15864038624961552</v>
      </c>
      <c r="AM61" s="122">
        <f t="shared" si="20"/>
        <v>0.16181319397459504</v>
      </c>
      <c r="AN61" s="122">
        <f t="shared" si="20"/>
        <v>0.16504945785412417</v>
      </c>
      <c r="AO61" s="122">
        <f t="shared" si="20"/>
        <v>0.1683504470111501</v>
      </c>
      <c r="AP61" s="122">
        <f t="shared" si="20"/>
        <v>0.17171745595140919</v>
      </c>
      <c r="AQ61" s="122">
        <f t="shared" si="20"/>
        <v>0.17515180507044192</v>
      </c>
    </row>
    <row r="62" spans="1:54" ht="11.25" customHeight="1">
      <c r="B62" s="15" t="s">
        <v>160</v>
      </c>
      <c r="C62" s="15"/>
      <c r="D62" s="15"/>
      <c r="E62" s="15"/>
      <c r="F62" s="15"/>
      <c r="G62" s="15"/>
      <c r="H62" s="15"/>
      <c r="I62" s="58">
        <f t="shared" ref="I62:AQ62" si="21">$G$59*((I24+I39)/Daysinayear)</f>
        <v>0</v>
      </c>
      <c r="J62" s="58">
        <f t="shared" si="21"/>
        <v>0</v>
      </c>
      <c r="K62" s="58">
        <f t="shared" si="21"/>
        <v>0</v>
      </c>
      <c r="L62" s="58">
        <f t="shared" si="21"/>
        <v>0</v>
      </c>
      <c r="M62" s="58">
        <f t="shared" si="21"/>
        <v>79.93150684931507</v>
      </c>
      <c r="N62" s="58">
        <f t="shared" si="21"/>
        <v>80.030136986301372</v>
      </c>
      <c r="O62" s="58">
        <f t="shared" si="21"/>
        <v>80.1307397260274</v>
      </c>
      <c r="P62" s="58">
        <f t="shared" si="21"/>
        <v>80.233354520547962</v>
      </c>
      <c r="Q62" s="58">
        <f t="shared" si="21"/>
        <v>80.338021610958904</v>
      </c>
      <c r="R62" s="58">
        <f t="shared" si="21"/>
        <v>80.444782043178108</v>
      </c>
      <c r="S62" s="58">
        <f t="shared" si="21"/>
        <v>80.553677684041645</v>
      </c>
      <c r="T62" s="58">
        <f t="shared" si="21"/>
        <v>80.664751237722498</v>
      </c>
      <c r="U62" s="58">
        <f t="shared" si="21"/>
        <v>80.778046262476963</v>
      </c>
      <c r="V62" s="58">
        <f t="shared" si="21"/>
        <v>80.893607187726502</v>
      </c>
      <c r="W62" s="58">
        <f t="shared" si="21"/>
        <v>81.011479331481013</v>
      </c>
      <c r="X62" s="58">
        <f t="shared" si="21"/>
        <v>81.131708918110647</v>
      </c>
      <c r="Y62" s="58">
        <f t="shared" si="21"/>
        <v>81.254343096472866</v>
      </c>
      <c r="Z62" s="58">
        <f t="shared" si="21"/>
        <v>81.379429958402312</v>
      </c>
      <c r="AA62" s="58">
        <f t="shared" si="21"/>
        <v>81.507018557570362</v>
      </c>
      <c r="AB62" s="58">
        <f t="shared" si="21"/>
        <v>81.63715892872176</v>
      </c>
      <c r="AC62" s="58">
        <f t="shared" si="21"/>
        <v>81.769902107296218</v>
      </c>
      <c r="AD62" s="58">
        <f t="shared" si="21"/>
        <v>81.905300149442127</v>
      </c>
      <c r="AE62" s="58">
        <f t="shared" si="21"/>
        <v>82.043406152430975</v>
      </c>
      <c r="AF62" s="58">
        <f t="shared" si="21"/>
        <v>82.184274275479609</v>
      </c>
      <c r="AG62" s="58">
        <f t="shared" si="21"/>
        <v>82.327959760989174</v>
      </c>
      <c r="AH62" s="58">
        <f t="shared" si="21"/>
        <v>82.474518956208968</v>
      </c>
      <c r="AI62" s="58">
        <f t="shared" si="21"/>
        <v>82.624009335333142</v>
      </c>
      <c r="AJ62" s="58">
        <f t="shared" si="21"/>
        <v>82.776489522039824</v>
      </c>
      <c r="AK62" s="58">
        <f t="shared" si="21"/>
        <v>82.93201931248062</v>
      </c>
      <c r="AL62" s="58">
        <f t="shared" si="21"/>
        <v>83.090659698730235</v>
      </c>
      <c r="AM62" s="58">
        <f t="shared" si="21"/>
        <v>83.25247289270483</v>
      </c>
      <c r="AN62" s="58">
        <f t="shared" si="21"/>
        <v>83.417522350558954</v>
      </c>
      <c r="AO62" s="58">
        <f t="shared" si="21"/>
        <v>83.585872797570104</v>
      </c>
      <c r="AP62" s="58">
        <f t="shared" si="21"/>
        <v>83.757590253521514</v>
      </c>
      <c r="AQ62" s="58">
        <f t="shared" si="21"/>
        <v>83.932742058591955</v>
      </c>
    </row>
    <row r="64" spans="1:54" ht="11.25" customHeight="1" thickBot="1">
      <c r="B64" s="9" t="s">
        <v>161</v>
      </c>
      <c r="C64" s="8"/>
      <c r="D64" s="8"/>
      <c r="E64" s="9" t="s">
        <v>48</v>
      </c>
      <c r="F64" s="9" t="s">
        <v>72</v>
      </c>
      <c r="G64" s="8"/>
      <c r="H64" s="8"/>
      <c r="I64" s="9">
        <f>YEAR(Now)</f>
        <v>2016</v>
      </c>
      <c r="J64" s="9">
        <f t="shared" ref="J64:AQ64" si="22">IFERROR(IF(I64+1&gt;End,"",I64+1),"")</f>
        <v>2017</v>
      </c>
      <c r="K64" s="9">
        <f t="shared" si="22"/>
        <v>2018</v>
      </c>
      <c r="L64" s="9">
        <f t="shared" si="22"/>
        <v>2019</v>
      </c>
      <c r="M64" s="9">
        <f t="shared" si="22"/>
        <v>2020</v>
      </c>
      <c r="N64" s="9">
        <f t="shared" si="22"/>
        <v>2021</v>
      </c>
      <c r="O64" s="9">
        <f t="shared" si="22"/>
        <v>2022</v>
      </c>
      <c r="P64" s="9">
        <f t="shared" si="22"/>
        <v>2023</v>
      </c>
      <c r="Q64" s="9">
        <f t="shared" si="22"/>
        <v>2024</v>
      </c>
      <c r="R64" s="9">
        <f t="shared" si="22"/>
        <v>2025</v>
      </c>
      <c r="S64" s="9">
        <f t="shared" si="22"/>
        <v>2026</v>
      </c>
      <c r="T64" s="9">
        <f t="shared" si="22"/>
        <v>2027</v>
      </c>
      <c r="U64" s="9">
        <f t="shared" si="22"/>
        <v>2028</v>
      </c>
      <c r="V64" s="9">
        <f t="shared" si="22"/>
        <v>2029</v>
      </c>
      <c r="W64" s="9">
        <f t="shared" si="22"/>
        <v>2030</v>
      </c>
      <c r="X64" s="9">
        <f t="shared" si="22"/>
        <v>2031</v>
      </c>
      <c r="Y64" s="9">
        <f t="shared" si="22"/>
        <v>2032</v>
      </c>
      <c r="Z64" s="9">
        <f t="shared" si="22"/>
        <v>2033</v>
      </c>
      <c r="AA64" s="9">
        <f t="shared" si="22"/>
        <v>2034</v>
      </c>
      <c r="AB64" s="9">
        <f t="shared" si="22"/>
        <v>2035</v>
      </c>
      <c r="AC64" s="9">
        <f t="shared" si="22"/>
        <v>2036</v>
      </c>
      <c r="AD64" s="9">
        <f t="shared" si="22"/>
        <v>2037</v>
      </c>
      <c r="AE64" s="9">
        <f t="shared" si="22"/>
        <v>2038</v>
      </c>
      <c r="AF64" s="9">
        <f t="shared" si="22"/>
        <v>2039</v>
      </c>
      <c r="AG64" s="9">
        <f t="shared" si="22"/>
        <v>2040</v>
      </c>
      <c r="AH64" s="9">
        <f t="shared" si="22"/>
        <v>2041</v>
      </c>
      <c r="AI64" s="9">
        <f t="shared" si="22"/>
        <v>2042</v>
      </c>
      <c r="AJ64" s="9">
        <f t="shared" si="22"/>
        <v>2043</v>
      </c>
      <c r="AK64" s="9">
        <f t="shared" si="22"/>
        <v>2044</v>
      </c>
      <c r="AL64" s="9">
        <f t="shared" si="22"/>
        <v>2045</v>
      </c>
      <c r="AM64" s="9">
        <f t="shared" si="22"/>
        <v>2046</v>
      </c>
      <c r="AN64" s="9">
        <f t="shared" si="22"/>
        <v>2047</v>
      </c>
      <c r="AO64" s="9">
        <f t="shared" si="22"/>
        <v>2048</v>
      </c>
      <c r="AP64" s="9">
        <f t="shared" si="22"/>
        <v>2049</v>
      </c>
      <c r="AQ64" s="9">
        <f t="shared" si="22"/>
        <v>2050</v>
      </c>
    </row>
    <row r="65" spans="1:43" ht="11.25" customHeight="1">
      <c r="B65" s="3" t="s">
        <v>162</v>
      </c>
      <c r="G65" s="95">
        <v>30</v>
      </c>
    </row>
    <row r="66" spans="1:43" ht="11.25" customHeight="1">
      <c r="B66" s="3" t="s">
        <v>163</v>
      </c>
      <c r="I66" s="70">
        <v>0</v>
      </c>
      <c r="J66" s="70">
        <f>I68</f>
        <v>1.6438356164383561</v>
      </c>
      <c r="K66" s="70">
        <f t="shared" ref="K66:AQ66" si="23">J68</f>
        <v>1.6767123287671231</v>
      </c>
      <c r="L66" s="70">
        <f t="shared" si="23"/>
        <v>1.7102465753424658</v>
      </c>
      <c r="M66" s="70">
        <f t="shared" si="23"/>
        <v>1.7444515068493147</v>
      </c>
      <c r="N66" s="70">
        <f t="shared" si="23"/>
        <v>7.5327651945205485</v>
      </c>
      <c r="O66" s="70">
        <f t="shared" si="23"/>
        <v>7.6834204984109595</v>
      </c>
      <c r="P66" s="70">
        <f t="shared" si="23"/>
        <v>7.8370889083791786</v>
      </c>
      <c r="Q66" s="70">
        <f t="shared" si="23"/>
        <v>7.9938306865467617</v>
      </c>
      <c r="R66" s="70">
        <f t="shared" si="23"/>
        <v>8.1537073002776967</v>
      </c>
      <c r="S66" s="70">
        <f t="shared" si="23"/>
        <v>8.316781446283251</v>
      </c>
      <c r="T66" s="70">
        <f t="shared" si="23"/>
        <v>8.4831170752089164</v>
      </c>
      <c r="U66" s="70">
        <f t="shared" si="23"/>
        <v>8.6527794167130931</v>
      </c>
      <c r="V66" s="70">
        <f t="shared" si="23"/>
        <v>8.8258350050473542</v>
      </c>
      <c r="W66" s="70">
        <f t="shared" si="23"/>
        <v>9.0023517051483015</v>
      </c>
      <c r="X66" s="70">
        <f t="shared" si="23"/>
        <v>9.1823987392512709</v>
      </c>
      <c r="Y66" s="70">
        <f t="shared" si="23"/>
        <v>9.366046714036294</v>
      </c>
      <c r="Z66" s="70">
        <f t="shared" si="23"/>
        <v>9.5533676483170211</v>
      </c>
      <c r="AA66" s="70">
        <f t="shared" si="23"/>
        <v>9.7444350012833603</v>
      </c>
      <c r="AB66" s="70">
        <f t="shared" si="23"/>
        <v>9.9393237013090285</v>
      </c>
      <c r="AC66" s="70">
        <f t="shared" si="23"/>
        <v>10.138110175335205</v>
      </c>
      <c r="AD66" s="70">
        <f t="shared" si="23"/>
        <v>10.340872378841912</v>
      </c>
      <c r="AE66" s="70">
        <f t="shared" si="23"/>
        <v>10.54768982641875</v>
      </c>
      <c r="AF66" s="70">
        <f t="shared" si="23"/>
        <v>10.758643622947124</v>
      </c>
      <c r="AG66" s="70">
        <f t="shared" si="23"/>
        <v>10.973816495406068</v>
      </c>
      <c r="AH66" s="70">
        <f t="shared" si="23"/>
        <v>11.193292825314188</v>
      </c>
      <c r="AI66" s="70">
        <f t="shared" si="23"/>
        <v>11.417158681820471</v>
      </c>
      <c r="AJ66" s="70">
        <f t="shared" si="23"/>
        <v>11.645501855456883</v>
      </c>
      <c r="AK66" s="70">
        <f t="shared" si="23"/>
        <v>11.878411892566017</v>
      </c>
      <c r="AL66" s="70">
        <f t="shared" si="23"/>
        <v>12.11598013041734</v>
      </c>
      <c r="AM66" s="70">
        <f t="shared" si="23"/>
        <v>12.358299733025687</v>
      </c>
      <c r="AN66" s="70">
        <f t="shared" si="23"/>
        <v>12.786194884036433</v>
      </c>
      <c r="AO66" s="70">
        <f t="shared" si="23"/>
        <v>13.041918781717159</v>
      </c>
      <c r="AP66" s="70">
        <f t="shared" si="23"/>
        <v>13.302757157351509</v>
      </c>
      <c r="AQ66" s="70">
        <f t="shared" si="23"/>
        <v>13.568812300498534</v>
      </c>
    </row>
    <row r="67" spans="1:43" ht="11.25" customHeight="1">
      <c r="B67" s="118" t="s">
        <v>81</v>
      </c>
      <c r="C67" s="118"/>
      <c r="D67" s="118"/>
      <c r="E67" s="118"/>
      <c r="F67" s="118"/>
      <c r="G67" s="118"/>
      <c r="H67" s="118"/>
      <c r="I67" s="122">
        <f t="shared" ref="I67:AQ67" si="24">I68-I66</f>
        <v>1.6438356164383561</v>
      </c>
      <c r="J67" s="122">
        <f t="shared" si="24"/>
        <v>3.2876712328766988E-2</v>
      </c>
      <c r="K67" s="122">
        <f t="shared" si="24"/>
        <v>3.3534246575342763E-2</v>
      </c>
      <c r="L67" s="122">
        <f t="shared" si="24"/>
        <v>3.420493150684889E-2</v>
      </c>
      <c r="M67" s="122">
        <f t="shared" si="24"/>
        <v>5.7883136876712342</v>
      </c>
      <c r="N67" s="122">
        <f t="shared" si="24"/>
        <v>0.15065530389041104</v>
      </c>
      <c r="O67" s="122">
        <f t="shared" si="24"/>
        <v>0.15366840996821907</v>
      </c>
      <c r="P67" s="122">
        <f t="shared" si="24"/>
        <v>0.15674177816758306</v>
      </c>
      <c r="Q67" s="122">
        <f t="shared" si="24"/>
        <v>0.15987661373093509</v>
      </c>
      <c r="R67" s="122">
        <f t="shared" si="24"/>
        <v>0.16307414600555425</v>
      </c>
      <c r="S67" s="122">
        <f t="shared" si="24"/>
        <v>0.16633562892566545</v>
      </c>
      <c r="T67" s="122">
        <f t="shared" si="24"/>
        <v>0.16966234150417669</v>
      </c>
      <c r="U67" s="122">
        <f t="shared" si="24"/>
        <v>0.17305558833426105</v>
      </c>
      <c r="V67" s="122">
        <f t="shared" si="24"/>
        <v>0.17651670010094733</v>
      </c>
      <c r="W67" s="122">
        <f t="shared" si="24"/>
        <v>0.18004703410296941</v>
      </c>
      <c r="X67" s="122">
        <f t="shared" si="24"/>
        <v>0.18364797478502304</v>
      </c>
      <c r="Y67" s="122">
        <f t="shared" si="24"/>
        <v>0.18732093428072716</v>
      </c>
      <c r="Z67" s="122">
        <f t="shared" si="24"/>
        <v>0.19106735296633914</v>
      </c>
      <c r="AA67" s="122">
        <f t="shared" si="24"/>
        <v>0.19488870002566827</v>
      </c>
      <c r="AB67" s="122">
        <f t="shared" si="24"/>
        <v>0.19878647402617666</v>
      </c>
      <c r="AC67" s="122">
        <f t="shared" si="24"/>
        <v>0.20276220350670648</v>
      </c>
      <c r="AD67" s="122">
        <f t="shared" si="24"/>
        <v>0.20681744757683873</v>
      </c>
      <c r="AE67" s="122">
        <f t="shared" si="24"/>
        <v>0.21095379652837387</v>
      </c>
      <c r="AF67" s="122">
        <f t="shared" si="24"/>
        <v>0.21517287245894323</v>
      </c>
      <c r="AG67" s="122">
        <f t="shared" si="24"/>
        <v>0.2194763299081206</v>
      </c>
      <c r="AH67" s="122">
        <f t="shared" si="24"/>
        <v>0.22386585650628277</v>
      </c>
      <c r="AI67" s="122">
        <f t="shared" si="24"/>
        <v>0.22834317363641254</v>
      </c>
      <c r="AJ67" s="122">
        <f t="shared" si="24"/>
        <v>0.23291003710913394</v>
      </c>
      <c r="AK67" s="122">
        <f t="shared" si="24"/>
        <v>0.23756823785132219</v>
      </c>
      <c r="AL67" s="122">
        <f t="shared" si="24"/>
        <v>0.2423196026083474</v>
      </c>
      <c r="AM67" s="122">
        <f t="shared" si="24"/>
        <v>0.42789515101074649</v>
      </c>
      <c r="AN67" s="122">
        <f t="shared" si="24"/>
        <v>0.2557238976807259</v>
      </c>
      <c r="AO67" s="122">
        <f t="shared" si="24"/>
        <v>0.26083837563434997</v>
      </c>
      <c r="AP67" s="122">
        <f t="shared" si="24"/>
        <v>0.26605514314702461</v>
      </c>
      <c r="AQ67" s="122">
        <f t="shared" si="24"/>
        <v>0.27137624600997157</v>
      </c>
    </row>
    <row r="68" spans="1:43" ht="11.25" customHeight="1">
      <c r="B68" s="15" t="s">
        <v>164</v>
      </c>
      <c r="C68" s="15"/>
      <c r="D68" s="15"/>
      <c r="E68" s="15"/>
      <c r="F68" s="15"/>
      <c r="G68" s="15"/>
      <c r="H68" s="15"/>
      <c r="I68" s="58">
        <f t="shared" ref="I68:AQ68" si="25">$G$65*((I52+I47)/Daysinayear)</f>
        <v>1.6438356164383561</v>
      </c>
      <c r="J68" s="58">
        <f t="shared" si="25"/>
        <v>1.6767123287671231</v>
      </c>
      <c r="K68" s="58">
        <f t="shared" si="25"/>
        <v>1.7102465753424658</v>
      </c>
      <c r="L68" s="58">
        <f t="shared" si="25"/>
        <v>1.7444515068493147</v>
      </c>
      <c r="M68" s="58">
        <f t="shared" si="25"/>
        <v>7.5327651945205485</v>
      </c>
      <c r="N68" s="58">
        <f t="shared" si="25"/>
        <v>7.6834204984109595</v>
      </c>
      <c r="O68" s="58">
        <f t="shared" si="25"/>
        <v>7.8370889083791786</v>
      </c>
      <c r="P68" s="58">
        <f t="shared" si="25"/>
        <v>7.9938306865467617</v>
      </c>
      <c r="Q68" s="58">
        <f t="shared" si="25"/>
        <v>8.1537073002776967</v>
      </c>
      <c r="R68" s="58">
        <f t="shared" si="25"/>
        <v>8.316781446283251</v>
      </c>
      <c r="S68" s="58">
        <f t="shared" si="25"/>
        <v>8.4831170752089164</v>
      </c>
      <c r="T68" s="58">
        <f t="shared" si="25"/>
        <v>8.6527794167130931</v>
      </c>
      <c r="U68" s="58">
        <f t="shared" si="25"/>
        <v>8.8258350050473542</v>
      </c>
      <c r="V68" s="58">
        <f t="shared" si="25"/>
        <v>9.0023517051483015</v>
      </c>
      <c r="W68" s="58">
        <f t="shared" si="25"/>
        <v>9.1823987392512709</v>
      </c>
      <c r="X68" s="58">
        <f t="shared" si="25"/>
        <v>9.366046714036294</v>
      </c>
      <c r="Y68" s="58">
        <f t="shared" si="25"/>
        <v>9.5533676483170211</v>
      </c>
      <c r="Z68" s="58">
        <f t="shared" si="25"/>
        <v>9.7444350012833603</v>
      </c>
      <c r="AA68" s="58">
        <f t="shared" si="25"/>
        <v>9.9393237013090285</v>
      </c>
      <c r="AB68" s="58">
        <f t="shared" si="25"/>
        <v>10.138110175335205</v>
      </c>
      <c r="AC68" s="58">
        <f t="shared" si="25"/>
        <v>10.340872378841912</v>
      </c>
      <c r="AD68" s="58">
        <f t="shared" si="25"/>
        <v>10.54768982641875</v>
      </c>
      <c r="AE68" s="58">
        <f t="shared" si="25"/>
        <v>10.758643622947124</v>
      </c>
      <c r="AF68" s="58">
        <f t="shared" si="25"/>
        <v>10.973816495406068</v>
      </c>
      <c r="AG68" s="58">
        <f t="shared" si="25"/>
        <v>11.193292825314188</v>
      </c>
      <c r="AH68" s="58">
        <f t="shared" si="25"/>
        <v>11.417158681820471</v>
      </c>
      <c r="AI68" s="58">
        <f t="shared" si="25"/>
        <v>11.645501855456883</v>
      </c>
      <c r="AJ68" s="58">
        <f t="shared" si="25"/>
        <v>11.878411892566017</v>
      </c>
      <c r="AK68" s="58">
        <f t="shared" si="25"/>
        <v>12.11598013041734</v>
      </c>
      <c r="AL68" s="58">
        <f t="shared" si="25"/>
        <v>12.358299733025687</v>
      </c>
      <c r="AM68" s="58">
        <f t="shared" si="25"/>
        <v>12.786194884036433</v>
      </c>
      <c r="AN68" s="58">
        <f t="shared" si="25"/>
        <v>13.041918781717159</v>
      </c>
      <c r="AO68" s="58">
        <f t="shared" si="25"/>
        <v>13.302757157351509</v>
      </c>
      <c r="AP68" s="58">
        <f t="shared" si="25"/>
        <v>13.568812300498534</v>
      </c>
      <c r="AQ68" s="58">
        <f t="shared" si="25"/>
        <v>13.840188546508505</v>
      </c>
    </row>
    <row r="70" spans="1:43" ht="11.25" customHeight="1">
      <c r="A70" s="3" t="s">
        <v>0</v>
      </c>
      <c r="B70" s="4" t="s">
        <v>115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1.25" customHeight="1">
      <c r="I71" s="133">
        <v>1</v>
      </c>
      <c r="J71" s="133">
        <f t="shared" ref="J71:AQ71" si="26">IF(J72="","",I71+1)</f>
        <v>2</v>
      </c>
      <c r="K71" s="133">
        <f t="shared" si="26"/>
        <v>3</v>
      </c>
      <c r="L71" s="133">
        <f t="shared" si="26"/>
        <v>4</v>
      </c>
      <c r="M71" s="133">
        <f t="shared" si="26"/>
        <v>5</v>
      </c>
      <c r="N71" s="133">
        <f t="shared" si="26"/>
        <v>6</v>
      </c>
      <c r="O71" s="133">
        <f t="shared" si="26"/>
        <v>7</v>
      </c>
      <c r="P71" s="133">
        <f t="shared" si="26"/>
        <v>8</v>
      </c>
      <c r="Q71" s="133">
        <f t="shared" si="26"/>
        <v>9</v>
      </c>
      <c r="R71" s="133">
        <f t="shared" si="26"/>
        <v>10</v>
      </c>
      <c r="S71" s="133">
        <f t="shared" si="26"/>
        <v>11</v>
      </c>
      <c r="T71" s="133">
        <f t="shared" si="26"/>
        <v>12</v>
      </c>
      <c r="U71" s="133">
        <f t="shared" si="26"/>
        <v>13</v>
      </c>
      <c r="V71" s="133">
        <f t="shared" si="26"/>
        <v>14</v>
      </c>
      <c r="W71" s="133">
        <f t="shared" si="26"/>
        <v>15</v>
      </c>
      <c r="X71" s="133">
        <f t="shared" si="26"/>
        <v>16</v>
      </c>
      <c r="Y71" s="133">
        <f t="shared" si="26"/>
        <v>17</v>
      </c>
      <c r="Z71" s="133">
        <f t="shared" si="26"/>
        <v>18</v>
      </c>
      <c r="AA71" s="133">
        <f t="shared" si="26"/>
        <v>19</v>
      </c>
      <c r="AB71" s="133">
        <f t="shared" si="26"/>
        <v>20</v>
      </c>
      <c r="AC71" s="133">
        <f t="shared" si="26"/>
        <v>21</v>
      </c>
      <c r="AD71" s="133">
        <f t="shared" si="26"/>
        <v>22</v>
      </c>
      <c r="AE71" s="133">
        <f t="shared" si="26"/>
        <v>23</v>
      </c>
      <c r="AF71" s="133">
        <f t="shared" si="26"/>
        <v>24</v>
      </c>
      <c r="AG71" s="133">
        <f t="shared" si="26"/>
        <v>25</v>
      </c>
      <c r="AH71" s="133">
        <f t="shared" si="26"/>
        <v>26</v>
      </c>
      <c r="AI71" s="133">
        <f t="shared" si="26"/>
        <v>27</v>
      </c>
      <c r="AJ71" s="133">
        <f t="shared" si="26"/>
        <v>28</v>
      </c>
      <c r="AK71" s="133">
        <f t="shared" si="26"/>
        <v>29</v>
      </c>
      <c r="AL71" s="133">
        <f t="shared" si="26"/>
        <v>30</v>
      </c>
      <c r="AM71" s="133">
        <f t="shared" si="26"/>
        <v>31</v>
      </c>
      <c r="AN71" s="133">
        <f t="shared" si="26"/>
        <v>32</v>
      </c>
      <c r="AO71" s="133">
        <f t="shared" si="26"/>
        <v>33</v>
      </c>
      <c r="AP71" s="133">
        <f t="shared" si="26"/>
        <v>34</v>
      </c>
      <c r="AQ71" s="133">
        <f t="shared" si="26"/>
        <v>35</v>
      </c>
    </row>
    <row r="72" spans="1:43" ht="11.25" customHeight="1" thickBot="1">
      <c r="B72" s="9" t="s">
        <v>116</v>
      </c>
      <c r="C72" s="8"/>
      <c r="D72" s="8"/>
      <c r="E72" s="9" t="s">
        <v>48</v>
      </c>
      <c r="F72" s="9" t="s">
        <v>72</v>
      </c>
      <c r="G72" s="8"/>
      <c r="H72" s="8"/>
      <c r="I72" s="9">
        <f>YEAR(Now)</f>
        <v>2016</v>
      </c>
      <c r="J72" s="9">
        <f t="shared" ref="J72:AQ72" si="27">IFERROR(IF(I72+1&gt;End,"",I72+1),"")</f>
        <v>2017</v>
      </c>
      <c r="K72" s="9">
        <f t="shared" si="27"/>
        <v>2018</v>
      </c>
      <c r="L72" s="9">
        <f t="shared" si="27"/>
        <v>2019</v>
      </c>
      <c r="M72" s="9">
        <f t="shared" si="27"/>
        <v>2020</v>
      </c>
      <c r="N72" s="9">
        <f t="shared" si="27"/>
        <v>2021</v>
      </c>
      <c r="O72" s="9">
        <f t="shared" si="27"/>
        <v>2022</v>
      </c>
      <c r="P72" s="9">
        <f t="shared" si="27"/>
        <v>2023</v>
      </c>
      <c r="Q72" s="9">
        <f t="shared" si="27"/>
        <v>2024</v>
      </c>
      <c r="R72" s="9">
        <f t="shared" si="27"/>
        <v>2025</v>
      </c>
      <c r="S72" s="9">
        <f t="shared" si="27"/>
        <v>2026</v>
      </c>
      <c r="T72" s="9">
        <f t="shared" si="27"/>
        <v>2027</v>
      </c>
      <c r="U72" s="9">
        <f t="shared" si="27"/>
        <v>2028</v>
      </c>
      <c r="V72" s="9">
        <f t="shared" si="27"/>
        <v>2029</v>
      </c>
      <c r="W72" s="9">
        <f t="shared" si="27"/>
        <v>2030</v>
      </c>
      <c r="X72" s="9">
        <f t="shared" si="27"/>
        <v>2031</v>
      </c>
      <c r="Y72" s="9">
        <f t="shared" si="27"/>
        <v>2032</v>
      </c>
      <c r="Z72" s="9">
        <f t="shared" si="27"/>
        <v>2033</v>
      </c>
      <c r="AA72" s="9">
        <f t="shared" si="27"/>
        <v>2034</v>
      </c>
      <c r="AB72" s="9">
        <f t="shared" si="27"/>
        <v>2035</v>
      </c>
      <c r="AC72" s="9">
        <f t="shared" si="27"/>
        <v>2036</v>
      </c>
      <c r="AD72" s="9">
        <f t="shared" si="27"/>
        <v>2037</v>
      </c>
      <c r="AE72" s="9">
        <f t="shared" si="27"/>
        <v>2038</v>
      </c>
      <c r="AF72" s="9">
        <f t="shared" si="27"/>
        <v>2039</v>
      </c>
      <c r="AG72" s="9">
        <f t="shared" si="27"/>
        <v>2040</v>
      </c>
      <c r="AH72" s="9">
        <f t="shared" si="27"/>
        <v>2041</v>
      </c>
      <c r="AI72" s="9">
        <f t="shared" si="27"/>
        <v>2042</v>
      </c>
      <c r="AJ72" s="9">
        <f t="shared" si="27"/>
        <v>2043</v>
      </c>
      <c r="AK72" s="9">
        <f t="shared" si="27"/>
        <v>2044</v>
      </c>
      <c r="AL72" s="9">
        <f t="shared" si="27"/>
        <v>2045</v>
      </c>
      <c r="AM72" s="9">
        <f t="shared" si="27"/>
        <v>2046</v>
      </c>
      <c r="AN72" s="9">
        <f t="shared" si="27"/>
        <v>2047</v>
      </c>
      <c r="AO72" s="9">
        <f t="shared" si="27"/>
        <v>2048</v>
      </c>
      <c r="AP72" s="9">
        <f t="shared" si="27"/>
        <v>2049</v>
      </c>
      <c r="AQ72" s="9">
        <f t="shared" si="27"/>
        <v>2050</v>
      </c>
    </row>
    <row r="73" spans="1:43" ht="11.25" customHeight="1">
      <c r="B73" s="3" t="str">
        <f>'Operating Assumptions'!B17</f>
        <v>Total Construction Cost</v>
      </c>
      <c r="E73" s="3" t="str">
        <f>Currency&amp;"mm"</f>
        <v>CADmm</v>
      </c>
      <c r="F73" s="3" t="s">
        <v>57</v>
      </c>
      <c r="G73" s="92">
        <f>'Operating Assumptions'!K17</f>
        <v>625</v>
      </c>
      <c r="H73" s="34"/>
      <c r="I73" s="34">
        <f t="shared" ref="I73:AQ73" si="28">IF(I72&gt;COD,0,IF(I72&gt;End,"",(I74-H74)*$G$73))</f>
        <v>218.75</v>
      </c>
      <c r="J73" s="34">
        <f t="shared" si="28"/>
        <v>125.00000000000004</v>
      </c>
      <c r="K73" s="34">
        <f t="shared" si="28"/>
        <v>124.99999999999997</v>
      </c>
      <c r="L73" s="34">
        <f t="shared" si="28"/>
        <v>156.25</v>
      </c>
      <c r="M73" s="34">
        <f t="shared" si="28"/>
        <v>0</v>
      </c>
      <c r="N73" s="34">
        <f t="shared" si="28"/>
        <v>0</v>
      </c>
      <c r="O73" s="34">
        <f t="shared" si="28"/>
        <v>0</v>
      </c>
      <c r="P73" s="34">
        <f t="shared" si="28"/>
        <v>0</v>
      </c>
      <c r="Q73" s="34">
        <f t="shared" si="28"/>
        <v>0</v>
      </c>
      <c r="R73" s="34">
        <f t="shared" si="28"/>
        <v>0</v>
      </c>
      <c r="S73" s="34">
        <f t="shared" si="28"/>
        <v>0</v>
      </c>
      <c r="T73" s="34">
        <f t="shared" si="28"/>
        <v>0</v>
      </c>
      <c r="U73" s="34">
        <f t="shared" si="28"/>
        <v>0</v>
      </c>
      <c r="V73" s="34">
        <f t="shared" si="28"/>
        <v>0</v>
      </c>
      <c r="W73" s="34">
        <f t="shared" si="28"/>
        <v>0</v>
      </c>
      <c r="X73" s="34">
        <f t="shared" si="28"/>
        <v>0</v>
      </c>
      <c r="Y73" s="34">
        <f t="shared" si="28"/>
        <v>0</v>
      </c>
      <c r="Z73" s="34">
        <f t="shared" si="28"/>
        <v>0</v>
      </c>
      <c r="AA73" s="34">
        <f t="shared" si="28"/>
        <v>0</v>
      </c>
      <c r="AB73" s="34">
        <f t="shared" si="28"/>
        <v>0</v>
      </c>
      <c r="AC73" s="34">
        <f t="shared" si="28"/>
        <v>0</v>
      </c>
      <c r="AD73" s="34">
        <f t="shared" si="28"/>
        <v>0</v>
      </c>
      <c r="AE73" s="34">
        <f t="shared" si="28"/>
        <v>0</v>
      </c>
      <c r="AF73" s="34">
        <f t="shared" si="28"/>
        <v>0</v>
      </c>
      <c r="AG73" s="34">
        <f t="shared" si="28"/>
        <v>0</v>
      </c>
      <c r="AH73" s="34">
        <f t="shared" si="28"/>
        <v>0</v>
      </c>
      <c r="AI73" s="34">
        <f t="shared" si="28"/>
        <v>0</v>
      </c>
      <c r="AJ73" s="34">
        <f t="shared" si="28"/>
        <v>0</v>
      </c>
      <c r="AK73" s="34">
        <f t="shared" si="28"/>
        <v>0</v>
      </c>
      <c r="AL73" s="34">
        <f t="shared" si="28"/>
        <v>0</v>
      </c>
      <c r="AM73" s="34">
        <f t="shared" si="28"/>
        <v>0</v>
      </c>
      <c r="AN73" s="34">
        <f t="shared" si="28"/>
        <v>0</v>
      </c>
      <c r="AO73" s="34">
        <f t="shared" si="28"/>
        <v>0</v>
      </c>
      <c r="AP73" s="34">
        <f t="shared" si="28"/>
        <v>0</v>
      </c>
      <c r="AQ73" s="34">
        <f t="shared" si="28"/>
        <v>0</v>
      </c>
    </row>
    <row r="74" spans="1:43" ht="11.25" customHeight="1">
      <c r="B74" s="83" t="s">
        <v>113</v>
      </c>
      <c r="E74" s="3" t="s">
        <v>51</v>
      </c>
      <c r="F74" s="3" t="s">
        <v>57</v>
      </c>
      <c r="I74" s="90">
        <f>IF(I72&lt;COD,VLOOKUP(I71,'Operating Assumptions'!$J$20:$K$25,2),0)+H74</f>
        <v>0.35</v>
      </c>
      <c r="J74" s="90">
        <f>IF(J72&lt;COD,VLOOKUP(J71,'Operating Assumptions'!$J$20:$K$25,2),0)+I74</f>
        <v>0.55000000000000004</v>
      </c>
      <c r="K74" s="90">
        <f>IF(K72&lt;COD,VLOOKUP(K71,'Operating Assumptions'!$J$20:$K$25,2),0)+J74</f>
        <v>0.75</v>
      </c>
      <c r="L74" s="90">
        <f>IF(L72&lt;COD,VLOOKUP(L71,'Operating Assumptions'!$J$20:$K$25,2),0)+K74</f>
        <v>1</v>
      </c>
      <c r="M74" s="90">
        <f>IF(M72&lt;COD,VLOOKUP(M71,'Operating Assumptions'!$J$20:$K$25,2),0)+L74</f>
        <v>1</v>
      </c>
      <c r="N74" s="90">
        <f>IF(N72&lt;COD,VLOOKUP(N71,'Operating Assumptions'!$J$20:$K$25,2),0)+M74</f>
        <v>1</v>
      </c>
      <c r="O74" s="90">
        <f>IF(O72&lt;COD,VLOOKUP(O71,'Operating Assumptions'!$J$20:$K$25,2),0)+N74</f>
        <v>1</v>
      </c>
      <c r="P74" s="90">
        <f>IF(P72&lt;COD,VLOOKUP(P71,'Operating Assumptions'!$J$20:$K$25,2),0)+O74</f>
        <v>1</v>
      </c>
      <c r="Q74" s="90">
        <f>IF(Q72&lt;COD,VLOOKUP(Q71,'Operating Assumptions'!$J$20:$K$25,2),0)+P74</f>
        <v>1</v>
      </c>
      <c r="R74" s="90">
        <f>IF(R72&lt;COD,VLOOKUP(R71,'Operating Assumptions'!$J$20:$K$25,2),0)+Q74</f>
        <v>1</v>
      </c>
      <c r="S74" s="90">
        <f>IF(S72&lt;COD,VLOOKUP(S71,'Operating Assumptions'!$J$20:$K$25,2),0)+R74</f>
        <v>1</v>
      </c>
      <c r="T74" s="90">
        <f>IF(T72&lt;COD,VLOOKUP(T71,'Operating Assumptions'!$J$20:$K$25,2),0)+S74</f>
        <v>1</v>
      </c>
      <c r="U74" s="90">
        <f>IF(U72&lt;COD,VLOOKUP(U71,'Operating Assumptions'!$J$20:$K$25,2),0)+T74</f>
        <v>1</v>
      </c>
      <c r="V74" s="90">
        <f>IF(V72&lt;COD,VLOOKUP(V71,'Operating Assumptions'!$J$20:$K$25,2),0)+U74</f>
        <v>1</v>
      </c>
      <c r="W74" s="90">
        <f>IF(W72&lt;COD,VLOOKUP(W71,'Operating Assumptions'!$J$20:$K$25,2),0)+V74</f>
        <v>1</v>
      </c>
      <c r="X74" s="90">
        <f>IF(X72&lt;COD,VLOOKUP(X71,'Operating Assumptions'!$J$20:$K$25,2),0)+W74</f>
        <v>1</v>
      </c>
      <c r="Y74" s="90">
        <f>IF(Y72&lt;COD,VLOOKUP(Y71,'Operating Assumptions'!$J$20:$K$25,2),0)+X74</f>
        <v>1</v>
      </c>
      <c r="Z74" s="90">
        <f>IF(Z72&lt;COD,VLOOKUP(Z71,'Operating Assumptions'!$J$20:$K$25,2),0)+Y74</f>
        <v>1</v>
      </c>
      <c r="AA74" s="90">
        <f>IF(AA72&lt;COD,VLOOKUP(AA71,'Operating Assumptions'!$J$20:$K$25,2),0)+Z74</f>
        <v>1</v>
      </c>
      <c r="AB74" s="90">
        <f>IF(AB72&lt;COD,VLOOKUP(AB71,'Operating Assumptions'!$J$20:$K$25,2),0)+AA74</f>
        <v>1</v>
      </c>
      <c r="AC74" s="90">
        <f>IF(AC72&lt;COD,VLOOKUP(AC71,'Operating Assumptions'!$J$20:$K$25,2),0)+AB74</f>
        <v>1</v>
      </c>
      <c r="AD74" s="90">
        <f>IF(AD72&lt;COD,VLOOKUP(AD71,'Operating Assumptions'!$J$20:$K$25,2),0)+AC74</f>
        <v>1</v>
      </c>
      <c r="AE74" s="90">
        <f>IF(AE72&lt;COD,VLOOKUP(AE71,'Operating Assumptions'!$J$20:$K$25,2),0)+AD74</f>
        <v>1</v>
      </c>
      <c r="AF74" s="90">
        <f>IF(AF72&lt;COD,VLOOKUP(AF71,'Operating Assumptions'!$J$20:$K$25,2),0)+AE74</f>
        <v>1</v>
      </c>
      <c r="AG74" s="90">
        <f>IF(AG72&lt;COD,VLOOKUP(AG71,'Operating Assumptions'!$J$20:$K$25,2),0)+AF74</f>
        <v>1</v>
      </c>
      <c r="AH74" s="90">
        <f>IF(AH72&lt;COD,VLOOKUP(AH71,'Operating Assumptions'!$J$20:$K$25,2),0)+AG74</f>
        <v>1</v>
      </c>
      <c r="AI74" s="90">
        <f>IF(AI72&lt;COD,VLOOKUP(AI71,'Operating Assumptions'!$J$20:$K$25,2),0)+AH74</f>
        <v>1</v>
      </c>
      <c r="AJ74" s="90">
        <f>IF(AJ72&lt;COD,VLOOKUP(AJ71,'Operating Assumptions'!$J$20:$K$25,2),0)+AI74</f>
        <v>1</v>
      </c>
      <c r="AK74" s="90">
        <f>IF(AK72&lt;COD,VLOOKUP(AK71,'Operating Assumptions'!$J$20:$K$25,2),0)+AJ74</f>
        <v>1</v>
      </c>
      <c r="AL74" s="90">
        <f>IF(AL72&lt;COD,VLOOKUP(AL71,'Operating Assumptions'!$J$20:$K$25,2),0)+AK74</f>
        <v>1</v>
      </c>
      <c r="AM74" s="90">
        <f>IF(AM72&lt;COD,VLOOKUP(AM71,'Operating Assumptions'!$J$20:$K$25,2),0)+AL74</f>
        <v>1</v>
      </c>
      <c r="AN74" s="90">
        <f>IF(AN72&lt;COD,VLOOKUP(AN71,'Operating Assumptions'!$J$20:$K$25,2),0)+AM74</f>
        <v>1</v>
      </c>
      <c r="AO74" s="90">
        <f>IF(AO72&lt;COD,VLOOKUP(AO71,'Operating Assumptions'!$J$20:$K$25,2),0)+AN74</f>
        <v>1</v>
      </c>
      <c r="AP74" s="90">
        <f>IF(AP72&lt;COD,VLOOKUP(AP71,'Operating Assumptions'!$J$20:$K$25,2),0)+AO74</f>
        <v>1</v>
      </c>
      <c r="AQ74" s="90">
        <f>IF(AQ72&lt;COD,VLOOKUP(AQ71,'Operating Assumptions'!$J$20:$K$25,2),0)+AP74</f>
        <v>1</v>
      </c>
    </row>
    <row r="75" spans="1:43" ht="11.25" customHeight="1">
      <c r="B75" s="3" t="str">
        <f>'Operating Assumptions'!B64</f>
        <v xml:space="preserve">Highway heavy maintenance </v>
      </c>
      <c r="E75" s="3" t="str">
        <f>Currency&amp;"mm"</f>
        <v>CADmm</v>
      </c>
      <c r="F75" s="3" t="s">
        <v>57</v>
      </c>
      <c r="G75" s="93">
        <f>'Operating Assumptions'!K64</f>
        <v>0.17</v>
      </c>
      <c r="I75" s="70">
        <f>I76*$G$75*$G$73</f>
        <v>0</v>
      </c>
      <c r="J75" s="70">
        <f t="shared" ref="J75:AQ75" si="29">J76*$G$75*$G$73</f>
        <v>0</v>
      </c>
      <c r="K75" s="70">
        <f t="shared" si="29"/>
        <v>0</v>
      </c>
      <c r="L75" s="70">
        <f t="shared" si="29"/>
        <v>0</v>
      </c>
      <c r="M75" s="70">
        <f t="shared" si="29"/>
        <v>0</v>
      </c>
      <c r="N75" s="70">
        <f t="shared" si="29"/>
        <v>0</v>
      </c>
      <c r="O75" s="70">
        <f t="shared" si="29"/>
        <v>0</v>
      </c>
      <c r="P75" s="70">
        <f t="shared" si="29"/>
        <v>0</v>
      </c>
      <c r="Q75" s="70">
        <f t="shared" si="29"/>
        <v>0</v>
      </c>
      <c r="R75" s="70">
        <f t="shared" si="29"/>
        <v>0</v>
      </c>
      <c r="S75" s="70">
        <f t="shared" si="29"/>
        <v>0</v>
      </c>
      <c r="T75" s="70">
        <f t="shared" si="29"/>
        <v>0</v>
      </c>
      <c r="U75" s="70">
        <f t="shared" si="29"/>
        <v>106.25000000000001</v>
      </c>
      <c r="V75" s="70">
        <f t="shared" si="29"/>
        <v>0</v>
      </c>
      <c r="W75" s="70">
        <f t="shared" si="29"/>
        <v>0</v>
      </c>
      <c r="X75" s="70">
        <f t="shared" si="29"/>
        <v>0</v>
      </c>
      <c r="Y75" s="70">
        <f t="shared" si="29"/>
        <v>0</v>
      </c>
      <c r="Z75" s="70">
        <f t="shared" si="29"/>
        <v>0</v>
      </c>
      <c r="AA75" s="70">
        <f t="shared" si="29"/>
        <v>0</v>
      </c>
      <c r="AB75" s="70">
        <f t="shared" si="29"/>
        <v>0</v>
      </c>
      <c r="AC75" s="70">
        <f t="shared" si="29"/>
        <v>106.25000000000001</v>
      </c>
      <c r="AD75" s="70">
        <f t="shared" si="29"/>
        <v>0</v>
      </c>
      <c r="AE75" s="70">
        <f t="shared" si="29"/>
        <v>0</v>
      </c>
      <c r="AF75" s="70">
        <f t="shared" si="29"/>
        <v>0</v>
      </c>
      <c r="AG75" s="70">
        <f t="shared" si="29"/>
        <v>0</v>
      </c>
      <c r="AH75" s="70">
        <f t="shared" si="29"/>
        <v>0</v>
      </c>
      <c r="AI75" s="70">
        <f t="shared" si="29"/>
        <v>0</v>
      </c>
      <c r="AJ75" s="70">
        <f t="shared" si="29"/>
        <v>0</v>
      </c>
      <c r="AK75" s="70">
        <f t="shared" si="29"/>
        <v>106.25000000000001</v>
      </c>
      <c r="AL75" s="70">
        <f t="shared" si="29"/>
        <v>0</v>
      </c>
      <c r="AM75" s="70">
        <f t="shared" si="29"/>
        <v>0</v>
      </c>
      <c r="AN75" s="70">
        <f t="shared" si="29"/>
        <v>0</v>
      </c>
      <c r="AO75" s="70">
        <f t="shared" si="29"/>
        <v>0</v>
      </c>
      <c r="AP75" s="70">
        <f t="shared" si="29"/>
        <v>0</v>
      </c>
      <c r="AQ75" s="70">
        <f t="shared" si="29"/>
        <v>0</v>
      </c>
    </row>
    <row r="76" spans="1:43" ht="11.25" customHeight="1">
      <c r="B76" s="83" t="s">
        <v>114</v>
      </c>
      <c r="E76" s="3" t="s">
        <v>54</v>
      </c>
      <c r="F76" s="3" t="s">
        <v>57</v>
      </c>
      <c r="G76" s="91">
        <f>'Operating Assumptions'!F64</f>
        <v>8</v>
      </c>
      <c r="I76" s="12">
        <f>IF(I72-COD=(8*(SUM(H$76:$H76)+1)),1,0)</f>
        <v>0</v>
      </c>
      <c r="J76" s="12">
        <f>IF(J72-COD=(8*(SUM($H$76:I76)+1)),1,0)</f>
        <v>0</v>
      </c>
      <c r="K76" s="12">
        <f>IF(K72-COD=(8*(SUM($H$76:J76)+1)),1,0)</f>
        <v>0</v>
      </c>
      <c r="L76" s="12">
        <f>IF(L72-COD=(8*(SUM($H$76:K76)+1)),1,0)</f>
        <v>0</v>
      </c>
      <c r="M76" s="12">
        <f>IF(M72-COD=(8*(SUM($H$76:L76)+1)),1,0)</f>
        <v>0</v>
      </c>
      <c r="N76" s="12">
        <f>IF(N72-COD=(8*(SUM($H$76:M76)+1)),1,0)</f>
        <v>0</v>
      </c>
      <c r="O76" s="12">
        <f>IF(O72-COD=(8*(SUM($H$76:N76)+1)),1,0)</f>
        <v>0</v>
      </c>
      <c r="P76" s="12">
        <f>IF(P72-COD=(8*(SUM($H$76:O76)+1)),1,0)</f>
        <v>0</v>
      </c>
      <c r="Q76" s="12">
        <f>IF(Q72-COD=(8*(SUM($H$76:P76)+1)),1,0)</f>
        <v>0</v>
      </c>
      <c r="R76" s="12">
        <f>IF(R72-COD=(8*(SUM($H$76:Q76)+1)),1,0)</f>
        <v>0</v>
      </c>
      <c r="S76" s="12">
        <f>IF(S72-COD=(8*(SUM($H$76:R76)+1)),1,0)</f>
        <v>0</v>
      </c>
      <c r="T76" s="12">
        <f>IF(T72-COD=(8*(SUM($H$76:S76)+1)),1,0)</f>
        <v>0</v>
      </c>
      <c r="U76" s="12">
        <f>IF(U72-COD=(8*(SUM($H$76:T76)+1)),1,0)</f>
        <v>1</v>
      </c>
      <c r="V76" s="12">
        <f>IF(V72-COD=(8*(SUM($H$76:U76)+1)),1,0)</f>
        <v>0</v>
      </c>
      <c r="W76" s="12">
        <f>IF(W72-COD=(8*(SUM($H$76:V76)+1)),1,0)</f>
        <v>0</v>
      </c>
      <c r="X76" s="12">
        <f>IF(X72-COD=(8*(SUM($H$76:W76)+1)),1,0)</f>
        <v>0</v>
      </c>
      <c r="Y76" s="12">
        <f>IF(Y72-COD=(8*(SUM($H$76:X76)+1)),1,0)</f>
        <v>0</v>
      </c>
      <c r="Z76" s="12">
        <f>IF(Z72-COD=(8*(SUM($H$76:Y76)+1)),1,0)</f>
        <v>0</v>
      </c>
      <c r="AA76" s="12">
        <f>IF(AA72-COD=(8*(SUM($H$76:Z76)+1)),1,0)</f>
        <v>0</v>
      </c>
      <c r="AB76" s="12">
        <f>IF(AB72-COD=(8*(SUM($H$76:AA76)+1)),1,0)</f>
        <v>0</v>
      </c>
      <c r="AC76" s="12">
        <f>IF(AC72-COD=(8*(SUM($H$76:AB76)+1)),1,0)</f>
        <v>1</v>
      </c>
      <c r="AD76" s="12">
        <f>IF(AD72-COD=(8*(SUM($H$76:AC76)+1)),1,0)</f>
        <v>0</v>
      </c>
      <c r="AE76" s="12">
        <f>IF(AE72-COD=(8*(SUM($H$76:AD76)+1)),1,0)</f>
        <v>0</v>
      </c>
      <c r="AF76" s="12">
        <f>IF(AF72-COD=(8*(SUM($H$76:AE76)+1)),1,0)</f>
        <v>0</v>
      </c>
      <c r="AG76" s="12">
        <f>IF(AG72-COD=(8*(SUM($H$76:AF76)+1)),1,0)</f>
        <v>0</v>
      </c>
      <c r="AH76" s="12">
        <f>IF(AH72-COD=(8*(SUM($H$76:AG76)+1)),1,0)</f>
        <v>0</v>
      </c>
      <c r="AI76" s="12">
        <f>IF(AI72-COD=(8*(SUM($H$76:AH76)+1)),1,0)</f>
        <v>0</v>
      </c>
      <c r="AJ76" s="12">
        <f>IF(AJ72-COD=(8*(SUM($H$76:AI76)+1)),1,0)</f>
        <v>0</v>
      </c>
      <c r="AK76" s="12">
        <f>IF(AK72-COD=(8*(SUM($H$76:AJ76)+1)),1,0)</f>
        <v>1</v>
      </c>
      <c r="AL76" s="12">
        <f>IF(AL72-COD=(8*(SUM($H$76:AK76)+1)),1,0)</f>
        <v>0</v>
      </c>
      <c r="AM76" s="12">
        <f>IF(AM72-COD=(8*(SUM($H$76:AL76)+1)),1,0)</f>
        <v>0</v>
      </c>
      <c r="AN76" s="12">
        <f>IF(AN72-COD=(8*(SUM($H$76:AM76)+1)),1,0)</f>
        <v>0</v>
      </c>
      <c r="AO76" s="12">
        <f>IF(AO72-COD=(8*(SUM($H$76:AN76)+1)),1,0)</f>
        <v>0</v>
      </c>
      <c r="AP76" s="12">
        <f>IF(AP72-COD=(8*(SUM($H$76:AO76)+1)),1,0)</f>
        <v>0</v>
      </c>
      <c r="AQ76" s="12">
        <f>IF(AQ72-COD=(8*(SUM($H$76:AP76)+1)),1,0)</f>
        <v>0</v>
      </c>
    </row>
    <row r="77" spans="1:43" ht="11.25" customHeight="1">
      <c r="B77" s="13" t="str">
        <f>'Operating Assumptions'!B65</f>
        <v>Light Maintenance</v>
      </c>
      <c r="C77" s="13"/>
      <c r="D77" s="13"/>
      <c r="E77" s="13" t="str">
        <f>Currency&amp;"mm"</f>
        <v>CADmm</v>
      </c>
      <c r="F77" s="13" t="s">
        <v>57</v>
      </c>
      <c r="G77" s="93">
        <f>'Operating Assumptions'!K65</f>
        <v>0.25</v>
      </c>
      <c r="H77" s="13"/>
      <c r="I77" s="94">
        <f t="shared" ref="I77:AQ77" si="30">IF(I72&lt;COD,0,$G$73*$G$77)</f>
        <v>0</v>
      </c>
      <c r="J77" s="94">
        <f t="shared" si="30"/>
        <v>0</v>
      </c>
      <c r="K77" s="94">
        <f t="shared" si="30"/>
        <v>0</v>
      </c>
      <c r="L77" s="94">
        <f t="shared" si="30"/>
        <v>0</v>
      </c>
      <c r="M77" s="94">
        <f t="shared" si="30"/>
        <v>156.25</v>
      </c>
      <c r="N77" s="94">
        <f t="shared" si="30"/>
        <v>156.25</v>
      </c>
      <c r="O77" s="94">
        <f t="shared" si="30"/>
        <v>156.25</v>
      </c>
      <c r="P77" s="94">
        <f t="shared" si="30"/>
        <v>156.25</v>
      </c>
      <c r="Q77" s="94">
        <f t="shared" si="30"/>
        <v>156.25</v>
      </c>
      <c r="R77" s="94">
        <f t="shared" si="30"/>
        <v>156.25</v>
      </c>
      <c r="S77" s="94">
        <f t="shared" si="30"/>
        <v>156.25</v>
      </c>
      <c r="T77" s="94">
        <f t="shared" si="30"/>
        <v>156.25</v>
      </c>
      <c r="U77" s="94">
        <f t="shared" si="30"/>
        <v>156.25</v>
      </c>
      <c r="V77" s="94">
        <f t="shared" si="30"/>
        <v>156.25</v>
      </c>
      <c r="W77" s="94">
        <f t="shared" si="30"/>
        <v>156.25</v>
      </c>
      <c r="X77" s="94">
        <f t="shared" si="30"/>
        <v>156.25</v>
      </c>
      <c r="Y77" s="94">
        <f t="shared" si="30"/>
        <v>156.25</v>
      </c>
      <c r="Z77" s="94">
        <f t="shared" si="30"/>
        <v>156.25</v>
      </c>
      <c r="AA77" s="94">
        <f t="shared" si="30"/>
        <v>156.25</v>
      </c>
      <c r="AB77" s="94">
        <f t="shared" si="30"/>
        <v>156.25</v>
      </c>
      <c r="AC77" s="94">
        <f t="shared" si="30"/>
        <v>156.25</v>
      </c>
      <c r="AD77" s="94">
        <f t="shared" si="30"/>
        <v>156.25</v>
      </c>
      <c r="AE77" s="94">
        <f t="shared" si="30"/>
        <v>156.25</v>
      </c>
      <c r="AF77" s="94">
        <f t="shared" si="30"/>
        <v>156.25</v>
      </c>
      <c r="AG77" s="94">
        <f t="shared" si="30"/>
        <v>156.25</v>
      </c>
      <c r="AH77" s="94">
        <f t="shared" si="30"/>
        <v>156.25</v>
      </c>
      <c r="AI77" s="94">
        <f t="shared" si="30"/>
        <v>156.25</v>
      </c>
      <c r="AJ77" s="94">
        <f t="shared" si="30"/>
        <v>156.25</v>
      </c>
      <c r="AK77" s="94">
        <f t="shared" si="30"/>
        <v>156.25</v>
      </c>
      <c r="AL77" s="94">
        <f t="shared" si="30"/>
        <v>156.25</v>
      </c>
      <c r="AM77" s="94">
        <f t="shared" si="30"/>
        <v>156.25</v>
      </c>
      <c r="AN77" s="94">
        <f t="shared" si="30"/>
        <v>156.25</v>
      </c>
      <c r="AO77" s="94">
        <f t="shared" si="30"/>
        <v>156.25</v>
      </c>
      <c r="AP77" s="94">
        <f t="shared" si="30"/>
        <v>156.25</v>
      </c>
      <c r="AQ77" s="94">
        <f t="shared" si="30"/>
        <v>156.25</v>
      </c>
    </row>
    <row r="78" spans="1:43" ht="11.25" customHeight="1">
      <c r="B78" s="15" t="s">
        <v>110</v>
      </c>
      <c r="C78" s="15"/>
      <c r="D78" s="15"/>
      <c r="E78" s="15" t="str">
        <f>Currency&amp;"mm"</f>
        <v>CADmm</v>
      </c>
      <c r="F78" s="15" t="s">
        <v>57</v>
      </c>
      <c r="G78" s="15"/>
      <c r="H78" s="15"/>
      <c r="I78" s="58">
        <f>SUM(I73,I75,I77)</f>
        <v>218.75</v>
      </c>
      <c r="J78" s="58">
        <f t="shared" ref="J78:AQ78" si="31">SUM(J73,J75,J77)</f>
        <v>125.00000000000004</v>
      </c>
      <c r="K78" s="58">
        <f t="shared" si="31"/>
        <v>124.99999999999997</v>
      </c>
      <c r="L78" s="58">
        <f t="shared" si="31"/>
        <v>156.25</v>
      </c>
      <c r="M78" s="58">
        <f t="shared" si="31"/>
        <v>156.25</v>
      </c>
      <c r="N78" s="58">
        <f t="shared" si="31"/>
        <v>156.25</v>
      </c>
      <c r="O78" s="58">
        <f t="shared" si="31"/>
        <v>156.25</v>
      </c>
      <c r="P78" s="58">
        <f t="shared" si="31"/>
        <v>156.25</v>
      </c>
      <c r="Q78" s="58">
        <f t="shared" si="31"/>
        <v>156.25</v>
      </c>
      <c r="R78" s="58">
        <f t="shared" si="31"/>
        <v>156.25</v>
      </c>
      <c r="S78" s="58">
        <f t="shared" si="31"/>
        <v>156.25</v>
      </c>
      <c r="T78" s="58">
        <f t="shared" si="31"/>
        <v>156.25</v>
      </c>
      <c r="U78" s="58">
        <f t="shared" si="31"/>
        <v>262.5</v>
      </c>
      <c r="V78" s="58">
        <f t="shared" si="31"/>
        <v>156.25</v>
      </c>
      <c r="W78" s="58">
        <f t="shared" si="31"/>
        <v>156.25</v>
      </c>
      <c r="X78" s="58">
        <f t="shared" si="31"/>
        <v>156.25</v>
      </c>
      <c r="Y78" s="58">
        <f t="shared" si="31"/>
        <v>156.25</v>
      </c>
      <c r="Z78" s="58">
        <f t="shared" si="31"/>
        <v>156.25</v>
      </c>
      <c r="AA78" s="58">
        <f t="shared" si="31"/>
        <v>156.25</v>
      </c>
      <c r="AB78" s="58">
        <f t="shared" si="31"/>
        <v>156.25</v>
      </c>
      <c r="AC78" s="58">
        <f t="shared" si="31"/>
        <v>262.5</v>
      </c>
      <c r="AD78" s="58">
        <f t="shared" si="31"/>
        <v>156.25</v>
      </c>
      <c r="AE78" s="58">
        <f t="shared" si="31"/>
        <v>156.25</v>
      </c>
      <c r="AF78" s="58">
        <f t="shared" si="31"/>
        <v>156.25</v>
      </c>
      <c r="AG78" s="58">
        <f t="shared" si="31"/>
        <v>156.25</v>
      </c>
      <c r="AH78" s="58">
        <f t="shared" si="31"/>
        <v>156.25</v>
      </c>
      <c r="AI78" s="58">
        <f t="shared" si="31"/>
        <v>156.25</v>
      </c>
      <c r="AJ78" s="58">
        <f t="shared" si="31"/>
        <v>156.25</v>
      </c>
      <c r="AK78" s="58">
        <f t="shared" si="31"/>
        <v>262.5</v>
      </c>
      <c r="AL78" s="58">
        <f t="shared" si="31"/>
        <v>156.25</v>
      </c>
      <c r="AM78" s="58">
        <f t="shared" si="31"/>
        <v>156.25</v>
      </c>
      <c r="AN78" s="58">
        <f t="shared" si="31"/>
        <v>156.25</v>
      </c>
      <c r="AO78" s="58">
        <f t="shared" si="31"/>
        <v>156.25</v>
      </c>
      <c r="AP78" s="58">
        <f t="shared" si="31"/>
        <v>156.25</v>
      </c>
      <c r="AQ78" s="58">
        <f t="shared" si="31"/>
        <v>156.25</v>
      </c>
    </row>
    <row r="79" spans="1:43" ht="11.25" customHeight="1">
      <c r="M79" s="70"/>
      <c r="AC79" s="70"/>
    </row>
    <row r="80" spans="1:43" ht="11.25" customHeight="1" thickBot="1">
      <c r="B80" s="9" t="s">
        <v>117</v>
      </c>
      <c r="C80" s="8"/>
      <c r="D80" s="8"/>
      <c r="E80" s="9" t="s">
        <v>48</v>
      </c>
      <c r="F80" s="9" t="s">
        <v>72</v>
      </c>
      <c r="G80" s="8"/>
      <c r="H80" s="8"/>
      <c r="I80" s="9">
        <f>YEAR(Now)</f>
        <v>2016</v>
      </c>
      <c r="J80" s="9">
        <f t="shared" ref="J80:AQ80" si="32">IFERROR(IF(I80+1&gt;End,"",I80+1),"")</f>
        <v>2017</v>
      </c>
      <c r="K80" s="9">
        <f t="shared" si="32"/>
        <v>2018</v>
      </c>
      <c r="L80" s="9">
        <f t="shared" si="32"/>
        <v>2019</v>
      </c>
      <c r="M80" s="9">
        <f t="shared" si="32"/>
        <v>2020</v>
      </c>
      <c r="N80" s="9">
        <f t="shared" si="32"/>
        <v>2021</v>
      </c>
      <c r="O80" s="9">
        <f t="shared" si="32"/>
        <v>2022</v>
      </c>
      <c r="P80" s="9">
        <f t="shared" si="32"/>
        <v>2023</v>
      </c>
      <c r="Q80" s="9">
        <f t="shared" si="32"/>
        <v>2024</v>
      </c>
      <c r="R80" s="9">
        <f t="shared" si="32"/>
        <v>2025</v>
      </c>
      <c r="S80" s="9">
        <f t="shared" si="32"/>
        <v>2026</v>
      </c>
      <c r="T80" s="9">
        <f t="shared" si="32"/>
        <v>2027</v>
      </c>
      <c r="U80" s="9">
        <f t="shared" si="32"/>
        <v>2028</v>
      </c>
      <c r="V80" s="9">
        <f t="shared" si="32"/>
        <v>2029</v>
      </c>
      <c r="W80" s="9">
        <f t="shared" si="32"/>
        <v>2030</v>
      </c>
      <c r="X80" s="9">
        <f t="shared" si="32"/>
        <v>2031</v>
      </c>
      <c r="Y80" s="9">
        <f t="shared" si="32"/>
        <v>2032</v>
      </c>
      <c r="Z80" s="9">
        <f t="shared" si="32"/>
        <v>2033</v>
      </c>
      <c r="AA80" s="9">
        <f t="shared" si="32"/>
        <v>2034</v>
      </c>
      <c r="AB80" s="9">
        <f t="shared" si="32"/>
        <v>2035</v>
      </c>
      <c r="AC80" s="9">
        <f t="shared" si="32"/>
        <v>2036</v>
      </c>
      <c r="AD80" s="9">
        <f t="shared" si="32"/>
        <v>2037</v>
      </c>
      <c r="AE80" s="9">
        <f t="shared" si="32"/>
        <v>2038</v>
      </c>
      <c r="AF80" s="9">
        <f t="shared" si="32"/>
        <v>2039</v>
      </c>
      <c r="AG80" s="9">
        <f t="shared" si="32"/>
        <v>2040</v>
      </c>
      <c r="AH80" s="9">
        <f t="shared" si="32"/>
        <v>2041</v>
      </c>
      <c r="AI80" s="9">
        <f t="shared" si="32"/>
        <v>2042</v>
      </c>
      <c r="AJ80" s="9">
        <f t="shared" si="32"/>
        <v>2043</v>
      </c>
      <c r="AK80" s="9">
        <f t="shared" si="32"/>
        <v>2044</v>
      </c>
      <c r="AL80" s="9">
        <f t="shared" si="32"/>
        <v>2045</v>
      </c>
      <c r="AM80" s="9">
        <f t="shared" si="32"/>
        <v>2046</v>
      </c>
      <c r="AN80" s="9">
        <f t="shared" si="32"/>
        <v>2047</v>
      </c>
      <c r="AO80" s="9">
        <f t="shared" si="32"/>
        <v>2048</v>
      </c>
      <c r="AP80" s="9">
        <f t="shared" si="32"/>
        <v>2049</v>
      </c>
      <c r="AQ80" s="9">
        <f t="shared" si="32"/>
        <v>2050</v>
      </c>
    </row>
    <row r="81" spans="1:43" ht="11.25" customHeight="1">
      <c r="B81" s="3" t="s">
        <v>121</v>
      </c>
      <c r="E81" s="3" t="str">
        <f>Currency&amp;"mm"</f>
        <v>CADmm</v>
      </c>
      <c r="F81" s="3" t="s">
        <v>57</v>
      </c>
      <c r="I81" s="70">
        <f>Depreciation!I45</f>
        <v>5.46875</v>
      </c>
      <c r="J81" s="70">
        <f>Depreciation!J45</f>
        <v>14.0625</v>
      </c>
      <c r="K81" s="70">
        <f>Depreciation!K45</f>
        <v>20.3125</v>
      </c>
      <c r="L81" s="70">
        <f>Depreciation!L45</f>
        <v>27.34375</v>
      </c>
      <c r="M81" s="70">
        <f>Depreciation!M45</f>
        <v>35.15625</v>
      </c>
      <c r="N81" s="70">
        <f>Depreciation!N45</f>
        <v>42.96875</v>
      </c>
      <c r="O81" s="70">
        <f>Depreciation!O45</f>
        <v>50.78125</v>
      </c>
      <c r="P81" s="70">
        <f>Depreciation!P45</f>
        <v>58.59375</v>
      </c>
      <c r="Q81" s="70">
        <f>Depreciation!Q45</f>
        <v>66.40625</v>
      </c>
      <c r="R81" s="70">
        <f>Depreciation!R45</f>
        <v>74.21875</v>
      </c>
      <c r="S81" s="70">
        <f>Depreciation!S45</f>
        <v>82.03125</v>
      </c>
      <c r="T81" s="70">
        <f>Depreciation!T45</f>
        <v>89.84375</v>
      </c>
      <c r="U81" s="70">
        <f>Depreciation!U45</f>
        <v>100.3125</v>
      </c>
      <c r="V81" s="70">
        <f>Depreciation!V45</f>
        <v>110.78125</v>
      </c>
      <c r="W81" s="70">
        <f>Depreciation!W45</f>
        <v>118.59375</v>
      </c>
      <c r="X81" s="70">
        <f>Depreciation!X45</f>
        <v>126.40625</v>
      </c>
      <c r="Y81" s="70">
        <f>Depreciation!Y45</f>
        <v>134.21875</v>
      </c>
      <c r="Z81" s="70">
        <f>Depreciation!Z45</f>
        <v>142.03125</v>
      </c>
      <c r="AA81" s="70">
        <f>Depreciation!AA45</f>
        <v>149.84375</v>
      </c>
      <c r="AB81" s="70">
        <f>Depreciation!AB45</f>
        <v>157.65625</v>
      </c>
      <c r="AC81" s="70">
        <f>Depreciation!AC45</f>
        <v>162.65625</v>
      </c>
      <c r="AD81" s="70">
        <f>Depreciation!AD45</f>
        <v>164.53125000000003</v>
      </c>
      <c r="AE81" s="70">
        <f>Depreciation!AE45</f>
        <v>166.09375</v>
      </c>
      <c r="AF81" s="70">
        <f>Depreciation!AF45</f>
        <v>166.875</v>
      </c>
      <c r="AG81" s="70">
        <f>Depreciation!AG45</f>
        <v>166.875</v>
      </c>
      <c r="AH81" s="70">
        <f>Depreciation!AH45</f>
        <v>166.875</v>
      </c>
      <c r="AI81" s="70">
        <f>Depreciation!AI45</f>
        <v>166.875</v>
      </c>
      <c r="AJ81" s="70">
        <f>Depreciation!AJ45</f>
        <v>166.875</v>
      </c>
      <c r="AK81" s="70">
        <f>Depreciation!AK45</f>
        <v>169.53125</v>
      </c>
      <c r="AL81" s="70">
        <f>Depreciation!AL45</f>
        <v>172.1875</v>
      </c>
      <c r="AM81" s="70">
        <f>Depreciation!AM45</f>
        <v>172.1875</v>
      </c>
      <c r="AN81" s="70">
        <f>Depreciation!AN45</f>
        <v>172.1875</v>
      </c>
      <c r="AO81" s="70">
        <f>Depreciation!AO45</f>
        <v>169.53125</v>
      </c>
      <c r="AP81" s="70">
        <f>Depreciation!AP45</f>
        <v>166.875</v>
      </c>
      <c r="AQ81" s="70">
        <f>Depreciation!AQ45</f>
        <v>166.875</v>
      </c>
    </row>
    <row r="82" spans="1:43" ht="11.25" customHeight="1">
      <c r="B82" s="104" t="s">
        <v>122</v>
      </c>
      <c r="C82" s="13"/>
      <c r="D82" s="13"/>
      <c r="E82" s="13" t="s">
        <v>51</v>
      </c>
      <c r="F82" s="13" t="s">
        <v>57</v>
      </c>
      <c r="G82" s="13"/>
      <c r="H82" s="13"/>
      <c r="I82" s="105">
        <f t="shared" ref="I82:AQ82" si="33">I81/I78</f>
        <v>2.5000000000000001E-2</v>
      </c>
      <c r="J82" s="105">
        <f t="shared" si="33"/>
        <v>0.11249999999999996</v>
      </c>
      <c r="K82" s="105">
        <f t="shared" si="33"/>
        <v>0.16250000000000003</v>
      </c>
      <c r="L82" s="105">
        <f t="shared" si="33"/>
        <v>0.17499999999999999</v>
      </c>
      <c r="M82" s="105">
        <f t="shared" si="33"/>
        <v>0.22500000000000001</v>
      </c>
      <c r="N82" s="105">
        <f t="shared" si="33"/>
        <v>0.27500000000000002</v>
      </c>
      <c r="O82" s="105">
        <f t="shared" si="33"/>
        <v>0.32500000000000001</v>
      </c>
      <c r="P82" s="105">
        <f t="shared" si="33"/>
        <v>0.375</v>
      </c>
      <c r="Q82" s="105">
        <f t="shared" si="33"/>
        <v>0.42499999999999999</v>
      </c>
      <c r="R82" s="105">
        <f t="shared" si="33"/>
        <v>0.47499999999999998</v>
      </c>
      <c r="S82" s="105">
        <f t="shared" si="33"/>
        <v>0.52500000000000002</v>
      </c>
      <c r="T82" s="105">
        <f t="shared" si="33"/>
        <v>0.57499999999999996</v>
      </c>
      <c r="U82" s="105">
        <f t="shared" si="33"/>
        <v>0.38214285714285712</v>
      </c>
      <c r="V82" s="105">
        <f t="shared" si="33"/>
        <v>0.70899999999999996</v>
      </c>
      <c r="W82" s="105">
        <f t="shared" si="33"/>
        <v>0.75900000000000001</v>
      </c>
      <c r="X82" s="105">
        <f t="shared" si="33"/>
        <v>0.80900000000000005</v>
      </c>
      <c r="Y82" s="105">
        <f t="shared" si="33"/>
        <v>0.85899999999999999</v>
      </c>
      <c r="Z82" s="105">
        <f t="shared" si="33"/>
        <v>0.90900000000000003</v>
      </c>
      <c r="AA82" s="105">
        <f t="shared" si="33"/>
        <v>0.95899999999999996</v>
      </c>
      <c r="AB82" s="105">
        <f t="shared" si="33"/>
        <v>1.0089999999999999</v>
      </c>
      <c r="AC82" s="105">
        <f t="shared" si="33"/>
        <v>0.61964285714285716</v>
      </c>
      <c r="AD82" s="105">
        <f t="shared" si="33"/>
        <v>1.0530000000000002</v>
      </c>
      <c r="AE82" s="105">
        <f t="shared" si="33"/>
        <v>1.0629999999999999</v>
      </c>
      <c r="AF82" s="105">
        <f t="shared" si="33"/>
        <v>1.0680000000000001</v>
      </c>
      <c r="AG82" s="105">
        <f t="shared" si="33"/>
        <v>1.0680000000000001</v>
      </c>
      <c r="AH82" s="105">
        <f t="shared" si="33"/>
        <v>1.0680000000000001</v>
      </c>
      <c r="AI82" s="105">
        <f t="shared" si="33"/>
        <v>1.0680000000000001</v>
      </c>
      <c r="AJ82" s="105">
        <f t="shared" si="33"/>
        <v>1.0680000000000001</v>
      </c>
      <c r="AK82" s="105">
        <f t="shared" si="33"/>
        <v>0.64583333333333337</v>
      </c>
      <c r="AL82" s="105">
        <f t="shared" si="33"/>
        <v>1.1020000000000001</v>
      </c>
      <c r="AM82" s="105">
        <f t="shared" si="33"/>
        <v>1.1020000000000001</v>
      </c>
      <c r="AN82" s="105">
        <f t="shared" si="33"/>
        <v>1.1020000000000001</v>
      </c>
      <c r="AO82" s="105">
        <f t="shared" si="33"/>
        <v>1.085</v>
      </c>
      <c r="AP82" s="105">
        <f t="shared" si="33"/>
        <v>1.0680000000000001</v>
      </c>
      <c r="AQ82" s="105">
        <f t="shared" si="33"/>
        <v>1.0680000000000001</v>
      </c>
    </row>
    <row r="83" spans="1:43" ht="11.25" customHeight="1">
      <c r="B83" s="15" t="s">
        <v>123</v>
      </c>
      <c r="C83" s="15"/>
      <c r="D83" s="15"/>
      <c r="E83" s="15" t="str">
        <f>Currency&amp;"mm"</f>
        <v>CADmm</v>
      </c>
      <c r="F83" s="15" t="s">
        <v>57</v>
      </c>
      <c r="G83" s="15"/>
      <c r="H83" s="15"/>
      <c r="I83" s="58">
        <f>I81</f>
        <v>5.46875</v>
      </c>
      <c r="J83" s="58">
        <f t="shared" ref="J83:AQ83" si="34">J81</f>
        <v>14.0625</v>
      </c>
      <c r="K83" s="58">
        <f t="shared" si="34"/>
        <v>20.3125</v>
      </c>
      <c r="L83" s="58">
        <f t="shared" si="34"/>
        <v>27.34375</v>
      </c>
      <c r="M83" s="58">
        <f t="shared" si="34"/>
        <v>35.15625</v>
      </c>
      <c r="N83" s="58">
        <f t="shared" si="34"/>
        <v>42.96875</v>
      </c>
      <c r="O83" s="58">
        <f t="shared" si="34"/>
        <v>50.78125</v>
      </c>
      <c r="P83" s="58">
        <f t="shared" si="34"/>
        <v>58.59375</v>
      </c>
      <c r="Q83" s="58">
        <f t="shared" si="34"/>
        <v>66.40625</v>
      </c>
      <c r="R83" s="58">
        <f t="shared" si="34"/>
        <v>74.21875</v>
      </c>
      <c r="S83" s="58">
        <f t="shared" si="34"/>
        <v>82.03125</v>
      </c>
      <c r="T83" s="58">
        <f t="shared" si="34"/>
        <v>89.84375</v>
      </c>
      <c r="U83" s="58">
        <f t="shared" si="34"/>
        <v>100.3125</v>
      </c>
      <c r="V83" s="58">
        <f t="shared" si="34"/>
        <v>110.78125</v>
      </c>
      <c r="W83" s="58">
        <f t="shared" si="34"/>
        <v>118.59375</v>
      </c>
      <c r="X83" s="58">
        <f t="shared" si="34"/>
        <v>126.40625</v>
      </c>
      <c r="Y83" s="58">
        <f t="shared" si="34"/>
        <v>134.21875</v>
      </c>
      <c r="Z83" s="58">
        <f t="shared" si="34"/>
        <v>142.03125</v>
      </c>
      <c r="AA83" s="58">
        <f t="shared" si="34"/>
        <v>149.84375</v>
      </c>
      <c r="AB83" s="58">
        <f t="shared" si="34"/>
        <v>157.65625</v>
      </c>
      <c r="AC83" s="58">
        <f t="shared" si="34"/>
        <v>162.65625</v>
      </c>
      <c r="AD83" s="58">
        <f t="shared" si="34"/>
        <v>164.53125000000003</v>
      </c>
      <c r="AE83" s="58">
        <f t="shared" si="34"/>
        <v>166.09375</v>
      </c>
      <c r="AF83" s="58">
        <f t="shared" si="34"/>
        <v>166.875</v>
      </c>
      <c r="AG83" s="58">
        <f t="shared" si="34"/>
        <v>166.875</v>
      </c>
      <c r="AH83" s="58">
        <f t="shared" si="34"/>
        <v>166.875</v>
      </c>
      <c r="AI83" s="58">
        <f t="shared" si="34"/>
        <v>166.875</v>
      </c>
      <c r="AJ83" s="58">
        <f t="shared" si="34"/>
        <v>166.875</v>
      </c>
      <c r="AK83" s="58">
        <f t="shared" si="34"/>
        <v>169.53125</v>
      </c>
      <c r="AL83" s="58">
        <f t="shared" si="34"/>
        <v>172.1875</v>
      </c>
      <c r="AM83" s="58">
        <f t="shared" si="34"/>
        <v>172.1875</v>
      </c>
      <c r="AN83" s="58">
        <f t="shared" si="34"/>
        <v>172.1875</v>
      </c>
      <c r="AO83" s="58">
        <f t="shared" si="34"/>
        <v>169.53125</v>
      </c>
      <c r="AP83" s="58">
        <f t="shared" si="34"/>
        <v>166.875</v>
      </c>
      <c r="AQ83" s="58">
        <f t="shared" si="34"/>
        <v>166.875</v>
      </c>
    </row>
    <row r="85" spans="1:43" ht="11.25" customHeight="1" thickBot="1">
      <c r="B85" s="9" t="s">
        <v>115</v>
      </c>
      <c r="C85" s="8"/>
      <c r="D85" s="8"/>
      <c r="E85" s="9" t="s">
        <v>48</v>
      </c>
      <c r="F85" s="9" t="s">
        <v>72</v>
      </c>
      <c r="G85" s="8"/>
      <c r="H85" s="8"/>
      <c r="I85" s="9">
        <f>YEAR(Now)</f>
        <v>2016</v>
      </c>
      <c r="J85" s="9">
        <f t="shared" ref="J85:AQ85" si="35">IFERROR(IF(I85+1&gt;End,"",I85+1),"")</f>
        <v>2017</v>
      </c>
      <c r="K85" s="9">
        <f t="shared" si="35"/>
        <v>2018</v>
      </c>
      <c r="L85" s="9">
        <f t="shared" si="35"/>
        <v>2019</v>
      </c>
      <c r="M85" s="9">
        <f t="shared" si="35"/>
        <v>2020</v>
      </c>
      <c r="N85" s="9">
        <f t="shared" si="35"/>
        <v>2021</v>
      </c>
      <c r="O85" s="9">
        <f t="shared" si="35"/>
        <v>2022</v>
      </c>
      <c r="P85" s="9">
        <f t="shared" si="35"/>
        <v>2023</v>
      </c>
      <c r="Q85" s="9">
        <f t="shared" si="35"/>
        <v>2024</v>
      </c>
      <c r="R85" s="9">
        <f t="shared" si="35"/>
        <v>2025</v>
      </c>
      <c r="S85" s="9">
        <f t="shared" si="35"/>
        <v>2026</v>
      </c>
      <c r="T85" s="9">
        <f t="shared" si="35"/>
        <v>2027</v>
      </c>
      <c r="U85" s="9">
        <f t="shared" si="35"/>
        <v>2028</v>
      </c>
      <c r="V85" s="9">
        <f t="shared" si="35"/>
        <v>2029</v>
      </c>
      <c r="W85" s="9">
        <f t="shared" si="35"/>
        <v>2030</v>
      </c>
      <c r="X85" s="9">
        <f t="shared" si="35"/>
        <v>2031</v>
      </c>
      <c r="Y85" s="9">
        <f t="shared" si="35"/>
        <v>2032</v>
      </c>
      <c r="Z85" s="9">
        <f t="shared" si="35"/>
        <v>2033</v>
      </c>
      <c r="AA85" s="9">
        <f t="shared" si="35"/>
        <v>2034</v>
      </c>
      <c r="AB85" s="9">
        <f t="shared" si="35"/>
        <v>2035</v>
      </c>
      <c r="AC85" s="9">
        <f t="shared" si="35"/>
        <v>2036</v>
      </c>
      <c r="AD85" s="9">
        <f t="shared" si="35"/>
        <v>2037</v>
      </c>
      <c r="AE85" s="9">
        <f t="shared" si="35"/>
        <v>2038</v>
      </c>
      <c r="AF85" s="9">
        <f t="shared" si="35"/>
        <v>2039</v>
      </c>
      <c r="AG85" s="9">
        <f t="shared" si="35"/>
        <v>2040</v>
      </c>
      <c r="AH85" s="9">
        <f t="shared" si="35"/>
        <v>2041</v>
      </c>
      <c r="AI85" s="9">
        <f t="shared" si="35"/>
        <v>2042</v>
      </c>
      <c r="AJ85" s="9">
        <f t="shared" si="35"/>
        <v>2043</v>
      </c>
      <c r="AK85" s="9">
        <f t="shared" si="35"/>
        <v>2044</v>
      </c>
      <c r="AL85" s="9">
        <f t="shared" si="35"/>
        <v>2045</v>
      </c>
      <c r="AM85" s="9">
        <f t="shared" si="35"/>
        <v>2046</v>
      </c>
      <c r="AN85" s="9">
        <f t="shared" si="35"/>
        <v>2047</v>
      </c>
      <c r="AO85" s="9">
        <f t="shared" si="35"/>
        <v>2048</v>
      </c>
      <c r="AP85" s="9">
        <f t="shared" si="35"/>
        <v>2049</v>
      </c>
      <c r="AQ85" s="9">
        <f t="shared" si="35"/>
        <v>2050</v>
      </c>
    </row>
    <row r="86" spans="1:43" ht="11.25" customHeight="1">
      <c r="B86" s="3" t="s">
        <v>124</v>
      </c>
      <c r="E86" s="3" t="str">
        <f>Currency&amp;"mm"</f>
        <v>CADmm</v>
      </c>
      <c r="F86" s="3" t="s">
        <v>57</v>
      </c>
      <c r="I86" s="70">
        <v>0</v>
      </c>
      <c r="J86" s="70">
        <f t="shared" ref="J86:AQ86" si="36">IF(J85&gt;End,"",I89 )</f>
        <v>213.28125</v>
      </c>
      <c r="K86" s="70">
        <f t="shared" si="36"/>
        <v>324.21875000000006</v>
      </c>
      <c r="L86" s="70">
        <f t="shared" si="36"/>
        <v>428.90625</v>
      </c>
      <c r="M86" s="70">
        <f t="shared" si="36"/>
        <v>557.8125</v>
      </c>
      <c r="N86" s="70">
        <f t="shared" si="36"/>
        <v>678.90625</v>
      </c>
      <c r="O86" s="70">
        <f t="shared" si="36"/>
        <v>792.1875</v>
      </c>
      <c r="P86" s="70">
        <f t="shared" si="36"/>
        <v>897.65625</v>
      </c>
      <c r="Q86" s="70">
        <f t="shared" si="36"/>
        <v>995.3125</v>
      </c>
      <c r="R86" s="70">
        <f t="shared" si="36"/>
        <v>1085.15625</v>
      </c>
      <c r="S86" s="70">
        <f t="shared" si="36"/>
        <v>1167.1875</v>
      </c>
      <c r="T86" s="70">
        <f t="shared" si="36"/>
        <v>1241.40625</v>
      </c>
      <c r="U86" s="70">
        <f t="shared" si="36"/>
        <v>1307.8125</v>
      </c>
      <c r="V86" s="70">
        <f t="shared" si="36"/>
        <v>1470</v>
      </c>
      <c r="W86" s="70">
        <f t="shared" si="36"/>
        <v>1515.46875</v>
      </c>
      <c r="X86" s="70">
        <f t="shared" si="36"/>
        <v>1553.125</v>
      </c>
      <c r="Y86" s="70">
        <f t="shared" si="36"/>
        <v>1582.96875</v>
      </c>
      <c r="Z86" s="70">
        <f t="shared" si="36"/>
        <v>1605</v>
      </c>
      <c r="AA86" s="70">
        <f t="shared" si="36"/>
        <v>1619.21875</v>
      </c>
      <c r="AB86" s="70">
        <f t="shared" si="36"/>
        <v>1625.625</v>
      </c>
      <c r="AC86" s="70">
        <f t="shared" si="36"/>
        <v>1624.21875</v>
      </c>
      <c r="AD86" s="70">
        <f t="shared" si="36"/>
        <v>1724.0625</v>
      </c>
      <c r="AE86" s="70">
        <f t="shared" si="36"/>
        <v>1715.78125</v>
      </c>
      <c r="AF86" s="70">
        <f t="shared" si="36"/>
        <v>1705.9375</v>
      </c>
      <c r="AG86" s="70">
        <f t="shared" si="36"/>
        <v>1695.3125</v>
      </c>
      <c r="AH86" s="70">
        <f t="shared" si="36"/>
        <v>1684.6875</v>
      </c>
      <c r="AI86" s="70">
        <f t="shared" si="36"/>
        <v>1674.0625</v>
      </c>
      <c r="AJ86" s="70">
        <f t="shared" si="36"/>
        <v>1663.4375</v>
      </c>
      <c r="AK86" s="70">
        <f t="shared" si="36"/>
        <v>1652.8125</v>
      </c>
      <c r="AL86" s="70">
        <f t="shared" si="36"/>
        <v>1745.78125</v>
      </c>
      <c r="AM86" s="70">
        <f t="shared" si="36"/>
        <v>1729.84375</v>
      </c>
      <c r="AN86" s="70">
        <f t="shared" si="36"/>
        <v>1713.90625</v>
      </c>
      <c r="AO86" s="70">
        <f t="shared" si="36"/>
        <v>1697.96875</v>
      </c>
      <c r="AP86" s="70">
        <f t="shared" si="36"/>
        <v>1684.6875</v>
      </c>
      <c r="AQ86" s="70">
        <f t="shared" si="36"/>
        <v>1674.0625</v>
      </c>
    </row>
    <row r="87" spans="1:43" ht="11.25" customHeight="1">
      <c r="B87" s="100" t="s">
        <v>126</v>
      </c>
      <c r="E87" s="3" t="str">
        <f>Currency&amp;"mm"</f>
        <v>CADmm</v>
      </c>
      <c r="F87" s="3" t="s">
        <v>57</v>
      </c>
      <c r="I87" s="34">
        <f t="shared" ref="I87:AQ87" si="37">I78</f>
        <v>218.75</v>
      </c>
      <c r="J87" s="34">
        <f t="shared" si="37"/>
        <v>125.00000000000004</v>
      </c>
      <c r="K87" s="34">
        <f t="shared" si="37"/>
        <v>124.99999999999997</v>
      </c>
      <c r="L87" s="34">
        <f t="shared" si="37"/>
        <v>156.25</v>
      </c>
      <c r="M87" s="34">
        <f t="shared" si="37"/>
        <v>156.25</v>
      </c>
      <c r="N87" s="34">
        <f t="shared" si="37"/>
        <v>156.25</v>
      </c>
      <c r="O87" s="34">
        <f t="shared" si="37"/>
        <v>156.25</v>
      </c>
      <c r="P87" s="34">
        <f t="shared" si="37"/>
        <v>156.25</v>
      </c>
      <c r="Q87" s="34">
        <f t="shared" si="37"/>
        <v>156.25</v>
      </c>
      <c r="R87" s="34">
        <f t="shared" si="37"/>
        <v>156.25</v>
      </c>
      <c r="S87" s="34">
        <f t="shared" si="37"/>
        <v>156.25</v>
      </c>
      <c r="T87" s="34">
        <f t="shared" si="37"/>
        <v>156.25</v>
      </c>
      <c r="U87" s="34">
        <f t="shared" si="37"/>
        <v>262.5</v>
      </c>
      <c r="V87" s="34">
        <f t="shared" si="37"/>
        <v>156.25</v>
      </c>
      <c r="W87" s="34">
        <f t="shared" si="37"/>
        <v>156.25</v>
      </c>
      <c r="X87" s="34">
        <f t="shared" si="37"/>
        <v>156.25</v>
      </c>
      <c r="Y87" s="34">
        <f t="shared" si="37"/>
        <v>156.25</v>
      </c>
      <c r="Z87" s="34">
        <f t="shared" si="37"/>
        <v>156.25</v>
      </c>
      <c r="AA87" s="34">
        <f t="shared" si="37"/>
        <v>156.25</v>
      </c>
      <c r="AB87" s="34">
        <f t="shared" si="37"/>
        <v>156.25</v>
      </c>
      <c r="AC87" s="34">
        <f t="shared" si="37"/>
        <v>262.5</v>
      </c>
      <c r="AD87" s="34">
        <f t="shared" si="37"/>
        <v>156.25</v>
      </c>
      <c r="AE87" s="34">
        <f t="shared" si="37"/>
        <v>156.25</v>
      </c>
      <c r="AF87" s="34">
        <f t="shared" si="37"/>
        <v>156.25</v>
      </c>
      <c r="AG87" s="34">
        <f t="shared" si="37"/>
        <v>156.25</v>
      </c>
      <c r="AH87" s="34">
        <f t="shared" si="37"/>
        <v>156.25</v>
      </c>
      <c r="AI87" s="34">
        <f t="shared" si="37"/>
        <v>156.25</v>
      </c>
      <c r="AJ87" s="34">
        <f t="shared" si="37"/>
        <v>156.25</v>
      </c>
      <c r="AK87" s="34">
        <f t="shared" si="37"/>
        <v>262.5</v>
      </c>
      <c r="AL87" s="34">
        <f t="shared" si="37"/>
        <v>156.25</v>
      </c>
      <c r="AM87" s="34">
        <f t="shared" si="37"/>
        <v>156.25</v>
      </c>
      <c r="AN87" s="34">
        <f t="shared" si="37"/>
        <v>156.25</v>
      </c>
      <c r="AO87" s="34">
        <f t="shared" si="37"/>
        <v>156.25</v>
      </c>
      <c r="AP87" s="34">
        <f t="shared" si="37"/>
        <v>156.25</v>
      </c>
      <c r="AQ87" s="34">
        <f t="shared" si="37"/>
        <v>156.25</v>
      </c>
    </row>
    <row r="88" spans="1:43" ht="11.25" customHeight="1">
      <c r="B88" s="101" t="s">
        <v>127</v>
      </c>
      <c r="C88" s="13"/>
      <c r="D88" s="13"/>
      <c r="E88" s="13" t="str">
        <f>Currency&amp;"mm"</f>
        <v>CADmm</v>
      </c>
      <c r="F88" s="13" t="s">
        <v>57</v>
      </c>
      <c r="G88" s="13"/>
      <c r="H88" s="13"/>
      <c r="I88" s="94">
        <f t="shared" ref="I88:AQ88" si="38">-I83</f>
        <v>-5.46875</v>
      </c>
      <c r="J88" s="94">
        <f t="shared" si="38"/>
        <v>-14.0625</v>
      </c>
      <c r="K88" s="94">
        <f t="shared" si="38"/>
        <v>-20.3125</v>
      </c>
      <c r="L88" s="94">
        <f t="shared" si="38"/>
        <v>-27.34375</v>
      </c>
      <c r="M88" s="94">
        <f t="shared" si="38"/>
        <v>-35.15625</v>
      </c>
      <c r="N88" s="94">
        <f t="shared" si="38"/>
        <v>-42.96875</v>
      </c>
      <c r="O88" s="94">
        <f t="shared" si="38"/>
        <v>-50.78125</v>
      </c>
      <c r="P88" s="94">
        <f t="shared" si="38"/>
        <v>-58.59375</v>
      </c>
      <c r="Q88" s="94">
        <f t="shared" si="38"/>
        <v>-66.40625</v>
      </c>
      <c r="R88" s="94">
        <f t="shared" si="38"/>
        <v>-74.21875</v>
      </c>
      <c r="S88" s="94">
        <f t="shared" si="38"/>
        <v>-82.03125</v>
      </c>
      <c r="T88" s="94">
        <f t="shared" si="38"/>
        <v>-89.84375</v>
      </c>
      <c r="U88" s="94">
        <f t="shared" si="38"/>
        <v>-100.3125</v>
      </c>
      <c r="V88" s="94">
        <f t="shared" si="38"/>
        <v>-110.78125</v>
      </c>
      <c r="W88" s="94">
        <f t="shared" si="38"/>
        <v>-118.59375</v>
      </c>
      <c r="X88" s="94">
        <f t="shared" si="38"/>
        <v>-126.40625</v>
      </c>
      <c r="Y88" s="94">
        <f t="shared" si="38"/>
        <v>-134.21875</v>
      </c>
      <c r="Z88" s="94">
        <f t="shared" si="38"/>
        <v>-142.03125</v>
      </c>
      <c r="AA88" s="94">
        <f t="shared" si="38"/>
        <v>-149.84375</v>
      </c>
      <c r="AB88" s="94">
        <f t="shared" si="38"/>
        <v>-157.65625</v>
      </c>
      <c r="AC88" s="94">
        <f t="shared" si="38"/>
        <v>-162.65625</v>
      </c>
      <c r="AD88" s="94">
        <f t="shared" si="38"/>
        <v>-164.53125000000003</v>
      </c>
      <c r="AE88" s="94">
        <f t="shared" si="38"/>
        <v>-166.09375</v>
      </c>
      <c r="AF88" s="94">
        <f t="shared" si="38"/>
        <v>-166.875</v>
      </c>
      <c r="AG88" s="94">
        <f t="shared" si="38"/>
        <v>-166.875</v>
      </c>
      <c r="AH88" s="94">
        <f t="shared" si="38"/>
        <v>-166.875</v>
      </c>
      <c r="AI88" s="94">
        <f t="shared" si="38"/>
        <v>-166.875</v>
      </c>
      <c r="AJ88" s="94">
        <f t="shared" si="38"/>
        <v>-166.875</v>
      </c>
      <c r="AK88" s="94">
        <f t="shared" si="38"/>
        <v>-169.53125</v>
      </c>
      <c r="AL88" s="94">
        <f t="shared" si="38"/>
        <v>-172.1875</v>
      </c>
      <c r="AM88" s="94">
        <f t="shared" si="38"/>
        <v>-172.1875</v>
      </c>
      <c r="AN88" s="94">
        <f t="shared" si="38"/>
        <v>-172.1875</v>
      </c>
      <c r="AO88" s="94">
        <f t="shared" si="38"/>
        <v>-169.53125</v>
      </c>
      <c r="AP88" s="94">
        <f t="shared" si="38"/>
        <v>-166.875</v>
      </c>
      <c r="AQ88" s="94">
        <f t="shared" si="38"/>
        <v>-166.875</v>
      </c>
    </row>
    <row r="89" spans="1:43" ht="11.25" customHeight="1">
      <c r="B89" s="15" t="s">
        <v>125</v>
      </c>
      <c r="C89" s="15"/>
      <c r="D89" s="15"/>
      <c r="E89" s="15" t="str">
        <f>Currency&amp;"mm"</f>
        <v>CADmm</v>
      </c>
      <c r="F89" s="15" t="s">
        <v>57</v>
      </c>
      <c r="G89" s="15"/>
      <c r="H89" s="15"/>
      <c r="I89" s="58">
        <f>SUM(I86:I88)</f>
        <v>213.28125</v>
      </c>
      <c r="J89" s="58">
        <f t="shared" ref="J89:AQ89" si="39">SUM(J86:J88)</f>
        <v>324.21875000000006</v>
      </c>
      <c r="K89" s="58">
        <f t="shared" si="39"/>
        <v>428.90625</v>
      </c>
      <c r="L89" s="58">
        <f t="shared" si="39"/>
        <v>557.8125</v>
      </c>
      <c r="M89" s="58">
        <f t="shared" si="39"/>
        <v>678.90625</v>
      </c>
      <c r="N89" s="58">
        <f t="shared" si="39"/>
        <v>792.1875</v>
      </c>
      <c r="O89" s="58">
        <f t="shared" si="39"/>
        <v>897.65625</v>
      </c>
      <c r="P89" s="58">
        <f t="shared" si="39"/>
        <v>995.3125</v>
      </c>
      <c r="Q89" s="58">
        <f t="shared" si="39"/>
        <v>1085.15625</v>
      </c>
      <c r="R89" s="58">
        <f t="shared" si="39"/>
        <v>1167.1875</v>
      </c>
      <c r="S89" s="58">
        <f t="shared" si="39"/>
        <v>1241.40625</v>
      </c>
      <c r="T89" s="58">
        <f t="shared" si="39"/>
        <v>1307.8125</v>
      </c>
      <c r="U89" s="58">
        <f t="shared" si="39"/>
        <v>1470</v>
      </c>
      <c r="V89" s="58">
        <f t="shared" si="39"/>
        <v>1515.46875</v>
      </c>
      <c r="W89" s="58">
        <f t="shared" si="39"/>
        <v>1553.125</v>
      </c>
      <c r="X89" s="58">
        <f t="shared" si="39"/>
        <v>1582.96875</v>
      </c>
      <c r="Y89" s="58">
        <f t="shared" si="39"/>
        <v>1605</v>
      </c>
      <c r="Z89" s="58">
        <f t="shared" si="39"/>
        <v>1619.21875</v>
      </c>
      <c r="AA89" s="58">
        <f t="shared" si="39"/>
        <v>1625.625</v>
      </c>
      <c r="AB89" s="58">
        <f t="shared" si="39"/>
        <v>1624.21875</v>
      </c>
      <c r="AC89" s="58">
        <f t="shared" si="39"/>
        <v>1724.0625</v>
      </c>
      <c r="AD89" s="58">
        <f t="shared" si="39"/>
        <v>1715.78125</v>
      </c>
      <c r="AE89" s="58">
        <f t="shared" si="39"/>
        <v>1705.9375</v>
      </c>
      <c r="AF89" s="58">
        <f t="shared" si="39"/>
        <v>1695.3125</v>
      </c>
      <c r="AG89" s="58">
        <f t="shared" si="39"/>
        <v>1684.6875</v>
      </c>
      <c r="AH89" s="58">
        <f t="shared" si="39"/>
        <v>1674.0625</v>
      </c>
      <c r="AI89" s="58">
        <f t="shared" si="39"/>
        <v>1663.4375</v>
      </c>
      <c r="AJ89" s="58">
        <f t="shared" si="39"/>
        <v>1652.8125</v>
      </c>
      <c r="AK89" s="58">
        <f t="shared" si="39"/>
        <v>1745.78125</v>
      </c>
      <c r="AL89" s="58">
        <f t="shared" si="39"/>
        <v>1729.84375</v>
      </c>
      <c r="AM89" s="58">
        <f t="shared" si="39"/>
        <v>1713.90625</v>
      </c>
      <c r="AN89" s="58">
        <f t="shared" si="39"/>
        <v>1697.96875</v>
      </c>
      <c r="AO89" s="58">
        <f t="shared" si="39"/>
        <v>1684.6875</v>
      </c>
      <c r="AP89" s="58">
        <f t="shared" si="39"/>
        <v>1674.0625</v>
      </c>
      <c r="AQ89" s="58">
        <f t="shared" si="39"/>
        <v>1663.4375</v>
      </c>
    </row>
    <row r="91" spans="1:43" ht="11.25" customHeight="1">
      <c r="A91" s="3" t="s">
        <v>0</v>
      </c>
      <c r="B91" s="4" t="s">
        <v>136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ht="11.25" customHeight="1">
      <c r="I92" s="133">
        <v>1</v>
      </c>
      <c r="J92" s="133">
        <f t="shared" ref="J92:AQ92" si="40">IF(J93="","",I92+1)</f>
        <v>2</v>
      </c>
      <c r="K92" s="133">
        <f t="shared" si="40"/>
        <v>3</v>
      </c>
      <c r="L92" s="133">
        <f t="shared" si="40"/>
        <v>4</v>
      </c>
      <c r="M92" s="133">
        <f t="shared" si="40"/>
        <v>5</v>
      </c>
      <c r="N92" s="133">
        <f t="shared" si="40"/>
        <v>6</v>
      </c>
      <c r="O92" s="133">
        <f t="shared" si="40"/>
        <v>7</v>
      </c>
      <c r="P92" s="133">
        <f t="shared" si="40"/>
        <v>8</v>
      </c>
      <c r="Q92" s="133">
        <f t="shared" si="40"/>
        <v>9</v>
      </c>
      <c r="R92" s="133">
        <f t="shared" si="40"/>
        <v>10</v>
      </c>
      <c r="S92" s="133">
        <f t="shared" si="40"/>
        <v>11</v>
      </c>
      <c r="T92" s="133">
        <f t="shared" si="40"/>
        <v>12</v>
      </c>
      <c r="U92" s="133">
        <f t="shared" si="40"/>
        <v>13</v>
      </c>
      <c r="V92" s="133">
        <f t="shared" si="40"/>
        <v>14</v>
      </c>
      <c r="W92" s="133">
        <f t="shared" si="40"/>
        <v>15</v>
      </c>
      <c r="X92" s="133">
        <f t="shared" si="40"/>
        <v>16</v>
      </c>
      <c r="Y92" s="133">
        <f t="shared" si="40"/>
        <v>17</v>
      </c>
      <c r="Z92" s="133">
        <f t="shared" si="40"/>
        <v>18</v>
      </c>
      <c r="AA92" s="133">
        <f t="shared" si="40"/>
        <v>19</v>
      </c>
      <c r="AB92" s="133">
        <f t="shared" si="40"/>
        <v>20</v>
      </c>
      <c r="AC92" s="133">
        <f t="shared" si="40"/>
        <v>21</v>
      </c>
      <c r="AD92" s="133">
        <f t="shared" si="40"/>
        <v>22</v>
      </c>
      <c r="AE92" s="133">
        <f t="shared" si="40"/>
        <v>23</v>
      </c>
      <c r="AF92" s="133">
        <f t="shared" si="40"/>
        <v>24</v>
      </c>
      <c r="AG92" s="133">
        <f t="shared" si="40"/>
        <v>25</v>
      </c>
      <c r="AH92" s="133">
        <f t="shared" si="40"/>
        <v>26</v>
      </c>
      <c r="AI92" s="133">
        <f t="shared" si="40"/>
        <v>27</v>
      </c>
      <c r="AJ92" s="133">
        <f t="shared" si="40"/>
        <v>28</v>
      </c>
      <c r="AK92" s="133">
        <f t="shared" si="40"/>
        <v>29</v>
      </c>
      <c r="AL92" s="133">
        <f t="shared" si="40"/>
        <v>30</v>
      </c>
      <c r="AM92" s="133">
        <f t="shared" si="40"/>
        <v>31</v>
      </c>
      <c r="AN92" s="133">
        <f t="shared" si="40"/>
        <v>32</v>
      </c>
      <c r="AO92" s="133">
        <f t="shared" si="40"/>
        <v>33</v>
      </c>
      <c r="AP92" s="133">
        <f t="shared" si="40"/>
        <v>34</v>
      </c>
      <c r="AQ92" s="133">
        <f t="shared" si="40"/>
        <v>35</v>
      </c>
    </row>
    <row r="93" spans="1:43" ht="11.25" customHeight="1" thickBot="1">
      <c r="B93" s="9"/>
      <c r="C93" s="8"/>
      <c r="D93" s="8"/>
      <c r="E93" s="9" t="s">
        <v>48</v>
      </c>
      <c r="F93" s="9" t="s">
        <v>72</v>
      </c>
      <c r="G93" s="8"/>
      <c r="H93" s="8"/>
      <c r="I93" s="9">
        <f>YEAR(Now)</f>
        <v>2016</v>
      </c>
      <c r="J93" s="9">
        <f t="shared" ref="J93:AQ93" si="41">IFERROR(IF(I93+1&gt;End,"",I93+1),"")</f>
        <v>2017</v>
      </c>
      <c r="K93" s="9">
        <f t="shared" si="41"/>
        <v>2018</v>
      </c>
      <c r="L93" s="9">
        <f t="shared" si="41"/>
        <v>2019</v>
      </c>
      <c r="M93" s="9">
        <f t="shared" si="41"/>
        <v>2020</v>
      </c>
      <c r="N93" s="9">
        <f t="shared" si="41"/>
        <v>2021</v>
      </c>
      <c r="O93" s="9">
        <f t="shared" si="41"/>
        <v>2022</v>
      </c>
      <c r="P93" s="9">
        <f t="shared" si="41"/>
        <v>2023</v>
      </c>
      <c r="Q93" s="9">
        <f t="shared" si="41"/>
        <v>2024</v>
      </c>
      <c r="R93" s="9">
        <f t="shared" si="41"/>
        <v>2025</v>
      </c>
      <c r="S93" s="9">
        <f t="shared" si="41"/>
        <v>2026</v>
      </c>
      <c r="T93" s="9">
        <f t="shared" si="41"/>
        <v>2027</v>
      </c>
      <c r="U93" s="9">
        <f t="shared" si="41"/>
        <v>2028</v>
      </c>
      <c r="V93" s="9">
        <f t="shared" si="41"/>
        <v>2029</v>
      </c>
      <c r="W93" s="9">
        <f t="shared" si="41"/>
        <v>2030</v>
      </c>
      <c r="X93" s="9">
        <f t="shared" si="41"/>
        <v>2031</v>
      </c>
      <c r="Y93" s="9">
        <f t="shared" si="41"/>
        <v>2032</v>
      </c>
      <c r="Z93" s="9">
        <f t="shared" si="41"/>
        <v>2033</v>
      </c>
      <c r="AA93" s="9">
        <f t="shared" si="41"/>
        <v>2034</v>
      </c>
      <c r="AB93" s="9">
        <f t="shared" si="41"/>
        <v>2035</v>
      </c>
      <c r="AC93" s="9">
        <f t="shared" si="41"/>
        <v>2036</v>
      </c>
      <c r="AD93" s="9">
        <f t="shared" si="41"/>
        <v>2037</v>
      </c>
      <c r="AE93" s="9">
        <f t="shared" si="41"/>
        <v>2038</v>
      </c>
      <c r="AF93" s="9">
        <f t="shared" si="41"/>
        <v>2039</v>
      </c>
      <c r="AG93" s="9">
        <f t="shared" si="41"/>
        <v>2040</v>
      </c>
      <c r="AH93" s="9">
        <f t="shared" si="41"/>
        <v>2041</v>
      </c>
      <c r="AI93" s="9">
        <f t="shared" si="41"/>
        <v>2042</v>
      </c>
      <c r="AJ93" s="9">
        <f t="shared" si="41"/>
        <v>2043</v>
      </c>
      <c r="AK93" s="9">
        <f t="shared" si="41"/>
        <v>2044</v>
      </c>
      <c r="AL93" s="9">
        <f t="shared" si="41"/>
        <v>2045</v>
      </c>
      <c r="AM93" s="9">
        <f t="shared" si="41"/>
        <v>2046</v>
      </c>
      <c r="AN93" s="9">
        <f t="shared" si="41"/>
        <v>2047</v>
      </c>
      <c r="AO93" s="9">
        <f t="shared" si="41"/>
        <v>2048</v>
      </c>
      <c r="AP93" s="9">
        <f t="shared" si="41"/>
        <v>2049</v>
      </c>
      <c r="AQ93" s="9">
        <f t="shared" si="41"/>
        <v>2050</v>
      </c>
    </row>
    <row r="94" spans="1:43" ht="11.25" customHeight="1">
      <c r="B94" s="3" t="s">
        <v>151</v>
      </c>
      <c r="I94" s="70">
        <f>'Debt Schedule'!I9</f>
        <v>0</v>
      </c>
      <c r="J94" s="70">
        <f>'Debt Schedule'!J9</f>
        <v>166.16560175781453</v>
      </c>
      <c r="K94" s="70">
        <f>'Debt Schedule'!K9</f>
        <v>270.99549414035221</v>
      </c>
      <c r="L94" s="70">
        <f>'Debt Schedule'!L9</f>
        <v>379.65610766654061</v>
      </c>
      <c r="M94" s="70">
        <f>'Debt Schedule'!M9</f>
        <v>513.60336082338995</v>
      </c>
      <c r="N94" s="70">
        <f>'Debt Schedule'!N9</f>
        <v>484.1386098885755</v>
      </c>
      <c r="O94" s="70">
        <f>'Debt Schedule'!O9</f>
        <v>454.67385895376094</v>
      </c>
      <c r="P94" s="70">
        <f>'Debt Schedule'!P9</f>
        <v>425.20910801894632</v>
      </c>
      <c r="Q94" s="70">
        <f>'Debt Schedule'!Q9</f>
        <v>395.74435708413176</v>
      </c>
      <c r="R94" s="70">
        <f>'Debt Schedule'!R9</f>
        <v>366.27960614931726</v>
      </c>
      <c r="S94" s="70">
        <f>'Debt Schedule'!S9</f>
        <v>336.8148552145027</v>
      </c>
      <c r="T94" s="70">
        <f>'Debt Schedule'!T9</f>
        <v>307.35010427968808</v>
      </c>
      <c r="U94" s="70">
        <f>'Debt Schedule'!U9</f>
        <v>277.88535334487358</v>
      </c>
      <c r="V94" s="70">
        <f>'Debt Schedule'!V9</f>
        <v>248.42060241005902</v>
      </c>
      <c r="W94" s="70">
        <f>'Debt Schedule'!W9</f>
        <v>218.95585147524446</v>
      </c>
      <c r="X94" s="70">
        <f>'Debt Schedule'!X9</f>
        <v>189.4911005404299</v>
      </c>
      <c r="Y94" s="70">
        <f>'Debt Schedule'!Y9</f>
        <v>160.02634960561537</v>
      </c>
      <c r="Z94" s="70">
        <f>'Debt Schedule'!Z9</f>
        <v>130.56159867080083</v>
      </c>
      <c r="AA94" s="70">
        <f>'Debt Schedule'!AA9</f>
        <v>101.09684773598626</v>
      </c>
      <c r="AB94" s="70">
        <f>'Debt Schedule'!AB9</f>
        <v>71.632096801171713</v>
      </c>
      <c r="AC94" s="70">
        <f>'Debt Schedule'!AC9</f>
        <v>42.167345866357167</v>
      </c>
      <c r="AD94" s="70">
        <f>'Debt Schedule'!AD9</f>
        <v>20.188426794925345</v>
      </c>
      <c r="AE94" s="70">
        <f>'Debt Schedule'!AE9</f>
        <v>4.614497553125811</v>
      </c>
      <c r="AF94" s="70">
        <f>'Debt Schedule'!AF9</f>
        <v>2.3092638912203256E-14</v>
      </c>
      <c r="AG94" s="70">
        <f>'Debt Schedule'!AG9</f>
        <v>2.3092638912203256E-14</v>
      </c>
      <c r="AH94" s="70">
        <f>'Debt Schedule'!AH9</f>
        <v>2.3092638912203256E-14</v>
      </c>
      <c r="AI94" s="70">
        <f>'Debt Schedule'!AI9</f>
        <v>2.3092638912203256E-14</v>
      </c>
      <c r="AJ94" s="70">
        <f>'Debt Schedule'!AJ9</f>
        <v>2.3092638912203256E-14</v>
      </c>
      <c r="AK94" s="70">
        <f>'Debt Schedule'!AK9</f>
        <v>2.3092638912203256E-14</v>
      </c>
      <c r="AL94" s="70">
        <f>'Debt Schedule'!AL9</f>
        <v>2.3092638912203256E-14</v>
      </c>
      <c r="AM94" s="70">
        <f>'Debt Schedule'!AM9</f>
        <v>2.3092638912203256E-14</v>
      </c>
      <c r="AN94" s="70">
        <f>'Debt Schedule'!AN9</f>
        <v>2.3092638912203256E-14</v>
      </c>
      <c r="AO94" s="70">
        <f>'Debt Schedule'!AO9</f>
        <v>2.3092638912203256E-14</v>
      </c>
      <c r="AP94" s="70">
        <f>'Debt Schedule'!AP9</f>
        <v>2.3092638912203256E-14</v>
      </c>
      <c r="AQ94" s="70">
        <f>'Debt Schedule'!AQ9</f>
        <v>2.3092638912203256E-14</v>
      </c>
    </row>
    <row r="95" spans="1:43" ht="11.25" customHeight="1">
      <c r="B95" s="39" t="s">
        <v>171</v>
      </c>
      <c r="I95" s="70">
        <f>'Debt Schedule'!I10</f>
        <v>129.94377459066629</v>
      </c>
      <c r="J95" s="70">
        <f>'Debt Schedule'!J10</f>
        <v>77.575334155063913</v>
      </c>
      <c r="K95" s="70">
        <f>'Debt Schedule'!K10</f>
        <v>77.793014597534778</v>
      </c>
      <c r="L95" s="70">
        <f>'Debt Schedule'!L10</f>
        <v>94.687876656735043</v>
      </c>
      <c r="M95" s="70">
        <f>'Debt Schedule'!M10</f>
        <v>0</v>
      </c>
      <c r="N95" s="70">
        <f>'Debt Schedule'!N10</f>
        <v>0</v>
      </c>
      <c r="O95" s="70">
        <f>'Debt Schedule'!O10</f>
        <v>0</v>
      </c>
      <c r="P95" s="70">
        <f>'Debt Schedule'!P10</f>
        <v>0</v>
      </c>
      <c r="Q95" s="70">
        <f>'Debt Schedule'!Q10</f>
        <v>0</v>
      </c>
      <c r="R95" s="70">
        <f>'Debt Schedule'!R10</f>
        <v>0</v>
      </c>
      <c r="S95" s="70">
        <f>'Debt Schedule'!S10</f>
        <v>0</v>
      </c>
      <c r="T95" s="70">
        <f>'Debt Schedule'!T10</f>
        <v>0</v>
      </c>
      <c r="U95" s="70">
        <f>'Debt Schedule'!U10</f>
        <v>0</v>
      </c>
      <c r="V95" s="70">
        <f>'Debt Schedule'!V10</f>
        <v>0</v>
      </c>
      <c r="W95" s="70">
        <f>'Debt Schedule'!W10</f>
        <v>0</v>
      </c>
      <c r="X95" s="70">
        <f>'Debt Schedule'!X10</f>
        <v>0</v>
      </c>
      <c r="Y95" s="70">
        <f>'Debt Schedule'!Y10</f>
        <v>0</v>
      </c>
      <c r="Z95" s="70">
        <f>'Debt Schedule'!Z10</f>
        <v>0</v>
      </c>
      <c r="AA95" s="70">
        <f>'Debt Schedule'!AA10</f>
        <v>0</v>
      </c>
      <c r="AB95" s="70">
        <f>'Debt Schedule'!AB10</f>
        <v>0</v>
      </c>
      <c r="AC95" s="70">
        <f>'Debt Schedule'!AC10</f>
        <v>0</v>
      </c>
      <c r="AD95" s="70">
        <f>'Debt Schedule'!AD10</f>
        <v>0</v>
      </c>
      <c r="AE95" s="70">
        <f>'Debt Schedule'!AE10</f>
        <v>0</v>
      </c>
      <c r="AF95" s="70">
        <f>'Debt Schedule'!AF10</f>
        <v>0</v>
      </c>
      <c r="AG95" s="70">
        <f>'Debt Schedule'!AG10</f>
        <v>0</v>
      </c>
      <c r="AH95" s="70">
        <f>'Debt Schedule'!AH10</f>
        <v>0</v>
      </c>
      <c r="AI95" s="70">
        <f>'Debt Schedule'!AI10</f>
        <v>0</v>
      </c>
      <c r="AJ95" s="70">
        <f>'Debt Schedule'!AJ10</f>
        <v>0</v>
      </c>
      <c r="AK95" s="70">
        <f>'Debt Schedule'!AK10</f>
        <v>0</v>
      </c>
      <c r="AL95" s="70">
        <f>'Debt Schedule'!AL10</f>
        <v>0</v>
      </c>
      <c r="AM95" s="70">
        <f>'Debt Schedule'!AM10</f>
        <v>0</v>
      </c>
      <c r="AN95" s="70">
        <f>'Debt Schedule'!AN10</f>
        <v>0</v>
      </c>
      <c r="AO95" s="70">
        <f>'Debt Schedule'!AO10</f>
        <v>0</v>
      </c>
      <c r="AP95" s="70">
        <f>'Debt Schedule'!AP10</f>
        <v>0</v>
      </c>
      <c r="AQ95" s="70">
        <f>'Debt Schedule'!AQ10</f>
        <v>0</v>
      </c>
    </row>
    <row r="96" spans="1:43" ht="11.25" customHeight="1">
      <c r="B96" s="39" t="s">
        <v>181</v>
      </c>
      <c r="I96" s="70">
        <f>'Debt Schedule'!I11</f>
        <v>4.3685045273572687</v>
      </c>
      <c r="J96" s="70">
        <f>'Debt Schedule'!J11</f>
        <v>7.1235277862805324</v>
      </c>
      <c r="K96" s="70">
        <f>'Debt Schedule'!K11</f>
        <v>9.9786220714497684</v>
      </c>
      <c r="L96" s="70">
        <f>'Debt Schedule'!L11</f>
        <v>13.497821240238666</v>
      </c>
      <c r="M96" s="70">
        <f>'Debt Schedule'!M11</f>
        <v>0</v>
      </c>
      <c r="N96" s="70">
        <f>'Debt Schedule'!N11</f>
        <v>0</v>
      </c>
      <c r="O96" s="70">
        <f>'Debt Schedule'!O11</f>
        <v>0</v>
      </c>
      <c r="P96" s="70">
        <f>'Debt Schedule'!P11</f>
        <v>0</v>
      </c>
      <c r="Q96" s="70">
        <f>'Debt Schedule'!Q11</f>
        <v>0</v>
      </c>
      <c r="R96" s="70">
        <f>'Debt Schedule'!R11</f>
        <v>0</v>
      </c>
      <c r="S96" s="70">
        <f>'Debt Schedule'!S11</f>
        <v>0</v>
      </c>
      <c r="T96" s="70">
        <f>'Debt Schedule'!T11</f>
        <v>0</v>
      </c>
      <c r="U96" s="70">
        <f>'Debt Schedule'!U11</f>
        <v>0</v>
      </c>
      <c r="V96" s="70">
        <f>'Debt Schedule'!V11</f>
        <v>0</v>
      </c>
      <c r="W96" s="70">
        <f>'Debt Schedule'!W11</f>
        <v>0</v>
      </c>
      <c r="X96" s="70">
        <f>'Debt Schedule'!X11</f>
        <v>0</v>
      </c>
      <c r="Y96" s="70">
        <f>'Debt Schedule'!Y11</f>
        <v>0</v>
      </c>
      <c r="Z96" s="70">
        <f>'Debt Schedule'!Z11</f>
        <v>0</v>
      </c>
      <c r="AA96" s="70">
        <f>'Debt Schedule'!AA11</f>
        <v>0</v>
      </c>
      <c r="AB96" s="70">
        <f>'Debt Schedule'!AB11</f>
        <v>0</v>
      </c>
      <c r="AC96" s="70">
        <f>'Debt Schedule'!AC11</f>
        <v>0</v>
      </c>
      <c r="AD96" s="70">
        <f>'Debt Schedule'!AD11</f>
        <v>0</v>
      </c>
      <c r="AE96" s="70">
        <f>'Debt Schedule'!AE11</f>
        <v>0</v>
      </c>
      <c r="AF96" s="70">
        <f>'Debt Schedule'!AF11</f>
        <v>0</v>
      </c>
      <c r="AG96" s="70">
        <f>'Debt Schedule'!AG11</f>
        <v>0</v>
      </c>
      <c r="AH96" s="70">
        <f>'Debt Schedule'!AH11</f>
        <v>0</v>
      </c>
      <c r="AI96" s="70">
        <f>'Debt Schedule'!AI11</f>
        <v>0</v>
      </c>
      <c r="AJ96" s="70">
        <f>'Debt Schedule'!AJ11</f>
        <v>0</v>
      </c>
      <c r="AK96" s="70">
        <f>'Debt Schedule'!AK11</f>
        <v>0</v>
      </c>
      <c r="AL96" s="70">
        <f>'Debt Schedule'!AL11</f>
        <v>0</v>
      </c>
      <c r="AM96" s="70">
        <f>'Debt Schedule'!AM11</f>
        <v>0</v>
      </c>
      <c r="AN96" s="70">
        <f>'Debt Schedule'!AN11</f>
        <v>0</v>
      </c>
      <c r="AO96" s="70">
        <f>'Debt Schedule'!AO11</f>
        <v>0</v>
      </c>
      <c r="AP96" s="70">
        <f>'Debt Schedule'!AP11</f>
        <v>0</v>
      </c>
      <c r="AQ96" s="70">
        <f>'Debt Schedule'!AQ11</f>
        <v>0</v>
      </c>
    </row>
    <row r="97" spans="1:43" ht="11.25" customHeight="1">
      <c r="B97" s="39" t="s">
        <v>172</v>
      </c>
      <c r="I97" s="70">
        <f>'Debt Schedule'!I12</f>
        <v>0</v>
      </c>
      <c r="J97" s="70">
        <f>'Debt Schedule'!J12</f>
        <v>0</v>
      </c>
      <c r="K97" s="70">
        <f>'Debt Schedule'!K12</f>
        <v>0</v>
      </c>
      <c r="L97" s="70">
        <f>'Debt Schedule'!L12</f>
        <v>0</v>
      </c>
      <c r="M97" s="70">
        <f>'Debt Schedule'!M12</f>
        <v>-23.985035090477677</v>
      </c>
      <c r="N97" s="70">
        <f>'Debt Schedule'!N12</f>
        <v>-23.985035090477677</v>
      </c>
      <c r="O97" s="70">
        <f>'Debt Schedule'!O12</f>
        <v>-23.985035090477677</v>
      </c>
      <c r="P97" s="70">
        <f>'Debt Schedule'!P12</f>
        <v>-23.985035090477677</v>
      </c>
      <c r="Q97" s="70">
        <f>'Debt Schedule'!Q12</f>
        <v>-23.985035090477677</v>
      </c>
      <c r="R97" s="70">
        <f>'Debt Schedule'!R12</f>
        <v>-23.985035090477677</v>
      </c>
      <c r="S97" s="70">
        <f>'Debt Schedule'!S12</f>
        <v>-23.985035090477677</v>
      </c>
      <c r="T97" s="70">
        <f>'Debt Schedule'!T12</f>
        <v>-23.985035090477677</v>
      </c>
      <c r="U97" s="70">
        <f>'Debt Schedule'!U12</f>
        <v>-23.985035090477677</v>
      </c>
      <c r="V97" s="70">
        <f>'Debt Schedule'!V12</f>
        <v>-23.985035090477677</v>
      </c>
      <c r="W97" s="70">
        <f>'Debt Schedule'!W12</f>
        <v>-23.985035090477677</v>
      </c>
      <c r="X97" s="70">
        <f>'Debt Schedule'!X12</f>
        <v>-23.985035090477677</v>
      </c>
      <c r="Y97" s="70">
        <f>'Debt Schedule'!Y12</f>
        <v>-23.985035090477677</v>
      </c>
      <c r="Z97" s="70">
        <f>'Debt Schedule'!Z12</f>
        <v>-23.985035090477677</v>
      </c>
      <c r="AA97" s="70">
        <f>'Debt Schedule'!AA12</f>
        <v>-23.985035090477677</v>
      </c>
      <c r="AB97" s="70">
        <f>'Debt Schedule'!AB12</f>
        <v>-23.985035090477677</v>
      </c>
      <c r="AC97" s="70">
        <f>'Debt Schedule'!AC12</f>
        <v>-16.499203227094945</v>
      </c>
      <c r="AD97" s="70">
        <f>'Debt Schedule'!AD12</f>
        <v>-10.09421339746266</v>
      </c>
      <c r="AE97" s="70">
        <f>'Debt Schedule'!AE12</f>
        <v>-4.6144975531257879</v>
      </c>
      <c r="AF97" s="70">
        <f>'Debt Schedule'!AF12</f>
        <v>0</v>
      </c>
      <c r="AG97" s="70">
        <f>'Debt Schedule'!AG12</f>
        <v>0</v>
      </c>
      <c r="AH97" s="70">
        <f>'Debt Schedule'!AH12</f>
        <v>0</v>
      </c>
      <c r="AI97" s="70">
        <f>'Debt Schedule'!AI12</f>
        <v>0</v>
      </c>
      <c r="AJ97" s="70">
        <f>'Debt Schedule'!AJ12</f>
        <v>0</v>
      </c>
      <c r="AK97" s="70">
        <f>'Debt Schedule'!AK12</f>
        <v>0</v>
      </c>
      <c r="AL97" s="70">
        <f>'Debt Schedule'!AL12</f>
        <v>0</v>
      </c>
      <c r="AM97" s="70">
        <f>'Debt Schedule'!AM12</f>
        <v>0</v>
      </c>
      <c r="AN97" s="70">
        <f>'Debt Schedule'!AN12</f>
        <v>0</v>
      </c>
      <c r="AO97" s="70">
        <f>'Debt Schedule'!AO12</f>
        <v>0</v>
      </c>
      <c r="AP97" s="70">
        <f>'Debt Schedule'!AP12</f>
        <v>0</v>
      </c>
      <c r="AQ97" s="70">
        <f>'Debt Schedule'!AQ12</f>
        <v>0</v>
      </c>
    </row>
    <row r="98" spans="1:43" ht="11.25" customHeight="1">
      <c r="B98" s="121" t="s">
        <v>173</v>
      </c>
      <c r="C98" s="118"/>
      <c r="D98" s="118"/>
      <c r="E98" s="118"/>
      <c r="F98" s="118"/>
      <c r="G98" s="118"/>
      <c r="H98" s="118"/>
      <c r="I98" s="122">
        <f>'Debt Schedule'!I13</f>
        <v>0</v>
      </c>
      <c r="J98" s="122">
        <f>'Debt Schedule'!J13</f>
        <v>0</v>
      </c>
      <c r="K98" s="122">
        <f>'Debt Schedule'!K13</f>
        <v>0</v>
      </c>
      <c r="L98" s="122">
        <f>'Debt Schedule'!L13</f>
        <v>0</v>
      </c>
      <c r="M98" s="122">
        <f>'Debt Schedule'!M13</f>
        <v>0</v>
      </c>
      <c r="N98" s="122">
        <f>'Debt Schedule'!N13</f>
        <v>0</v>
      </c>
      <c r="O98" s="122">
        <f>'Debt Schedule'!O13</f>
        <v>0</v>
      </c>
      <c r="P98" s="122">
        <f>'Debt Schedule'!P13</f>
        <v>0</v>
      </c>
      <c r="Q98" s="122">
        <f>'Debt Schedule'!Q13</f>
        <v>0</v>
      </c>
      <c r="R98" s="122">
        <f>'Debt Schedule'!R13</f>
        <v>0</v>
      </c>
      <c r="S98" s="122">
        <f>'Debt Schedule'!S13</f>
        <v>0</v>
      </c>
      <c r="T98" s="122">
        <f>'Debt Schedule'!T13</f>
        <v>0</v>
      </c>
      <c r="U98" s="122">
        <f>'Debt Schedule'!U13</f>
        <v>0</v>
      </c>
      <c r="V98" s="122">
        <f>'Debt Schedule'!V13</f>
        <v>0</v>
      </c>
      <c r="W98" s="122">
        <f>'Debt Schedule'!W13</f>
        <v>0</v>
      </c>
      <c r="X98" s="122">
        <f>'Debt Schedule'!X13</f>
        <v>0</v>
      </c>
      <c r="Y98" s="122">
        <f>'Debt Schedule'!Y13</f>
        <v>0</v>
      </c>
      <c r="Z98" s="122">
        <f>'Debt Schedule'!Z13</f>
        <v>0</v>
      </c>
      <c r="AA98" s="122">
        <f>'Debt Schedule'!AA13</f>
        <v>0</v>
      </c>
      <c r="AB98" s="122">
        <f>'Debt Schedule'!AB13</f>
        <v>0</v>
      </c>
      <c r="AC98" s="122">
        <f>'Debt Schedule'!AC13</f>
        <v>0</v>
      </c>
      <c r="AD98" s="122">
        <f>'Debt Schedule'!AD13</f>
        <v>0</v>
      </c>
      <c r="AE98" s="122">
        <f>'Debt Schedule'!AE13</f>
        <v>0</v>
      </c>
      <c r="AF98" s="122">
        <f>'Debt Schedule'!AF13</f>
        <v>0</v>
      </c>
      <c r="AG98" s="122">
        <f>'Debt Schedule'!AG13</f>
        <v>0</v>
      </c>
      <c r="AH98" s="122">
        <f>'Debt Schedule'!AH13</f>
        <v>0</v>
      </c>
      <c r="AI98" s="122">
        <f>'Debt Schedule'!AI13</f>
        <v>0</v>
      </c>
      <c r="AJ98" s="122">
        <f>'Debt Schedule'!AJ13</f>
        <v>0</v>
      </c>
      <c r="AK98" s="122">
        <f>'Debt Schedule'!AK13</f>
        <v>0</v>
      </c>
      <c r="AL98" s="122">
        <f>'Debt Schedule'!AL13</f>
        <v>0</v>
      </c>
      <c r="AM98" s="122">
        <f>'Debt Schedule'!AM13</f>
        <v>0</v>
      </c>
      <c r="AN98" s="122">
        <f>'Debt Schedule'!AN13</f>
        <v>0</v>
      </c>
      <c r="AO98" s="122">
        <f>'Debt Schedule'!AO13</f>
        <v>0</v>
      </c>
      <c r="AP98" s="122">
        <f>'Debt Schedule'!AP13</f>
        <v>0</v>
      </c>
      <c r="AQ98" s="122">
        <f>'Debt Schedule'!AQ13</f>
        <v>0</v>
      </c>
    </row>
    <row r="99" spans="1:43" ht="11.25" customHeight="1">
      <c r="B99" s="15" t="s">
        <v>152</v>
      </c>
      <c r="C99" s="15"/>
      <c r="D99" s="15"/>
      <c r="E99" s="15"/>
      <c r="F99" s="15"/>
      <c r="G99" s="15"/>
      <c r="H99" s="15"/>
      <c r="I99" s="103">
        <f>'Debt Schedule'!I14</f>
        <v>134.31227911802355</v>
      </c>
      <c r="J99" s="103">
        <f>'Debt Schedule'!J14</f>
        <v>219.01114105936801</v>
      </c>
      <c r="K99" s="103">
        <f>'Debt Schedule'!K14</f>
        <v>306.78277772835258</v>
      </c>
      <c r="L99" s="103">
        <f>'Debt Schedule'!L14</f>
        <v>414.96847562532628</v>
      </c>
      <c r="M99" s="103">
        <f>'Debt Schedule'!M14</f>
        <v>390.98344053484863</v>
      </c>
      <c r="N99" s="103">
        <f>'Debt Schedule'!N14</f>
        <v>366.99840544437097</v>
      </c>
      <c r="O99" s="103">
        <f>'Debt Schedule'!O14</f>
        <v>343.01337035389321</v>
      </c>
      <c r="P99" s="103">
        <f>'Debt Schedule'!P14</f>
        <v>319.02833526341556</v>
      </c>
      <c r="Q99" s="103">
        <f>'Debt Schedule'!Q14</f>
        <v>295.0433001729379</v>
      </c>
      <c r="R99" s="103">
        <f>'Debt Schedule'!R14</f>
        <v>271.0582650824602</v>
      </c>
      <c r="S99" s="103">
        <f>'Debt Schedule'!S14</f>
        <v>247.07322999198249</v>
      </c>
      <c r="T99" s="103">
        <f>'Debt Schedule'!T14</f>
        <v>223.08819490150483</v>
      </c>
      <c r="U99" s="103">
        <f>'Debt Schedule'!U14</f>
        <v>199.10315981102718</v>
      </c>
      <c r="V99" s="103">
        <f>'Debt Schedule'!V14</f>
        <v>175.11812472054947</v>
      </c>
      <c r="W99" s="103">
        <f>'Debt Schedule'!W14</f>
        <v>151.13308963007182</v>
      </c>
      <c r="X99" s="103">
        <f>'Debt Schedule'!X14</f>
        <v>127.14805453959413</v>
      </c>
      <c r="Y99" s="103">
        <f>'Debt Schedule'!Y14</f>
        <v>103.16301944911645</v>
      </c>
      <c r="Z99" s="103">
        <f>'Debt Schedule'!Z14</f>
        <v>79.177984358638767</v>
      </c>
      <c r="AA99" s="103">
        <f>'Debt Schedule'!AA14</f>
        <v>55.192949268161094</v>
      </c>
      <c r="AB99" s="103">
        <f>'Debt Schedule'!AB14</f>
        <v>31.207914177683417</v>
      </c>
      <c r="AC99" s="103">
        <f>'Debt Schedule'!AC14</f>
        <v>14.708710950588472</v>
      </c>
      <c r="AD99" s="103">
        <f>'Debt Schedule'!AD14</f>
        <v>4.614497553125811</v>
      </c>
      <c r="AE99" s="103">
        <f>'Debt Schedule'!AE14</f>
        <v>2.3092638912203256E-14</v>
      </c>
      <c r="AF99" s="103">
        <f>'Debt Schedule'!AF14</f>
        <v>2.3092638912203256E-14</v>
      </c>
      <c r="AG99" s="103">
        <f>'Debt Schedule'!AG14</f>
        <v>2.3092638912203256E-14</v>
      </c>
      <c r="AH99" s="103">
        <f>'Debt Schedule'!AH14</f>
        <v>2.3092638912203256E-14</v>
      </c>
      <c r="AI99" s="103">
        <f>'Debt Schedule'!AI14</f>
        <v>2.3092638912203256E-14</v>
      </c>
      <c r="AJ99" s="103">
        <f>'Debt Schedule'!AJ14</f>
        <v>2.3092638912203256E-14</v>
      </c>
      <c r="AK99" s="103">
        <f>'Debt Schedule'!AK14</f>
        <v>2.3092638912203256E-14</v>
      </c>
      <c r="AL99" s="103">
        <f>'Debt Schedule'!AL14</f>
        <v>2.3092638912203256E-14</v>
      </c>
      <c r="AM99" s="103">
        <f>'Debt Schedule'!AM14</f>
        <v>2.3092638912203256E-14</v>
      </c>
      <c r="AN99" s="103">
        <f>'Debt Schedule'!AN14</f>
        <v>2.3092638912203256E-14</v>
      </c>
      <c r="AO99" s="103">
        <f>'Debt Schedule'!AO14</f>
        <v>2.3092638912203256E-14</v>
      </c>
      <c r="AP99" s="103">
        <f>'Debt Schedule'!AP14</f>
        <v>2.3092638912203256E-14</v>
      </c>
      <c r="AQ99" s="103">
        <f>'Debt Schedule'!AQ14</f>
        <v>2.3092638912203256E-14</v>
      </c>
    </row>
    <row r="100" spans="1:43" ht="11.25" customHeight="1">
      <c r="B100" s="160" t="s">
        <v>210</v>
      </c>
      <c r="I100" s="70">
        <f>'Debt Schedule'!I15</f>
        <v>1</v>
      </c>
      <c r="J100" s="70">
        <f>'Debt Schedule'!J15</f>
        <v>1</v>
      </c>
      <c r="K100" s="70">
        <f>'Debt Schedule'!K15</f>
        <v>1</v>
      </c>
      <c r="L100" s="70">
        <f>'Debt Schedule'!L15</f>
        <v>1</v>
      </c>
      <c r="M100" s="70">
        <f>'Debt Schedule'!M15</f>
        <v>1</v>
      </c>
      <c r="N100" s="70">
        <f>'Debt Schedule'!N15</f>
        <v>1</v>
      </c>
      <c r="O100" s="70">
        <f>'Debt Schedule'!O15</f>
        <v>1</v>
      </c>
      <c r="P100" s="70">
        <f>'Debt Schedule'!P15</f>
        <v>1</v>
      </c>
      <c r="Q100" s="70">
        <f>'Debt Schedule'!Q15</f>
        <v>1</v>
      </c>
      <c r="R100" s="70">
        <f>'Debt Schedule'!R15</f>
        <v>1</v>
      </c>
      <c r="S100" s="70">
        <f>'Debt Schedule'!S15</f>
        <v>1</v>
      </c>
      <c r="T100" s="70">
        <f>'Debt Schedule'!T15</f>
        <v>1</v>
      </c>
      <c r="U100" s="70">
        <f>'Debt Schedule'!U15</f>
        <v>1</v>
      </c>
      <c r="V100" s="70">
        <f>'Debt Schedule'!V15</f>
        <v>1</v>
      </c>
      <c r="W100" s="70">
        <f>'Debt Schedule'!W15</f>
        <v>1</v>
      </c>
      <c r="X100" s="70">
        <f>'Debt Schedule'!X15</f>
        <v>1</v>
      </c>
      <c r="Y100" s="70">
        <f>'Debt Schedule'!Y15</f>
        <v>1</v>
      </c>
      <c r="Z100" s="70">
        <f>'Debt Schedule'!Z15</f>
        <v>1</v>
      </c>
      <c r="AA100" s="70">
        <f>'Debt Schedule'!AA15</f>
        <v>1</v>
      </c>
      <c r="AB100" s="70">
        <f>'Debt Schedule'!AB15</f>
        <v>1</v>
      </c>
      <c r="AC100" s="70">
        <f>'Debt Schedule'!AC15</f>
        <v>1</v>
      </c>
      <c r="AD100" s="70">
        <f>'Debt Schedule'!AD15</f>
        <v>1</v>
      </c>
      <c r="AE100" s="70">
        <f>'Debt Schedule'!AE15</f>
        <v>0</v>
      </c>
      <c r="AF100" s="70">
        <f>'Debt Schedule'!AF15</f>
        <v>0</v>
      </c>
      <c r="AG100" s="70">
        <f>'Debt Schedule'!AG15</f>
        <v>0</v>
      </c>
      <c r="AH100" s="70">
        <f>'Debt Schedule'!AH15</f>
        <v>0</v>
      </c>
      <c r="AI100" s="70">
        <f>'Debt Schedule'!AI15</f>
        <v>0</v>
      </c>
      <c r="AJ100" s="70">
        <f>'Debt Schedule'!AJ15</f>
        <v>0</v>
      </c>
      <c r="AK100" s="70">
        <f>'Debt Schedule'!AK15</f>
        <v>0</v>
      </c>
      <c r="AL100" s="70">
        <f>'Debt Schedule'!AL15</f>
        <v>0</v>
      </c>
      <c r="AM100" s="70">
        <f>'Debt Schedule'!AM15</f>
        <v>0</v>
      </c>
      <c r="AN100" s="70">
        <f>'Debt Schedule'!AN15</f>
        <v>0</v>
      </c>
      <c r="AO100" s="70">
        <f>'Debt Schedule'!AO15</f>
        <v>0</v>
      </c>
      <c r="AP100" s="70">
        <f>'Debt Schedule'!AP15</f>
        <v>0</v>
      </c>
      <c r="AQ100" s="70">
        <f>'Debt Schedule'!AQ15</f>
        <v>0</v>
      </c>
    </row>
    <row r="101" spans="1:43" ht="11.25" customHeight="1">
      <c r="B101" s="11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/>
    </row>
    <row r="102" spans="1:43" ht="11.25" customHeight="1">
      <c r="B102" s="7" t="s">
        <v>149</v>
      </c>
      <c r="I102" s="70">
        <f>'Debt Schedule'!I17</f>
        <v>4.3685045273572687</v>
      </c>
      <c r="J102" s="70">
        <f>'Debt Schedule'!J17</f>
        <v>7.1235277862805324</v>
      </c>
      <c r="K102" s="70">
        <f>'Debt Schedule'!K17</f>
        <v>9.9786220714497684</v>
      </c>
      <c r="L102" s="70">
        <f>'Debt Schedule'!L17</f>
        <v>13.497821240238666</v>
      </c>
      <c r="M102" s="70">
        <f>'Debt Schedule'!M17</f>
        <v>13.147502130657557</v>
      </c>
      <c r="N102" s="70">
        <f>'Debt Schedule'!N17</f>
        <v>12.342752956723377</v>
      </c>
      <c r="O102" s="70">
        <f>'Debt Schedule'!O17</f>
        <v>11.538003782789193</v>
      </c>
      <c r="P102" s="70">
        <f>'Debt Schedule'!P17</f>
        <v>10.733254608855013</v>
      </c>
      <c r="Q102" s="70">
        <f>'Debt Schedule'!Q17</f>
        <v>9.9285054349208313</v>
      </c>
      <c r="R102" s="70">
        <f>'Debt Schedule'!R17</f>
        <v>9.1237562609866512</v>
      </c>
      <c r="S102" s="70">
        <f>'Debt Schedule'!S17</f>
        <v>8.3190070870524711</v>
      </c>
      <c r="T102" s="70">
        <f>'Debt Schedule'!T17</f>
        <v>7.5142579131182892</v>
      </c>
      <c r="U102" s="70">
        <f>'Debt Schedule'!U17</f>
        <v>6.7095087391841082</v>
      </c>
      <c r="V102" s="70">
        <f>'Debt Schedule'!V17</f>
        <v>5.9047595652499254</v>
      </c>
      <c r="W102" s="70">
        <f>'Debt Schedule'!W17</f>
        <v>5.1000103913157453</v>
      </c>
      <c r="X102" s="70">
        <f>'Debt Schedule'!X17</f>
        <v>4.2952612173815634</v>
      </c>
      <c r="Y102" s="70">
        <f>'Debt Schedule'!Y17</f>
        <v>3.4905120434473824</v>
      </c>
      <c r="Z102" s="70">
        <f>'Debt Schedule'!Z17</f>
        <v>2.685762869513201</v>
      </c>
      <c r="AA102" s="70">
        <f>'Debt Schedule'!AA17</f>
        <v>1.8810136955790202</v>
      </c>
      <c r="AB102" s="70">
        <f>'Debt Schedule'!AB17</f>
        <v>1.076264521644839</v>
      </c>
      <c r="AC102" s="70">
        <f>'Debt Schedule'!AC17</f>
        <v>0.51480488327059648</v>
      </c>
      <c r="AD102" s="70">
        <f>'Debt Schedule'!AD17</f>
        <v>0.16150741435940336</v>
      </c>
      <c r="AE102" s="70">
        <f>'Debt Schedule'!AE17</f>
        <v>7.8159700933611021E-16</v>
      </c>
      <c r="AF102" s="70">
        <f>'Debt Schedule'!AF17</f>
        <v>7.8159700933611021E-16</v>
      </c>
      <c r="AG102" s="70">
        <f>'Debt Schedule'!AG17</f>
        <v>7.8159700933611021E-16</v>
      </c>
      <c r="AH102" s="70">
        <f>'Debt Schedule'!AH17</f>
        <v>7.8159700933611021E-16</v>
      </c>
      <c r="AI102" s="70">
        <f>'Debt Schedule'!AI17</f>
        <v>7.8159700933611021E-16</v>
      </c>
      <c r="AJ102" s="70">
        <f>'Debt Schedule'!AJ17</f>
        <v>7.8159700933611021E-16</v>
      </c>
      <c r="AK102" s="70">
        <f>'Debt Schedule'!AK17</f>
        <v>7.8159700933611021E-16</v>
      </c>
      <c r="AL102" s="70">
        <f>'Debt Schedule'!AL17</f>
        <v>7.8159700933611021E-16</v>
      </c>
      <c r="AM102" s="70">
        <f>'Debt Schedule'!AM17</f>
        <v>7.8159700933611021E-16</v>
      </c>
      <c r="AN102" s="70">
        <f>'Debt Schedule'!AN17</f>
        <v>7.8159700933611021E-16</v>
      </c>
      <c r="AO102" s="70">
        <f>'Debt Schedule'!AO17</f>
        <v>7.8159700933611021E-16</v>
      </c>
      <c r="AP102" s="70">
        <f>'Debt Schedule'!AP17</f>
        <v>7.8159700933611021E-16</v>
      </c>
      <c r="AQ102" s="70">
        <f>'Debt Schedule'!AQ17</f>
        <v>7.8159700933611021E-16</v>
      </c>
    </row>
    <row r="103" spans="1:43" ht="11.25" customHeight="1">
      <c r="B103" s="117" t="s">
        <v>206</v>
      </c>
      <c r="C103" s="118"/>
      <c r="D103" s="118"/>
      <c r="E103" s="118"/>
      <c r="F103" s="118"/>
      <c r="G103" s="118"/>
      <c r="H103" s="118"/>
      <c r="I103" s="179">
        <f>'Debt Schedule'!I18</f>
        <v>6.5049964992680301E-2</v>
      </c>
      <c r="J103" s="179">
        <f>'Debt Schedule'!J18</f>
        <v>3.6988358820312213E-2</v>
      </c>
      <c r="K103" s="179">
        <f>'Debt Schedule'!K18</f>
        <v>3.4541354555185921E-2</v>
      </c>
      <c r="L103" s="179">
        <f>'Debt Schedule'!L18</f>
        <v>3.3972825719339454E-2</v>
      </c>
      <c r="M103" s="179">
        <f>'Debt Schedule'!M18</f>
        <v>2.9068525233657095E-2</v>
      </c>
      <c r="N103" s="179">
        <f>'Debt Schedule'!N18</f>
        <v>2.9002975394966598E-2</v>
      </c>
      <c r="O103" s="179">
        <f>'Debt Schedule'!O18</f>
        <v>2.8928641098600775E-2</v>
      </c>
      <c r="P103" s="179">
        <f>'Debt Schedule'!P18</f>
        <v>2.8843629693011404E-2</v>
      </c>
      <c r="Q103" s="179">
        <f>'Debt Schedule'!Q18</f>
        <v>2.8745462749998261E-2</v>
      </c>
      <c r="R103" s="179">
        <f>'Debt Schedule'!R18</f>
        <v>2.863083043646299E-2</v>
      </c>
      <c r="S103" s="179">
        <f>'Debt Schedule'!S18</f>
        <v>2.8495210975612056E-2</v>
      </c>
      <c r="T103" s="179">
        <f>'Debt Schedule'!T18</f>
        <v>2.8332260037473227E-2</v>
      </c>
      <c r="U103" s="179">
        <f>'Debt Schedule'!U18</f>
        <v>2.8132789591900072E-2</v>
      </c>
      <c r="V103" s="179">
        <f>'Debt Schedule'!V18</f>
        <v>2.7882973560663552E-2</v>
      </c>
      <c r="W103" s="179">
        <f>'Debt Schedule'!W18</f>
        <v>2.7560998586361077E-2</v>
      </c>
      <c r="X103" s="179">
        <f>'Debt Schedule'!X18</f>
        <v>2.7130322630478373E-2</v>
      </c>
      <c r="Y103" s="179">
        <f>'Debt Schedule'!Y18</f>
        <v>2.6524719109923545E-2</v>
      </c>
      <c r="Z103" s="179">
        <f>'Debt Schedule'!Z18</f>
        <v>2.5610453026753851E-2</v>
      </c>
      <c r="AA103" s="179">
        <f>'Debt Schedule'!AA18</f>
        <v>2.4070844439437147E-2</v>
      </c>
      <c r="AB103" s="179">
        <f>'Debt Schedule'!AB18</f>
        <v>2.0930851939837482E-2</v>
      </c>
      <c r="AC103" s="179">
        <f>'Debt Schedule'!AC18</f>
        <v>1.810269248894961E-2</v>
      </c>
      <c r="AD103" s="179">
        <f>'Debt Schedule'!AD18</f>
        <v>1.3023255813953527E-2</v>
      </c>
      <c r="AE103" s="179">
        <f>'Debt Schedule'!AE18</f>
        <v>3.3875714542601105E-16</v>
      </c>
      <c r="AF103" s="179">
        <f>'Debt Schedule'!AF18</f>
        <v>3.3846153846153845E-2</v>
      </c>
      <c r="AG103" s="179">
        <f>'Debt Schedule'!AG18</f>
        <v>3.3846153846153845E-2</v>
      </c>
      <c r="AH103" s="179">
        <f>'Debt Schedule'!AH18</f>
        <v>3.3846153846153845E-2</v>
      </c>
      <c r="AI103" s="179">
        <f>'Debt Schedule'!AI18</f>
        <v>3.3846153846153845E-2</v>
      </c>
      <c r="AJ103" s="179">
        <f>'Debt Schedule'!AJ18</f>
        <v>3.3846153846153845E-2</v>
      </c>
      <c r="AK103" s="179">
        <f>'Debt Schedule'!AK18</f>
        <v>3.3846153846153845E-2</v>
      </c>
      <c r="AL103" s="179">
        <f>'Debt Schedule'!AL18</f>
        <v>3.3846153846153845E-2</v>
      </c>
      <c r="AM103" s="179">
        <f>'Debt Schedule'!AM18</f>
        <v>3.3846153846153845E-2</v>
      </c>
      <c r="AN103" s="179">
        <f>'Debt Schedule'!AN18</f>
        <v>3.3846153846153845E-2</v>
      </c>
      <c r="AO103" s="179">
        <f>'Debt Schedule'!AO18</f>
        <v>3.3846153846153845E-2</v>
      </c>
      <c r="AP103" s="179">
        <f>'Debt Schedule'!AP18</f>
        <v>3.3846153846153845E-2</v>
      </c>
      <c r="AQ103" s="179">
        <f>'Debt Schedule'!AQ18</f>
        <v>3.3846153846153845E-2</v>
      </c>
    </row>
    <row r="104" spans="1:43" ht="11.25" customHeight="1">
      <c r="B104" s="15" t="s">
        <v>207</v>
      </c>
      <c r="C104" s="15"/>
      <c r="D104" s="15"/>
      <c r="E104" s="15"/>
      <c r="F104" s="15"/>
      <c r="G104" s="15"/>
      <c r="H104" s="15"/>
      <c r="I104" s="103">
        <f>'Debt Schedule'!I19</f>
        <v>4.3685045273572687</v>
      </c>
      <c r="J104" s="103">
        <f>'Debt Schedule'!J19</f>
        <v>7.1235277862805324</v>
      </c>
      <c r="K104" s="103">
        <f>'Debt Schedule'!K19</f>
        <v>9.9786220714497684</v>
      </c>
      <c r="L104" s="103">
        <f>'Debt Schedule'!L19</f>
        <v>13.497821240238666</v>
      </c>
      <c r="M104" s="103">
        <f>'Debt Schedule'!M19</f>
        <v>37.132537221135237</v>
      </c>
      <c r="N104" s="103">
        <f>'Debt Schedule'!N19</f>
        <v>36.327788047201054</v>
      </c>
      <c r="O104" s="103">
        <f>'Debt Schedule'!O19</f>
        <v>35.52303887326687</v>
      </c>
      <c r="P104" s="103">
        <f>'Debt Schedule'!P19</f>
        <v>34.718289699332686</v>
      </c>
      <c r="Q104" s="103">
        <f>'Debt Schedule'!Q19</f>
        <v>33.91354052539851</v>
      </c>
      <c r="R104" s="103">
        <f>'Debt Schedule'!R19</f>
        <v>33.108791351464326</v>
      </c>
      <c r="S104" s="103">
        <f>'Debt Schedule'!S19</f>
        <v>32.30404217753015</v>
      </c>
      <c r="T104" s="103">
        <f>'Debt Schedule'!T19</f>
        <v>31.499293003595966</v>
      </c>
      <c r="U104" s="103">
        <f>'Debt Schedule'!U19</f>
        <v>30.694543829661786</v>
      </c>
      <c r="V104" s="103">
        <f>'Debt Schedule'!V19</f>
        <v>29.889794655727602</v>
      </c>
      <c r="W104" s="103">
        <f>'Debt Schedule'!W19</f>
        <v>29.085045481793422</v>
      </c>
      <c r="X104" s="103">
        <f>'Debt Schedule'!X19</f>
        <v>28.280296307859238</v>
      </c>
      <c r="Y104" s="103">
        <f>'Debt Schedule'!Y19</f>
        <v>27.475547133925058</v>
      </c>
      <c r="Z104" s="103">
        <f>'Debt Schedule'!Z19</f>
        <v>26.670797959990878</v>
      </c>
      <c r="AA104" s="103">
        <f>'Debt Schedule'!AA19</f>
        <v>25.866048786056698</v>
      </c>
      <c r="AB104" s="103">
        <f>'Debt Schedule'!AB19</f>
        <v>25.061299612122514</v>
      </c>
      <c r="AC104" s="103">
        <f>'Debt Schedule'!AC19</f>
        <v>17.014008110365541</v>
      </c>
      <c r="AD104" s="103">
        <f>'Debt Schedule'!AD19</f>
        <v>10.255720811822064</v>
      </c>
      <c r="AE104" s="103">
        <f>'Debt Schedule'!AE19</f>
        <v>4.6144975531257888</v>
      </c>
      <c r="AF104" s="103">
        <f>'Debt Schedule'!AF19</f>
        <v>7.8159700933611021E-16</v>
      </c>
      <c r="AG104" s="103">
        <f>'Debt Schedule'!AG19</f>
        <v>7.8159700933611021E-16</v>
      </c>
      <c r="AH104" s="103">
        <f>'Debt Schedule'!AH19</f>
        <v>7.8159700933611021E-16</v>
      </c>
      <c r="AI104" s="103">
        <f>'Debt Schedule'!AI19</f>
        <v>7.8159700933611021E-16</v>
      </c>
      <c r="AJ104" s="103">
        <f>'Debt Schedule'!AJ19</f>
        <v>7.8159700933611021E-16</v>
      </c>
      <c r="AK104" s="103">
        <f>'Debt Schedule'!AK19</f>
        <v>7.8159700933611021E-16</v>
      </c>
      <c r="AL104" s="103">
        <f>'Debt Schedule'!AL19</f>
        <v>7.8159700933611021E-16</v>
      </c>
      <c r="AM104" s="103">
        <f>'Debt Schedule'!AM19</f>
        <v>7.8159700933611021E-16</v>
      </c>
      <c r="AN104" s="103">
        <f>'Debt Schedule'!AN19</f>
        <v>7.8159700933611021E-16</v>
      </c>
      <c r="AO104" s="103">
        <f>'Debt Schedule'!AO19</f>
        <v>7.8159700933611021E-16</v>
      </c>
      <c r="AP104" s="103">
        <f>'Debt Schedule'!AP19</f>
        <v>7.8159700933611021E-16</v>
      </c>
      <c r="AQ104" s="103">
        <f>'Debt Schedule'!AQ19</f>
        <v>7.8159700933611021E-16</v>
      </c>
    </row>
    <row r="106" spans="1:43" ht="11.25" customHeight="1">
      <c r="A106" s="3" t="s">
        <v>0</v>
      </c>
      <c r="B106" s="4" t="s">
        <v>175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ht="11.25" customHeight="1">
      <c r="I107" s="133">
        <v>1</v>
      </c>
      <c r="J107" s="133">
        <f t="shared" ref="J107:AQ107" si="42">IF(J108="","",I107+1)</f>
        <v>2</v>
      </c>
      <c r="K107" s="133">
        <f t="shared" si="42"/>
        <v>3</v>
      </c>
      <c r="L107" s="133">
        <f t="shared" si="42"/>
        <v>4</v>
      </c>
      <c r="M107" s="133">
        <f t="shared" si="42"/>
        <v>5</v>
      </c>
      <c r="N107" s="133">
        <f t="shared" si="42"/>
        <v>6</v>
      </c>
      <c r="O107" s="133">
        <f t="shared" si="42"/>
        <v>7</v>
      </c>
      <c r="P107" s="133">
        <f t="shared" si="42"/>
        <v>8</v>
      </c>
      <c r="Q107" s="133">
        <f t="shared" si="42"/>
        <v>9</v>
      </c>
      <c r="R107" s="133">
        <f t="shared" si="42"/>
        <v>10</v>
      </c>
      <c r="S107" s="133">
        <f t="shared" si="42"/>
        <v>11</v>
      </c>
      <c r="T107" s="133">
        <f t="shared" si="42"/>
        <v>12</v>
      </c>
      <c r="U107" s="133">
        <f t="shared" si="42"/>
        <v>13</v>
      </c>
      <c r="V107" s="133">
        <f t="shared" si="42"/>
        <v>14</v>
      </c>
      <c r="W107" s="133">
        <f t="shared" si="42"/>
        <v>15</v>
      </c>
      <c r="X107" s="133">
        <f t="shared" si="42"/>
        <v>16</v>
      </c>
      <c r="Y107" s="133">
        <f t="shared" si="42"/>
        <v>17</v>
      </c>
      <c r="Z107" s="133">
        <f t="shared" si="42"/>
        <v>18</v>
      </c>
      <c r="AA107" s="133">
        <f t="shared" si="42"/>
        <v>19</v>
      </c>
      <c r="AB107" s="133">
        <f t="shared" si="42"/>
        <v>20</v>
      </c>
      <c r="AC107" s="133">
        <f t="shared" si="42"/>
        <v>21</v>
      </c>
      <c r="AD107" s="133">
        <f t="shared" si="42"/>
        <v>22</v>
      </c>
      <c r="AE107" s="133">
        <f t="shared" si="42"/>
        <v>23</v>
      </c>
      <c r="AF107" s="133">
        <f t="shared" si="42"/>
        <v>24</v>
      </c>
      <c r="AG107" s="133">
        <f t="shared" si="42"/>
        <v>25</v>
      </c>
      <c r="AH107" s="133">
        <f t="shared" si="42"/>
        <v>26</v>
      </c>
      <c r="AI107" s="133">
        <f t="shared" si="42"/>
        <v>27</v>
      </c>
      <c r="AJ107" s="133">
        <f t="shared" si="42"/>
        <v>28</v>
      </c>
      <c r="AK107" s="133">
        <f t="shared" si="42"/>
        <v>29</v>
      </c>
      <c r="AL107" s="133">
        <f t="shared" si="42"/>
        <v>30</v>
      </c>
      <c r="AM107" s="133">
        <f t="shared" si="42"/>
        <v>31</v>
      </c>
      <c r="AN107" s="133">
        <f t="shared" si="42"/>
        <v>32</v>
      </c>
      <c r="AO107" s="133">
        <f t="shared" si="42"/>
        <v>33</v>
      </c>
      <c r="AP107" s="133">
        <f t="shared" si="42"/>
        <v>34</v>
      </c>
      <c r="AQ107" s="133">
        <f t="shared" si="42"/>
        <v>35</v>
      </c>
    </row>
    <row r="108" spans="1:43" ht="11.25" customHeight="1" thickBot="1">
      <c r="B108" s="9" t="s">
        <v>248</v>
      </c>
      <c r="C108" s="8"/>
      <c r="D108" s="8"/>
      <c r="E108" s="9" t="s">
        <v>48</v>
      </c>
      <c r="F108" s="9" t="s">
        <v>72</v>
      </c>
      <c r="G108" s="8"/>
      <c r="H108" s="8"/>
      <c r="I108" s="9">
        <f>YEAR(Now)</f>
        <v>2016</v>
      </c>
      <c r="J108" s="9">
        <f t="shared" ref="J108:AQ108" si="43">IFERROR(IF(I108+1&gt;End,"",I108+1),"")</f>
        <v>2017</v>
      </c>
      <c r="K108" s="9">
        <f t="shared" si="43"/>
        <v>2018</v>
      </c>
      <c r="L108" s="9">
        <f t="shared" si="43"/>
        <v>2019</v>
      </c>
      <c r="M108" s="9">
        <f t="shared" si="43"/>
        <v>2020</v>
      </c>
      <c r="N108" s="9">
        <f t="shared" si="43"/>
        <v>2021</v>
      </c>
      <c r="O108" s="9">
        <f t="shared" si="43"/>
        <v>2022</v>
      </c>
      <c r="P108" s="9">
        <f t="shared" si="43"/>
        <v>2023</v>
      </c>
      <c r="Q108" s="9">
        <f t="shared" si="43"/>
        <v>2024</v>
      </c>
      <c r="R108" s="9">
        <f t="shared" si="43"/>
        <v>2025</v>
      </c>
      <c r="S108" s="9">
        <f t="shared" si="43"/>
        <v>2026</v>
      </c>
      <c r="T108" s="9">
        <f t="shared" si="43"/>
        <v>2027</v>
      </c>
      <c r="U108" s="9">
        <f t="shared" si="43"/>
        <v>2028</v>
      </c>
      <c r="V108" s="9">
        <f t="shared" si="43"/>
        <v>2029</v>
      </c>
      <c r="W108" s="9">
        <f t="shared" si="43"/>
        <v>2030</v>
      </c>
      <c r="X108" s="9">
        <f t="shared" si="43"/>
        <v>2031</v>
      </c>
      <c r="Y108" s="9">
        <f t="shared" si="43"/>
        <v>2032</v>
      </c>
      <c r="Z108" s="9">
        <f t="shared" si="43"/>
        <v>2033</v>
      </c>
      <c r="AA108" s="9">
        <f t="shared" si="43"/>
        <v>2034</v>
      </c>
      <c r="AB108" s="9">
        <f t="shared" si="43"/>
        <v>2035</v>
      </c>
      <c r="AC108" s="9">
        <f t="shared" si="43"/>
        <v>2036</v>
      </c>
      <c r="AD108" s="9">
        <f t="shared" si="43"/>
        <v>2037</v>
      </c>
      <c r="AE108" s="9">
        <f t="shared" si="43"/>
        <v>2038</v>
      </c>
      <c r="AF108" s="9">
        <f t="shared" si="43"/>
        <v>2039</v>
      </c>
      <c r="AG108" s="9">
        <f t="shared" si="43"/>
        <v>2040</v>
      </c>
      <c r="AH108" s="9">
        <f t="shared" si="43"/>
        <v>2041</v>
      </c>
      <c r="AI108" s="9">
        <f t="shared" si="43"/>
        <v>2042</v>
      </c>
      <c r="AJ108" s="9">
        <f t="shared" si="43"/>
        <v>2043</v>
      </c>
      <c r="AK108" s="9">
        <f t="shared" si="43"/>
        <v>2044</v>
      </c>
      <c r="AL108" s="9">
        <f t="shared" si="43"/>
        <v>2045</v>
      </c>
      <c r="AM108" s="9">
        <f t="shared" si="43"/>
        <v>2046</v>
      </c>
      <c r="AN108" s="9">
        <f t="shared" si="43"/>
        <v>2047</v>
      </c>
      <c r="AO108" s="9">
        <f t="shared" si="43"/>
        <v>2048</v>
      </c>
      <c r="AP108" s="9">
        <f t="shared" si="43"/>
        <v>2049</v>
      </c>
      <c r="AQ108" s="9">
        <f t="shared" si="43"/>
        <v>2050</v>
      </c>
    </row>
    <row r="109" spans="1:43" ht="11.25" customHeight="1">
      <c r="B109" s="3" t="s">
        <v>176</v>
      </c>
      <c r="I109" s="70">
        <v>0</v>
      </c>
      <c r="J109" s="70">
        <f>I111</f>
        <v>79.415035253895212</v>
      </c>
      <c r="K109" s="70">
        <f t="shared" ref="K109:AQ109" si="44">J111</f>
        <v>126.82513947907765</v>
      </c>
      <c r="L109" s="70">
        <f t="shared" si="44"/>
        <v>174.36827893482317</v>
      </c>
      <c r="M109" s="70">
        <f t="shared" si="44"/>
        <v>232.23669999999993</v>
      </c>
      <c r="N109" s="70">
        <f t="shared" si="44"/>
        <v>232.23669999999993</v>
      </c>
      <c r="O109" s="70">
        <f t="shared" si="44"/>
        <v>232.23669999999993</v>
      </c>
      <c r="P109" s="70">
        <f t="shared" si="44"/>
        <v>232.23669999999993</v>
      </c>
      <c r="Q109" s="70">
        <f t="shared" si="44"/>
        <v>232.23669999999993</v>
      </c>
      <c r="R109" s="70">
        <f t="shared" si="44"/>
        <v>232.23669999999993</v>
      </c>
      <c r="S109" s="70">
        <f t="shared" si="44"/>
        <v>232.23669999999993</v>
      </c>
      <c r="T109" s="70">
        <f t="shared" si="44"/>
        <v>232.23669999999993</v>
      </c>
      <c r="U109" s="70">
        <f t="shared" si="44"/>
        <v>232.23669999999993</v>
      </c>
      <c r="V109" s="70">
        <f t="shared" si="44"/>
        <v>232.23669999999993</v>
      </c>
      <c r="W109" s="70">
        <f t="shared" si="44"/>
        <v>232.23669999999993</v>
      </c>
      <c r="X109" s="70">
        <f t="shared" si="44"/>
        <v>232.23669999999993</v>
      </c>
      <c r="Y109" s="70">
        <f t="shared" si="44"/>
        <v>232.23669999999993</v>
      </c>
      <c r="Z109" s="70">
        <f t="shared" si="44"/>
        <v>232.23669999999993</v>
      </c>
      <c r="AA109" s="70">
        <f t="shared" si="44"/>
        <v>232.23669999999993</v>
      </c>
      <c r="AB109" s="70">
        <f t="shared" si="44"/>
        <v>232.23669999999993</v>
      </c>
      <c r="AC109" s="70">
        <f t="shared" si="44"/>
        <v>232.23669999999993</v>
      </c>
      <c r="AD109" s="70">
        <f t="shared" si="44"/>
        <v>232.23669999999993</v>
      </c>
      <c r="AE109" s="70">
        <f t="shared" si="44"/>
        <v>232.23669999999993</v>
      </c>
      <c r="AF109" s="70">
        <f t="shared" si="44"/>
        <v>232.23669999999993</v>
      </c>
      <c r="AG109" s="70">
        <f t="shared" si="44"/>
        <v>232.23669999999993</v>
      </c>
      <c r="AH109" s="70">
        <f t="shared" si="44"/>
        <v>232.23669999999993</v>
      </c>
      <c r="AI109" s="70">
        <f t="shared" si="44"/>
        <v>232.23669999999993</v>
      </c>
      <c r="AJ109" s="70">
        <f t="shared" si="44"/>
        <v>232.23669999999993</v>
      </c>
      <c r="AK109" s="70">
        <f t="shared" si="44"/>
        <v>232.23669999999993</v>
      </c>
      <c r="AL109" s="70">
        <f t="shared" si="44"/>
        <v>232.23669999999993</v>
      </c>
      <c r="AM109" s="70">
        <f t="shared" si="44"/>
        <v>232.23669999999993</v>
      </c>
      <c r="AN109" s="70">
        <f t="shared" si="44"/>
        <v>232.23669999999993</v>
      </c>
      <c r="AO109" s="70">
        <f t="shared" si="44"/>
        <v>232.23669999999993</v>
      </c>
      <c r="AP109" s="70">
        <f t="shared" si="44"/>
        <v>232.23669999999993</v>
      </c>
      <c r="AQ109" s="70">
        <f t="shared" si="44"/>
        <v>232.23669999999993</v>
      </c>
    </row>
    <row r="110" spans="1:43" ht="11.25" customHeight="1">
      <c r="B110" s="118" t="s">
        <v>245</v>
      </c>
      <c r="C110" s="118"/>
      <c r="D110" s="118"/>
      <c r="E110" s="118"/>
      <c r="F110" s="118"/>
      <c r="G110" s="118"/>
      <c r="H110" s="118"/>
      <c r="I110" s="122">
        <f>'Financing Assumptions'!I25</f>
        <v>79.415035253895212</v>
      </c>
      <c r="J110" s="122">
        <f>'Financing Assumptions'!J25</f>
        <v>47.41010422518243</v>
      </c>
      <c r="K110" s="122">
        <f>'Financing Assumptions'!K25</f>
        <v>47.543139455745525</v>
      </c>
      <c r="L110" s="122">
        <f>'Financing Assumptions'!L25</f>
        <v>57.868421065176769</v>
      </c>
      <c r="M110" s="122">
        <f>'Financing Assumptions'!M25</f>
        <v>0</v>
      </c>
      <c r="N110" s="122">
        <f>'Financing Assumptions'!N25</f>
        <v>0</v>
      </c>
      <c r="O110" s="122">
        <f>'Financing Assumptions'!O25</f>
        <v>0</v>
      </c>
      <c r="P110" s="122">
        <f>'Financing Assumptions'!P25</f>
        <v>0</v>
      </c>
      <c r="Q110" s="122">
        <f>'Financing Assumptions'!Q25</f>
        <v>0</v>
      </c>
      <c r="R110" s="122">
        <f>'Financing Assumptions'!R25</f>
        <v>0</v>
      </c>
      <c r="S110" s="122">
        <f>'Financing Assumptions'!S25</f>
        <v>0</v>
      </c>
      <c r="T110" s="122">
        <f>'Financing Assumptions'!T25</f>
        <v>0</v>
      </c>
      <c r="U110" s="122">
        <f>'Financing Assumptions'!U25</f>
        <v>0</v>
      </c>
      <c r="V110" s="122">
        <f>'Financing Assumptions'!V25</f>
        <v>0</v>
      </c>
      <c r="W110" s="122">
        <f>'Financing Assumptions'!W25</f>
        <v>0</v>
      </c>
      <c r="X110" s="122">
        <f>'Financing Assumptions'!X25</f>
        <v>0</v>
      </c>
      <c r="Y110" s="122">
        <f>'Financing Assumptions'!Y25</f>
        <v>0</v>
      </c>
      <c r="Z110" s="122">
        <f>'Financing Assumptions'!Z25</f>
        <v>0</v>
      </c>
      <c r="AA110" s="122">
        <f>'Financing Assumptions'!AA25</f>
        <v>0</v>
      </c>
      <c r="AB110" s="122">
        <f>'Financing Assumptions'!AB25</f>
        <v>0</v>
      </c>
      <c r="AC110" s="122">
        <f>'Financing Assumptions'!AC25</f>
        <v>0</v>
      </c>
      <c r="AD110" s="122">
        <f>'Financing Assumptions'!AD25</f>
        <v>0</v>
      </c>
      <c r="AE110" s="122">
        <f>'Financing Assumptions'!AE25</f>
        <v>0</v>
      </c>
      <c r="AF110" s="122">
        <f>'Financing Assumptions'!AF25</f>
        <v>0</v>
      </c>
      <c r="AG110" s="122">
        <f>'Financing Assumptions'!AG25</f>
        <v>0</v>
      </c>
      <c r="AH110" s="122">
        <f>'Financing Assumptions'!AH25</f>
        <v>0</v>
      </c>
      <c r="AI110" s="122">
        <f>'Financing Assumptions'!AI25</f>
        <v>0</v>
      </c>
      <c r="AJ110" s="122">
        <f>'Financing Assumptions'!AJ25</f>
        <v>0</v>
      </c>
      <c r="AK110" s="122">
        <f>'Financing Assumptions'!AK25</f>
        <v>0</v>
      </c>
      <c r="AL110" s="122">
        <f>'Financing Assumptions'!AL25</f>
        <v>0</v>
      </c>
      <c r="AM110" s="122">
        <f>'Financing Assumptions'!AM25</f>
        <v>0</v>
      </c>
      <c r="AN110" s="122">
        <f>'Financing Assumptions'!AN25</f>
        <v>0</v>
      </c>
      <c r="AO110" s="122">
        <f>'Financing Assumptions'!AO25</f>
        <v>0</v>
      </c>
      <c r="AP110" s="122">
        <f>'Financing Assumptions'!AP25</f>
        <v>0</v>
      </c>
      <c r="AQ110" s="122">
        <f>'Financing Assumptions'!AQ25</f>
        <v>0</v>
      </c>
    </row>
    <row r="111" spans="1:43" ht="11.25" customHeight="1">
      <c r="B111" s="15" t="s">
        <v>177</v>
      </c>
      <c r="C111" s="15"/>
      <c r="D111" s="15"/>
      <c r="E111" s="15"/>
      <c r="F111" s="15"/>
      <c r="G111" s="15"/>
      <c r="H111" s="15"/>
      <c r="I111" s="58">
        <f>SUM(I109:I110)</f>
        <v>79.415035253895212</v>
      </c>
      <c r="J111" s="58">
        <f t="shared" ref="J111:AQ111" si="45">SUM(J109:J110)</f>
        <v>126.82513947907765</v>
      </c>
      <c r="K111" s="58">
        <f t="shared" si="45"/>
        <v>174.36827893482317</v>
      </c>
      <c r="L111" s="58">
        <f t="shared" si="45"/>
        <v>232.23669999999993</v>
      </c>
      <c r="M111" s="58">
        <f t="shared" si="45"/>
        <v>232.23669999999993</v>
      </c>
      <c r="N111" s="58">
        <f t="shared" si="45"/>
        <v>232.23669999999993</v>
      </c>
      <c r="O111" s="58">
        <f t="shared" si="45"/>
        <v>232.23669999999993</v>
      </c>
      <c r="P111" s="58">
        <f t="shared" si="45"/>
        <v>232.23669999999993</v>
      </c>
      <c r="Q111" s="58">
        <f t="shared" si="45"/>
        <v>232.23669999999993</v>
      </c>
      <c r="R111" s="58">
        <f t="shared" si="45"/>
        <v>232.23669999999993</v>
      </c>
      <c r="S111" s="58">
        <f t="shared" si="45"/>
        <v>232.23669999999993</v>
      </c>
      <c r="T111" s="58">
        <f t="shared" si="45"/>
        <v>232.23669999999993</v>
      </c>
      <c r="U111" s="58">
        <f t="shared" si="45"/>
        <v>232.23669999999993</v>
      </c>
      <c r="V111" s="58">
        <f t="shared" si="45"/>
        <v>232.23669999999993</v>
      </c>
      <c r="W111" s="58">
        <f t="shared" si="45"/>
        <v>232.23669999999993</v>
      </c>
      <c r="X111" s="58">
        <f t="shared" si="45"/>
        <v>232.23669999999993</v>
      </c>
      <c r="Y111" s="58">
        <f t="shared" si="45"/>
        <v>232.23669999999993</v>
      </c>
      <c r="Z111" s="58">
        <f t="shared" si="45"/>
        <v>232.23669999999993</v>
      </c>
      <c r="AA111" s="58">
        <f t="shared" si="45"/>
        <v>232.23669999999993</v>
      </c>
      <c r="AB111" s="58">
        <f t="shared" si="45"/>
        <v>232.23669999999993</v>
      </c>
      <c r="AC111" s="58">
        <f t="shared" si="45"/>
        <v>232.23669999999993</v>
      </c>
      <c r="AD111" s="58">
        <f t="shared" si="45"/>
        <v>232.23669999999993</v>
      </c>
      <c r="AE111" s="58">
        <f t="shared" si="45"/>
        <v>232.23669999999993</v>
      </c>
      <c r="AF111" s="58">
        <f t="shared" si="45"/>
        <v>232.23669999999993</v>
      </c>
      <c r="AG111" s="58">
        <f t="shared" si="45"/>
        <v>232.23669999999993</v>
      </c>
      <c r="AH111" s="58">
        <f t="shared" si="45"/>
        <v>232.23669999999993</v>
      </c>
      <c r="AI111" s="58">
        <f t="shared" si="45"/>
        <v>232.23669999999993</v>
      </c>
      <c r="AJ111" s="58">
        <f t="shared" si="45"/>
        <v>232.23669999999993</v>
      </c>
      <c r="AK111" s="58">
        <f t="shared" si="45"/>
        <v>232.23669999999993</v>
      </c>
      <c r="AL111" s="58">
        <f t="shared" si="45"/>
        <v>232.23669999999993</v>
      </c>
      <c r="AM111" s="58">
        <f t="shared" si="45"/>
        <v>232.23669999999993</v>
      </c>
      <c r="AN111" s="58">
        <f t="shared" si="45"/>
        <v>232.23669999999993</v>
      </c>
      <c r="AO111" s="58">
        <f t="shared" si="45"/>
        <v>232.23669999999993</v>
      </c>
      <c r="AP111" s="58">
        <f t="shared" si="45"/>
        <v>232.23669999999993</v>
      </c>
      <c r="AQ111" s="58">
        <f t="shared" si="45"/>
        <v>232.23669999999993</v>
      </c>
    </row>
    <row r="113" spans="2:43" ht="11.25" customHeight="1" thickBot="1">
      <c r="B113" s="147" t="s">
        <v>265</v>
      </c>
      <c r="C113" s="131"/>
      <c r="D113" s="131"/>
      <c r="E113" s="131"/>
      <c r="F113" s="131"/>
      <c r="G113" s="131"/>
      <c r="H113" s="131"/>
      <c r="I113" s="131"/>
      <c r="J113" s="131"/>
      <c r="K113" s="131"/>
      <c r="L113" s="131"/>
      <c r="M113" s="131"/>
      <c r="N113" s="131"/>
      <c r="O113" s="131"/>
      <c r="P113" s="131"/>
      <c r="Q113" s="131"/>
      <c r="R113" s="131"/>
      <c r="S113" s="131"/>
      <c r="T113" s="131"/>
      <c r="U113" s="131"/>
      <c r="V113" s="131"/>
      <c r="W113" s="131"/>
      <c r="X113" s="131"/>
      <c r="Y113" s="131"/>
      <c r="Z113" s="131"/>
      <c r="AA113" s="131"/>
      <c r="AB113" s="131"/>
      <c r="AC113" s="131"/>
      <c r="AD113" s="131"/>
      <c r="AE113" s="131"/>
      <c r="AF113" s="131"/>
      <c r="AG113" s="131"/>
      <c r="AH113" s="131"/>
      <c r="AI113" s="131"/>
      <c r="AJ113" s="131"/>
      <c r="AK113" s="131"/>
      <c r="AL113" s="131"/>
      <c r="AM113" s="131"/>
      <c r="AN113" s="131"/>
      <c r="AO113" s="131"/>
      <c r="AP113" s="131"/>
      <c r="AQ113" s="131"/>
    </row>
    <row r="114" spans="2:43" ht="11.25" customHeight="1">
      <c r="B114" s="3" t="s">
        <v>124</v>
      </c>
      <c r="I114" s="70">
        <v>0</v>
      </c>
      <c r="J114" s="70">
        <f>I116</f>
        <v>34.195730155438497</v>
      </c>
      <c r="K114" s="70">
        <f t="shared" ref="K114:AQ114" si="46">J116</f>
        <v>54.610291775192152</v>
      </c>
      <c r="L114" s="70">
        <f t="shared" si="46"/>
        <v>75.082137721911835</v>
      </c>
      <c r="M114" s="70">
        <f t="shared" si="46"/>
        <v>100</v>
      </c>
      <c r="N114" s="70">
        <f t="shared" si="46"/>
        <v>100</v>
      </c>
      <c r="O114" s="70">
        <f t="shared" si="46"/>
        <v>100</v>
      </c>
      <c r="P114" s="70">
        <f t="shared" si="46"/>
        <v>100</v>
      </c>
      <c r="Q114" s="70">
        <f t="shared" si="46"/>
        <v>100</v>
      </c>
      <c r="R114" s="70">
        <f t="shared" si="46"/>
        <v>100</v>
      </c>
      <c r="S114" s="70">
        <f t="shared" si="46"/>
        <v>100</v>
      </c>
      <c r="T114" s="70">
        <f t="shared" si="46"/>
        <v>100</v>
      </c>
      <c r="U114" s="70">
        <f t="shared" si="46"/>
        <v>100</v>
      </c>
      <c r="V114" s="70">
        <f t="shared" si="46"/>
        <v>100</v>
      </c>
      <c r="W114" s="70">
        <f t="shared" si="46"/>
        <v>100</v>
      </c>
      <c r="X114" s="70">
        <f t="shared" si="46"/>
        <v>100</v>
      </c>
      <c r="Y114" s="70">
        <f t="shared" si="46"/>
        <v>100</v>
      </c>
      <c r="Z114" s="70">
        <f t="shared" si="46"/>
        <v>100</v>
      </c>
      <c r="AA114" s="70">
        <f t="shared" si="46"/>
        <v>100</v>
      </c>
      <c r="AB114" s="70">
        <f t="shared" si="46"/>
        <v>100</v>
      </c>
      <c r="AC114" s="70">
        <f t="shared" si="46"/>
        <v>100</v>
      </c>
      <c r="AD114" s="70">
        <f t="shared" si="46"/>
        <v>100</v>
      </c>
      <c r="AE114" s="70">
        <f t="shared" si="46"/>
        <v>100</v>
      </c>
      <c r="AF114" s="70">
        <f t="shared" si="46"/>
        <v>100</v>
      </c>
      <c r="AG114" s="70">
        <f t="shared" si="46"/>
        <v>100</v>
      </c>
      <c r="AH114" s="70">
        <f t="shared" si="46"/>
        <v>100</v>
      </c>
      <c r="AI114" s="70">
        <f t="shared" si="46"/>
        <v>100</v>
      </c>
      <c r="AJ114" s="70">
        <f t="shared" si="46"/>
        <v>100</v>
      </c>
      <c r="AK114" s="70">
        <f t="shared" si="46"/>
        <v>100</v>
      </c>
      <c r="AL114" s="70">
        <f t="shared" si="46"/>
        <v>100</v>
      </c>
      <c r="AM114" s="70">
        <f t="shared" si="46"/>
        <v>100</v>
      </c>
      <c r="AN114" s="70">
        <f t="shared" si="46"/>
        <v>100</v>
      </c>
      <c r="AO114" s="70">
        <f t="shared" si="46"/>
        <v>100</v>
      </c>
      <c r="AP114" s="70">
        <f t="shared" si="46"/>
        <v>100</v>
      </c>
      <c r="AQ114" s="70">
        <f t="shared" si="46"/>
        <v>100</v>
      </c>
    </row>
    <row r="115" spans="2:43" ht="11.25" customHeight="1">
      <c r="B115" s="118" t="s">
        <v>266</v>
      </c>
      <c r="C115" s="118"/>
      <c r="D115" s="118"/>
      <c r="E115" s="118"/>
      <c r="F115" s="118"/>
      <c r="G115" s="118"/>
      <c r="H115" s="118"/>
      <c r="I115" s="122">
        <f>'Financing Assumptions'!I24</f>
        <v>34.195730155438497</v>
      </c>
      <c r="J115" s="122">
        <f>'Financing Assumptions'!J24</f>
        <v>20.414561619753659</v>
      </c>
      <c r="K115" s="122">
        <f>'Financing Assumptions'!K24</f>
        <v>20.471845946719679</v>
      </c>
      <c r="L115" s="122">
        <f>'Financing Assumptions'!L24</f>
        <v>24.917862278088169</v>
      </c>
      <c r="M115" s="122">
        <f>'Financing Assumptions'!M24</f>
        <v>0</v>
      </c>
      <c r="N115" s="122">
        <f>'Financing Assumptions'!N24</f>
        <v>0</v>
      </c>
      <c r="O115" s="122">
        <f>'Financing Assumptions'!O24</f>
        <v>0</v>
      </c>
      <c r="P115" s="122">
        <f>'Financing Assumptions'!P24</f>
        <v>0</v>
      </c>
      <c r="Q115" s="122">
        <f>'Financing Assumptions'!Q24</f>
        <v>0</v>
      </c>
      <c r="R115" s="122">
        <f>'Financing Assumptions'!R24</f>
        <v>0</v>
      </c>
      <c r="S115" s="122">
        <f>'Financing Assumptions'!S24</f>
        <v>0</v>
      </c>
      <c r="T115" s="122">
        <f>'Financing Assumptions'!T24</f>
        <v>0</v>
      </c>
      <c r="U115" s="122">
        <f>'Financing Assumptions'!U24</f>
        <v>0</v>
      </c>
      <c r="V115" s="122">
        <f>'Financing Assumptions'!V24</f>
        <v>0</v>
      </c>
      <c r="W115" s="122">
        <f>'Financing Assumptions'!W24</f>
        <v>0</v>
      </c>
      <c r="X115" s="122">
        <f>'Financing Assumptions'!X24</f>
        <v>0</v>
      </c>
      <c r="Y115" s="122">
        <f>'Financing Assumptions'!Y24</f>
        <v>0</v>
      </c>
      <c r="Z115" s="122">
        <f>'Financing Assumptions'!Z24</f>
        <v>0</v>
      </c>
      <c r="AA115" s="122">
        <f>'Financing Assumptions'!AA24</f>
        <v>0</v>
      </c>
      <c r="AB115" s="122">
        <f>'Financing Assumptions'!AB24</f>
        <v>0</v>
      </c>
      <c r="AC115" s="122">
        <f>'Financing Assumptions'!AC24</f>
        <v>0</v>
      </c>
      <c r="AD115" s="122">
        <f>'Financing Assumptions'!AD24</f>
        <v>0</v>
      </c>
      <c r="AE115" s="122">
        <f>'Financing Assumptions'!AE24</f>
        <v>0</v>
      </c>
      <c r="AF115" s="122">
        <f>'Financing Assumptions'!AF24</f>
        <v>0</v>
      </c>
      <c r="AG115" s="122">
        <f>'Financing Assumptions'!AG24</f>
        <v>0</v>
      </c>
      <c r="AH115" s="122">
        <f>'Financing Assumptions'!AH24</f>
        <v>0</v>
      </c>
      <c r="AI115" s="122">
        <f>'Financing Assumptions'!AI24</f>
        <v>0</v>
      </c>
      <c r="AJ115" s="122">
        <f>'Financing Assumptions'!AJ24</f>
        <v>0</v>
      </c>
      <c r="AK115" s="122">
        <f>'Financing Assumptions'!AK24</f>
        <v>0</v>
      </c>
      <c r="AL115" s="122">
        <f>'Financing Assumptions'!AL24</f>
        <v>0</v>
      </c>
      <c r="AM115" s="122">
        <f>'Financing Assumptions'!AM24</f>
        <v>0</v>
      </c>
      <c r="AN115" s="122">
        <f>'Financing Assumptions'!AN24</f>
        <v>0</v>
      </c>
      <c r="AO115" s="122">
        <f>'Financing Assumptions'!AO24</f>
        <v>0</v>
      </c>
      <c r="AP115" s="122">
        <f>'Financing Assumptions'!AP24</f>
        <v>0</v>
      </c>
      <c r="AQ115" s="122">
        <f>'Financing Assumptions'!AQ24</f>
        <v>0</v>
      </c>
    </row>
    <row r="116" spans="2:43" ht="11.25" customHeight="1">
      <c r="B116" s="15" t="s">
        <v>125</v>
      </c>
      <c r="C116" s="15"/>
      <c r="D116" s="15"/>
      <c r="E116" s="15"/>
      <c r="F116" s="15"/>
      <c r="G116" s="15"/>
      <c r="H116" s="15"/>
      <c r="I116" s="58">
        <f>SUM(I114:I115)</f>
        <v>34.195730155438497</v>
      </c>
      <c r="J116" s="58">
        <f t="shared" ref="J116:AQ116" si="47">SUM(J114:J115)</f>
        <v>54.610291775192152</v>
      </c>
      <c r="K116" s="58">
        <f t="shared" si="47"/>
        <v>75.082137721911835</v>
      </c>
      <c r="L116" s="58">
        <f t="shared" si="47"/>
        <v>100</v>
      </c>
      <c r="M116" s="58">
        <f t="shared" si="47"/>
        <v>100</v>
      </c>
      <c r="N116" s="58">
        <f t="shared" si="47"/>
        <v>100</v>
      </c>
      <c r="O116" s="58">
        <f t="shared" si="47"/>
        <v>100</v>
      </c>
      <c r="P116" s="58">
        <f t="shared" si="47"/>
        <v>100</v>
      </c>
      <c r="Q116" s="58">
        <f t="shared" si="47"/>
        <v>100</v>
      </c>
      <c r="R116" s="58">
        <f t="shared" si="47"/>
        <v>100</v>
      </c>
      <c r="S116" s="58">
        <f t="shared" si="47"/>
        <v>100</v>
      </c>
      <c r="T116" s="58">
        <f t="shared" si="47"/>
        <v>100</v>
      </c>
      <c r="U116" s="58">
        <f t="shared" si="47"/>
        <v>100</v>
      </c>
      <c r="V116" s="58">
        <f t="shared" si="47"/>
        <v>100</v>
      </c>
      <c r="W116" s="58">
        <f t="shared" si="47"/>
        <v>100</v>
      </c>
      <c r="X116" s="58">
        <f t="shared" si="47"/>
        <v>100</v>
      </c>
      <c r="Y116" s="58">
        <f t="shared" si="47"/>
        <v>100</v>
      </c>
      <c r="Z116" s="58">
        <f t="shared" si="47"/>
        <v>100</v>
      </c>
      <c r="AA116" s="58">
        <f t="shared" si="47"/>
        <v>100</v>
      </c>
      <c r="AB116" s="58">
        <f t="shared" si="47"/>
        <v>100</v>
      </c>
      <c r="AC116" s="58">
        <f t="shared" si="47"/>
        <v>100</v>
      </c>
      <c r="AD116" s="58">
        <f t="shared" si="47"/>
        <v>100</v>
      </c>
      <c r="AE116" s="58">
        <f t="shared" si="47"/>
        <v>100</v>
      </c>
      <c r="AF116" s="58">
        <f t="shared" si="47"/>
        <v>100</v>
      </c>
      <c r="AG116" s="58">
        <f t="shared" si="47"/>
        <v>100</v>
      </c>
      <c r="AH116" s="58">
        <f t="shared" si="47"/>
        <v>100</v>
      </c>
      <c r="AI116" s="58">
        <f t="shared" si="47"/>
        <v>100</v>
      </c>
      <c r="AJ116" s="58">
        <f t="shared" si="47"/>
        <v>100</v>
      </c>
      <c r="AK116" s="58">
        <f t="shared" si="47"/>
        <v>100</v>
      </c>
      <c r="AL116" s="58">
        <f t="shared" si="47"/>
        <v>100</v>
      </c>
      <c r="AM116" s="58">
        <f t="shared" si="47"/>
        <v>100</v>
      </c>
      <c r="AN116" s="58">
        <f t="shared" si="47"/>
        <v>100</v>
      </c>
      <c r="AO116" s="58">
        <f t="shared" si="47"/>
        <v>100</v>
      </c>
      <c r="AP116" s="58">
        <f t="shared" si="47"/>
        <v>100</v>
      </c>
      <c r="AQ116" s="58">
        <f t="shared" si="47"/>
        <v>100</v>
      </c>
    </row>
    <row r="118" spans="2:43" ht="11.25" customHeight="1" thickBot="1">
      <c r="B118" s="147" t="s">
        <v>250</v>
      </c>
      <c r="C118" s="131"/>
      <c r="D118" s="131"/>
      <c r="E118" s="131"/>
      <c r="F118" s="131"/>
      <c r="G118" s="131"/>
      <c r="H118" s="131"/>
      <c r="I118" s="131"/>
      <c r="J118" s="131"/>
      <c r="K118" s="131"/>
      <c r="L118" s="131"/>
      <c r="M118" s="131"/>
      <c r="N118" s="131"/>
      <c r="O118" s="131"/>
      <c r="P118" s="131"/>
      <c r="Q118" s="131"/>
      <c r="R118" s="131"/>
      <c r="S118" s="131"/>
      <c r="T118" s="131"/>
      <c r="U118" s="131"/>
      <c r="V118" s="131"/>
      <c r="W118" s="131"/>
      <c r="X118" s="131"/>
      <c r="Y118" s="131"/>
      <c r="Z118" s="131"/>
      <c r="AA118" s="131"/>
      <c r="AB118" s="131"/>
      <c r="AC118" s="131"/>
      <c r="AD118" s="131"/>
      <c r="AE118" s="131"/>
      <c r="AF118" s="131"/>
      <c r="AG118" s="131"/>
      <c r="AH118" s="131"/>
      <c r="AI118" s="131"/>
      <c r="AJ118" s="131"/>
      <c r="AK118" s="131"/>
      <c r="AL118" s="131"/>
      <c r="AM118" s="131"/>
      <c r="AN118" s="131"/>
      <c r="AO118" s="131"/>
      <c r="AP118" s="131"/>
      <c r="AQ118" s="131"/>
    </row>
    <row r="119" spans="2:43" ht="11.25" customHeight="1">
      <c r="B119" s="3" t="s">
        <v>251</v>
      </c>
      <c r="I119" s="3">
        <v>0</v>
      </c>
      <c r="J119" s="134">
        <f>I122</f>
        <v>-34.64179452735727</v>
      </c>
      <c r="K119" s="134">
        <f t="shared" ref="K119:AQ119" si="48">J122</f>
        <v>-76.227822313637802</v>
      </c>
      <c r="L119" s="134">
        <f t="shared" si="48"/>
        <v>-127.32694438508757</v>
      </c>
      <c r="M119" s="134">
        <f t="shared" si="48"/>
        <v>-189.39267562532623</v>
      </c>
      <c r="N119" s="134">
        <f t="shared" si="48"/>
        <v>351.76326740974639</v>
      </c>
      <c r="O119" s="134">
        <f t="shared" si="48"/>
        <v>765.2991110435197</v>
      </c>
      <c r="P119" s="134">
        <f t="shared" si="48"/>
        <v>894.69983046375523</v>
      </c>
      <c r="Q119" s="134">
        <f t="shared" si="48"/>
        <v>1016.2869885705859</v>
      </c>
      <c r="R119" s="134">
        <f t="shared" si="48"/>
        <v>1130.0605641377438</v>
      </c>
      <c r="S119" s="134">
        <f t="shared" si="48"/>
        <v>1236.0205355144351</v>
      </c>
      <c r="T119" s="134">
        <f t="shared" si="48"/>
        <v>1334.1668806168507</v>
      </c>
      <c r="U119" s="134">
        <f t="shared" si="48"/>
        <v>1424.499576919505</v>
      </c>
      <c r="V119" s="134">
        <f t="shared" si="48"/>
        <v>1610.612351446403</v>
      </c>
      <c r="W119" s="134">
        <f t="shared" si="48"/>
        <v>1680.0051807620293</v>
      </c>
      <c r="X119" s="134">
        <f t="shared" si="48"/>
        <v>1741.5842909621583</v>
      </c>
      <c r="Y119" s="134">
        <f t="shared" si="48"/>
        <v>1795.3496576644807</v>
      </c>
      <c r="Z119" s="134">
        <f t="shared" si="48"/>
        <v>1841.3012559990398</v>
      </c>
      <c r="AA119" s="134">
        <f t="shared" si="48"/>
        <v>1879.4390605984809</v>
      </c>
      <c r="AB119" s="134">
        <f t="shared" si="48"/>
        <v>1909.7630455881008</v>
      </c>
      <c r="AC119" s="134">
        <f t="shared" si="48"/>
        <v>1932.2731845757037</v>
      </c>
      <c r="AD119" s="134">
        <f t="shared" si="48"/>
        <v>2048.5461187778665</v>
      </c>
      <c r="AE119" s="134">
        <f t="shared" si="48"/>
        <v>2050.2876627698984</v>
      </c>
      <c r="AF119" s="134">
        <f t="shared" si="48"/>
        <v>2044.9855625294845</v>
      </c>
      <c r="AG119" s="134">
        <f t="shared" si="48"/>
        <v>2034.2862577800743</v>
      </c>
      <c r="AH119" s="134">
        <f t="shared" si="48"/>
        <v>2023.5854669356759</v>
      </c>
      <c r="AI119" s="134">
        <f t="shared" si="48"/>
        <v>2012.8831602743894</v>
      </c>
      <c r="AJ119" s="134">
        <f t="shared" si="48"/>
        <v>2002.179307479877</v>
      </c>
      <c r="AK119" s="134">
        <f t="shared" si="48"/>
        <v>1991.4738776294748</v>
      </c>
      <c r="AL119" s="134">
        <f t="shared" si="48"/>
        <v>2084.3605891820644</v>
      </c>
      <c r="AM119" s="134">
        <f t="shared" si="48"/>
        <v>2068.3394099657053</v>
      </c>
      <c r="AN119" s="134">
        <f t="shared" si="48"/>
        <v>2052.1358280086688</v>
      </c>
      <c r="AO119" s="134">
        <f t="shared" si="48"/>
        <v>2036.1076535688419</v>
      </c>
      <c r="AP119" s="134">
        <f t="shared" si="48"/>
        <v>2022.733915640219</v>
      </c>
      <c r="AQ119" s="134">
        <f t="shared" si="48"/>
        <v>2012.0145779530233</v>
      </c>
    </row>
    <row r="120" spans="2:43" ht="11.25" customHeight="1">
      <c r="B120" s="3" t="s">
        <v>246</v>
      </c>
      <c r="I120" s="134">
        <f>'Financial Statements'!I24</f>
        <v>-34.64179452735727</v>
      </c>
      <c r="J120" s="134">
        <f>'Financial Statements'!J24</f>
        <v>-41.586027786280532</v>
      </c>
      <c r="K120" s="134">
        <f>'Financial Statements'!K24</f>
        <v>-51.09912207144977</v>
      </c>
      <c r="L120" s="134">
        <f>'Financial Statements'!L24</f>
        <v>-62.065731240238662</v>
      </c>
      <c r="M120" s="134">
        <f>'Financial Statements'!M24</f>
        <v>541.1559430350726</v>
      </c>
      <c r="N120" s="134">
        <f>'Financial Statements'!N24</f>
        <v>536.1894726365299</v>
      </c>
      <c r="O120" s="134">
        <f>'Financial Statements'!O24</f>
        <v>531.21477359075493</v>
      </c>
      <c r="P120" s="134">
        <f>'Financial Statements'!P24</f>
        <v>526.23168132480384</v>
      </c>
      <c r="Q120" s="134">
        <f>'Financial Statements'!Q24</f>
        <v>521.24002797427215</v>
      </c>
      <c r="R120" s="134">
        <f>'Financial Statements'!R24</f>
        <v>516.23964231746891</v>
      </c>
      <c r="S120" s="134">
        <f>'Financial Statements'!S24</f>
        <v>511.23034970826808</v>
      </c>
      <c r="T120" s="134">
        <f>'Financial Statements'!T24</f>
        <v>506.21197200762253</v>
      </c>
      <c r="U120" s="134">
        <f>'Financial Statements'!U24</f>
        <v>499.45776501370284</v>
      </c>
      <c r="V120" s="134">
        <f>'Financial Statements'!V24</f>
        <v>492.69410589064347</v>
      </c>
      <c r="W120" s="134">
        <f>'Financial Statements'!W24</f>
        <v>487.64736809586168</v>
      </c>
      <c r="X120" s="134">
        <f>'Financial Statements'!X24</f>
        <v>482.59079630592333</v>
      </c>
      <c r="Y120" s="134">
        <f>'Financial Statements'!Y24</f>
        <v>477.52419384092502</v>
      </c>
      <c r="Z120" s="134">
        <f>'Financial Statements'!Z24</f>
        <v>472.44736008736555</v>
      </c>
      <c r="AA120" s="134">
        <f>'Financial Statements'!AA24</f>
        <v>467.36009041947375</v>
      </c>
      <c r="AB120" s="134">
        <f>'Financial Statements'!AB24</f>
        <v>462.262176118963</v>
      </c>
      <c r="AC120" s="134">
        <f>'Financial Statements'!AC24</f>
        <v>458.82339109506694</v>
      </c>
      <c r="AD120" s="134">
        <f>'Financial Statements'!AD24</f>
        <v>457.26947598524293</v>
      </c>
      <c r="AE120" s="134">
        <f>'Financial Statements'!AE24</f>
        <v>455.78272617066807</v>
      </c>
      <c r="AF120" s="134">
        <f>'Financial Statements'!AF24</f>
        <v>454.68728694408151</v>
      </c>
      <c r="AG120" s="134">
        <f>'Financial Statements'!AG24</f>
        <v>454.08790768296313</v>
      </c>
      <c r="AH120" s="134">
        <f>'Financial Statements'!AH24</f>
        <v>453.47654083662235</v>
      </c>
      <c r="AI120" s="134">
        <f>'Financial Statements'!AI24</f>
        <v>452.85294665335471</v>
      </c>
      <c r="AJ120" s="134">
        <f>'Financial Statements'!AJ24</f>
        <v>452.21688058642212</v>
      </c>
      <c r="AK120" s="134">
        <f>'Financial Statements'!AK24</f>
        <v>449.84153069815045</v>
      </c>
      <c r="AL120" s="134">
        <f>'Financial Statements'!AL24</f>
        <v>447.45320506211345</v>
      </c>
      <c r="AM120" s="134">
        <f>'Financial Statements'!AM24</f>
        <v>445.34894025188595</v>
      </c>
      <c r="AN120" s="134">
        <f>'Financial Statements'!AN24</f>
        <v>444.63185655692382</v>
      </c>
      <c r="AO120" s="134">
        <f>'Financial Statements'!AO24</f>
        <v>445.62699368806216</v>
      </c>
      <c r="AP120" s="134">
        <f>'Financial Statements'!AP24</f>
        <v>446.6075023118234</v>
      </c>
      <c r="AQ120" s="134">
        <f>'Financial Statements'!AQ24</f>
        <v>445.84652735805986</v>
      </c>
    </row>
    <row r="121" spans="2:43" ht="11.25" customHeight="1">
      <c r="B121" s="118" t="s">
        <v>247</v>
      </c>
      <c r="C121" s="118"/>
      <c r="D121" s="118"/>
      <c r="E121" s="118"/>
      <c r="F121" s="118"/>
      <c r="G121" s="118"/>
      <c r="H121" s="118"/>
      <c r="I121" s="122">
        <f>'Cash Flow Waterfall'!I68</f>
        <v>0</v>
      </c>
      <c r="J121" s="122">
        <f>'Cash Flow Waterfall'!J68</f>
        <v>0</v>
      </c>
      <c r="K121" s="122">
        <f>'Cash Flow Waterfall'!K68</f>
        <v>0</v>
      </c>
      <c r="L121" s="122">
        <f>'Cash Flow Waterfall'!L68</f>
        <v>0</v>
      </c>
      <c r="M121" s="122">
        <f>'Cash Flow Waterfall'!M68</f>
        <v>0</v>
      </c>
      <c r="N121" s="122">
        <f>'Cash Flow Waterfall'!N68</f>
        <v>-122.65362900275656</v>
      </c>
      <c r="O121" s="122">
        <f>'Cash Flow Waterfall'!O68</f>
        <v>-401.81405417051951</v>
      </c>
      <c r="P121" s="122">
        <f>'Cash Flow Waterfall'!P68</f>
        <v>-404.64452321797307</v>
      </c>
      <c r="Q121" s="122">
        <f>'Cash Flow Waterfall'!Q68</f>
        <v>-407.46645240711428</v>
      </c>
      <c r="R121" s="122">
        <f>'Cash Flow Waterfall'!R68</f>
        <v>-410.27967094077763</v>
      </c>
      <c r="S121" s="122">
        <f>'Cash Flow Waterfall'!S68</f>
        <v>-413.0840046058525</v>
      </c>
      <c r="T121" s="122">
        <f>'Cash Flow Waterfall'!T68</f>
        <v>-415.87927570496817</v>
      </c>
      <c r="U121" s="122">
        <f>'Cash Flow Waterfall'!U68</f>
        <v>-313.34499048680487</v>
      </c>
      <c r="V121" s="122">
        <f>'Cash Flow Waterfall'!V68</f>
        <v>-423.30127657501731</v>
      </c>
      <c r="W121" s="122">
        <f>'Cash Flow Waterfall'!W68</f>
        <v>-426.06825789573247</v>
      </c>
      <c r="X121" s="122">
        <f>'Cash Flow Waterfall'!X68</f>
        <v>-428.82542960360104</v>
      </c>
      <c r="Y121" s="122">
        <f>'Cash Flow Waterfall'!Y68</f>
        <v>-431.57259550636581</v>
      </c>
      <c r="Z121" s="122">
        <f>'Cash Flow Waterfall'!Z68</f>
        <v>-434.30955548792474</v>
      </c>
      <c r="AA121" s="122">
        <f>'Cash Flow Waterfall'!AA68</f>
        <v>-437.03610542985371</v>
      </c>
      <c r="AB121" s="122">
        <f>'Cash Flow Waterfall'!AB68</f>
        <v>-439.75203713136005</v>
      </c>
      <c r="AC121" s="122">
        <f>'Cash Flow Waterfall'!AC68</f>
        <v>-342.55045689290426</v>
      </c>
      <c r="AD121" s="122">
        <f>'Cash Flow Waterfall'!AD68</f>
        <v>-455.52793199321121</v>
      </c>
      <c r="AE121" s="122">
        <f>'Cash Flow Waterfall'!AE68</f>
        <v>-461.08482641108191</v>
      </c>
      <c r="AF121" s="122">
        <f>'Cash Flow Waterfall'!AF68</f>
        <v>-465.38659169349182</v>
      </c>
      <c r="AG121" s="122">
        <f>'Cash Flow Waterfall'!AG68</f>
        <v>-464.7886985273617</v>
      </c>
      <c r="AH121" s="122">
        <f>'Cash Flow Waterfall'!AH68</f>
        <v>-464.17884749790892</v>
      </c>
      <c r="AI121" s="122">
        <f>'Cash Flow Waterfall'!AI68</f>
        <v>-463.55679944786698</v>
      </c>
      <c r="AJ121" s="122">
        <f>'Cash Flow Waterfall'!AJ68</f>
        <v>-462.92231043682443</v>
      </c>
      <c r="AK121" s="122">
        <f>'Cash Flow Waterfall'!AK68</f>
        <v>-356.95481914556103</v>
      </c>
      <c r="AL121" s="122">
        <f>'Cash Flow Waterfall'!AL68</f>
        <v>-463.47438427847237</v>
      </c>
      <c r="AM121" s="122">
        <f>'Cash Flow Waterfall'!AM68</f>
        <v>-461.55252220892203</v>
      </c>
      <c r="AN121" s="122">
        <f>'Cash Flow Waterfall'!AN68</f>
        <v>-460.66003099675049</v>
      </c>
      <c r="AO121" s="122">
        <f>'Cash Flow Waterfall'!AO68</f>
        <v>-459.00073161668524</v>
      </c>
      <c r="AP121" s="122">
        <f>'Cash Flow Waterfall'!AP68</f>
        <v>-457.32683999901906</v>
      </c>
      <c r="AQ121" s="122">
        <f>'Cash Flow Waterfall'!AQ68</f>
        <v>-456.56775179899932</v>
      </c>
    </row>
    <row r="122" spans="2:43" ht="11.25" customHeight="1">
      <c r="B122" s="15" t="s">
        <v>252</v>
      </c>
      <c r="C122" s="15"/>
      <c r="D122" s="15"/>
      <c r="E122" s="15"/>
      <c r="F122" s="15"/>
      <c r="G122" s="15"/>
      <c r="H122" s="15"/>
      <c r="I122" s="58">
        <f>SUM(I119:I121)</f>
        <v>-34.64179452735727</v>
      </c>
      <c r="J122" s="58">
        <f t="shared" ref="J122:AQ122" si="49">SUM(J119:J121)</f>
        <v>-76.227822313637802</v>
      </c>
      <c r="K122" s="58">
        <f t="shared" si="49"/>
        <v>-127.32694438508757</v>
      </c>
      <c r="L122" s="58">
        <f t="shared" si="49"/>
        <v>-189.39267562532623</v>
      </c>
      <c r="M122" s="58">
        <f t="shared" si="49"/>
        <v>351.76326740974639</v>
      </c>
      <c r="N122" s="58">
        <f t="shared" si="49"/>
        <v>765.2991110435197</v>
      </c>
      <c r="O122" s="58">
        <f t="shared" si="49"/>
        <v>894.69983046375523</v>
      </c>
      <c r="P122" s="58">
        <f t="shared" si="49"/>
        <v>1016.2869885705859</v>
      </c>
      <c r="Q122" s="58">
        <f t="shared" si="49"/>
        <v>1130.0605641377438</v>
      </c>
      <c r="R122" s="58">
        <f t="shared" si="49"/>
        <v>1236.0205355144351</v>
      </c>
      <c r="S122" s="58">
        <f t="shared" si="49"/>
        <v>1334.1668806168507</v>
      </c>
      <c r="T122" s="58">
        <f t="shared" si="49"/>
        <v>1424.499576919505</v>
      </c>
      <c r="U122" s="58">
        <f t="shared" si="49"/>
        <v>1610.612351446403</v>
      </c>
      <c r="V122" s="58">
        <f t="shared" si="49"/>
        <v>1680.0051807620293</v>
      </c>
      <c r="W122" s="58">
        <f t="shared" si="49"/>
        <v>1741.5842909621583</v>
      </c>
      <c r="X122" s="58">
        <f t="shared" si="49"/>
        <v>1795.3496576644807</v>
      </c>
      <c r="Y122" s="58">
        <f t="shared" si="49"/>
        <v>1841.3012559990398</v>
      </c>
      <c r="Z122" s="58">
        <f t="shared" si="49"/>
        <v>1879.4390605984809</v>
      </c>
      <c r="AA122" s="58">
        <f t="shared" si="49"/>
        <v>1909.7630455881008</v>
      </c>
      <c r="AB122" s="58">
        <f t="shared" si="49"/>
        <v>1932.2731845757037</v>
      </c>
      <c r="AC122" s="58">
        <f t="shared" si="49"/>
        <v>2048.5461187778665</v>
      </c>
      <c r="AD122" s="58">
        <f t="shared" si="49"/>
        <v>2050.2876627698984</v>
      </c>
      <c r="AE122" s="58">
        <f t="shared" si="49"/>
        <v>2044.9855625294845</v>
      </c>
      <c r="AF122" s="58">
        <f t="shared" si="49"/>
        <v>2034.2862577800743</v>
      </c>
      <c r="AG122" s="58">
        <f t="shared" si="49"/>
        <v>2023.5854669356759</v>
      </c>
      <c r="AH122" s="58">
        <f t="shared" si="49"/>
        <v>2012.8831602743894</v>
      </c>
      <c r="AI122" s="58">
        <f t="shared" si="49"/>
        <v>2002.179307479877</v>
      </c>
      <c r="AJ122" s="58">
        <f t="shared" si="49"/>
        <v>1991.4738776294748</v>
      </c>
      <c r="AK122" s="58">
        <f t="shared" si="49"/>
        <v>2084.3605891820644</v>
      </c>
      <c r="AL122" s="58">
        <f t="shared" si="49"/>
        <v>2068.3394099657053</v>
      </c>
      <c r="AM122" s="58">
        <f t="shared" si="49"/>
        <v>2052.1358280086688</v>
      </c>
      <c r="AN122" s="58">
        <f t="shared" si="49"/>
        <v>2036.1076535688419</v>
      </c>
      <c r="AO122" s="58">
        <f t="shared" si="49"/>
        <v>2022.733915640219</v>
      </c>
      <c r="AP122" s="58">
        <f t="shared" si="49"/>
        <v>2012.0145779530233</v>
      </c>
      <c r="AQ122" s="58">
        <f t="shared" si="49"/>
        <v>2001.2933535120837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N77"/>
  <sheetViews>
    <sheetView showGridLines="0" zoomScaleNormal="100" workbookViewId="0">
      <selection activeCell="B1" sqref="B1"/>
    </sheetView>
  </sheetViews>
  <sheetFormatPr baseColWidth="10" defaultColWidth="9.1640625" defaultRowHeight="11"/>
  <cols>
    <col min="1" max="1" width="2.6640625" style="3" customWidth="1"/>
    <col min="2" max="16384" width="9.1640625" style="3"/>
  </cols>
  <sheetData>
    <row r="1" spans="1:118" customFormat="1" ht="19">
      <c r="A1" s="1"/>
      <c r="B1" s="2" t="str">
        <f>Summary!$B$1</f>
        <v>RNFC: Highway Integrated Financial Model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</row>
    <row r="2" spans="1:118" customFormat="1" ht="19">
      <c r="A2" s="1"/>
      <c r="B2" s="2" t="s">
        <v>217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</row>
    <row r="4" spans="1:118">
      <c r="A4" s="3" t="s">
        <v>0</v>
      </c>
      <c r="B4" s="4" t="s">
        <v>216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</row>
    <row r="5" spans="1:118">
      <c r="I5" s="133">
        <v>1</v>
      </c>
      <c r="J5" s="133">
        <f>IF(J6="","",I5+1)</f>
        <v>2</v>
      </c>
      <c r="K5" s="133">
        <f t="shared" ref="K5:AQ5" si="0">IF(K6="","",J5+1)</f>
        <v>3</v>
      </c>
      <c r="L5" s="133">
        <f t="shared" si="0"/>
        <v>4</v>
      </c>
      <c r="M5" s="133">
        <f t="shared" si="0"/>
        <v>5</v>
      </c>
      <c r="N5" s="133">
        <f t="shared" si="0"/>
        <v>6</v>
      </c>
      <c r="O5" s="133">
        <f t="shared" si="0"/>
        <v>7</v>
      </c>
      <c r="P5" s="133">
        <f t="shared" si="0"/>
        <v>8</v>
      </c>
      <c r="Q5" s="133">
        <f t="shared" si="0"/>
        <v>9</v>
      </c>
      <c r="R5" s="133">
        <f t="shared" si="0"/>
        <v>10</v>
      </c>
      <c r="S5" s="133">
        <f t="shared" si="0"/>
        <v>11</v>
      </c>
      <c r="T5" s="133">
        <f t="shared" si="0"/>
        <v>12</v>
      </c>
      <c r="U5" s="133">
        <f t="shared" si="0"/>
        <v>13</v>
      </c>
      <c r="V5" s="133">
        <f t="shared" si="0"/>
        <v>14</v>
      </c>
      <c r="W5" s="133">
        <f t="shared" si="0"/>
        <v>15</v>
      </c>
      <c r="X5" s="133">
        <f t="shared" si="0"/>
        <v>16</v>
      </c>
      <c r="Y5" s="133">
        <f t="shared" si="0"/>
        <v>17</v>
      </c>
      <c r="Z5" s="133">
        <f t="shared" si="0"/>
        <v>18</v>
      </c>
      <c r="AA5" s="133">
        <f t="shared" si="0"/>
        <v>19</v>
      </c>
      <c r="AB5" s="133">
        <f t="shared" si="0"/>
        <v>20</v>
      </c>
      <c r="AC5" s="133">
        <f t="shared" si="0"/>
        <v>21</v>
      </c>
      <c r="AD5" s="133">
        <f t="shared" si="0"/>
        <v>22</v>
      </c>
      <c r="AE5" s="133">
        <f t="shared" si="0"/>
        <v>23</v>
      </c>
      <c r="AF5" s="133">
        <f t="shared" si="0"/>
        <v>24</v>
      </c>
      <c r="AG5" s="133">
        <f t="shared" si="0"/>
        <v>25</v>
      </c>
      <c r="AH5" s="133">
        <f t="shared" si="0"/>
        <v>26</v>
      </c>
      <c r="AI5" s="133">
        <f t="shared" si="0"/>
        <v>27</v>
      </c>
      <c r="AJ5" s="133">
        <f t="shared" si="0"/>
        <v>28</v>
      </c>
      <c r="AK5" s="133">
        <f t="shared" si="0"/>
        <v>29</v>
      </c>
      <c r="AL5" s="133">
        <f t="shared" si="0"/>
        <v>30</v>
      </c>
      <c r="AM5" s="133">
        <f t="shared" si="0"/>
        <v>31</v>
      </c>
      <c r="AN5" s="133">
        <f t="shared" si="0"/>
        <v>32</v>
      </c>
      <c r="AO5" s="133">
        <f t="shared" si="0"/>
        <v>33</v>
      </c>
      <c r="AP5" s="133">
        <f t="shared" si="0"/>
        <v>34</v>
      </c>
      <c r="AQ5" s="133">
        <f t="shared" si="0"/>
        <v>35</v>
      </c>
    </row>
    <row r="6" spans="1:118" ht="12" thickBot="1">
      <c r="B6" s="9"/>
      <c r="C6" s="8"/>
      <c r="D6" s="8"/>
      <c r="E6" s="9" t="s">
        <v>48</v>
      </c>
      <c r="F6" s="9" t="s">
        <v>72</v>
      </c>
      <c r="G6" s="8"/>
      <c r="H6" s="8"/>
      <c r="I6" s="9">
        <f>YEAR(Now)</f>
        <v>2016</v>
      </c>
      <c r="J6" s="9">
        <f t="shared" ref="J6:AQ6" si="1">IFERROR(IF(I6+1&gt;End,"",I6+1),"")</f>
        <v>2017</v>
      </c>
      <c r="K6" s="9">
        <f t="shared" si="1"/>
        <v>2018</v>
      </c>
      <c r="L6" s="9">
        <f t="shared" si="1"/>
        <v>2019</v>
      </c>
      <c r="M6" s="9">
        <f t="shared" si="1"/>
        <v>2020</v>
      </c>
      <c r="N6" s="9">
        <f t="shared" si="1"/>
        <v>2021</v>
      </c>
      <c r="O6" s="9">
        <f t="shared" si="1"/>
        <v>2022</v>
      </c>
      <c r="P6" s="9">
        <f t="shared" si="1"/>
        <v>2023</v>
      </c>
      <c r="Q6" s="9">
        <f t="shared" si="1"/>
        <v>2024</v>
      </c>
      <c r="R6" s="9">
        <f t="shared" si="1"/>
        <v>2025</v>
      </c>
      <c r="S6" s="9">
        <f t="shared" si="1"/>
        <v>2026</v>
      </c>
      <c r="T6" s="9">
        <f t="shared" si="1"/>
        <v>2027</v>
      </c>
      <c r="U6" s="9">
        <f t="shared" si="1"/>
        <v>2028</v>
      </c>
      <c r="V6" s="9">
        <f t="shared" si="1"/>
        <v>2029</v>
      </c>
      <c r="W6" s="9">
        <f t="shared" si="1"/>
        <v>2030</v>
      </c>
      <c r="X6" s="9">
        <f t="shared" si="1"/>
        <v>2031</v>
      </c>
      <c r="Y6" s="9">
        <f t="shared" si="1"/>
        <v>2032</v>
      </c>
      <c r="Z6" s="9">
        <f t="shared" si="1"/>
        <v>2033</v>
      </c>
      <c r="AA6" s="9">
        <f t="shared" si="1"/>
        <v>2034</v>
      </c>
      <c r="AB6" s="9">
        <f t="shared" si="1"/>
        <v>2035</v>
      </c>
      <c r="AC6" s="9">
        <f t="shared" si="1"/>
        <v>2036</v>
      </c>
      <c r="AD6" s="9">
        <f t="shared" si="1"/>
        <v>2037</v>
      </c>
      <c r="AE6" s="9">
        <f t="shared" si="1"/>
        <v>2038</v>
      </c>
      <c r="AF6" s="9">
        <f t="shared" si="1"/>
        <v>2039</v>
      </c>
      <c r="AG6" s="9">
        <f t="shared" si="1"/>
        <v>2040</v>
      </c>
      <c r="AH6" s="9">
        <f t="shared" si="1"/>
        <v>2041</v>
      </c>
      <c r="AI6" s="9">
        <f t="shared" si="1"/>
        <v>2042</v>
      </c>
      <c r="AJ6" s="9">
        <f t="shared" si="1"/>
        <v>2043</v>
      </c>
      <c r="AK6" s="9">
        <f t="shared" si="1"/>
        <v>2044</v>
      </c>
      <c r="AL6" s="9">
        <f t="shared" si="1"/>
        <v>2045</v>
      </c>
      <c r="AM6" s="9">
        <f t="shared" si="1"/>
        <v>2046</v>
      </c>
      <c r="AN6" s="9">
        <f t="shared" si="1"/>
        <v>2047</v>
      </c>
      <c r="AO6" s="9">
        <f t="shared" si="1"/>
        <v>2048</v>
      </c>
      <c r="AP6" s="9">
        <f t="shared" si="1"/>
        <v>2049</v>
      </c>
      <c r="AQ6" s="9">
        <f t="shared" si="1"/>
        <v>2050</v>
      </c>
    </row>
    <row r="7" spans="1:118">
      <c r="B7" s="3" t="s">
        <v>218</v>
      </c>
      <c r="I7" s="70">
        <f>Model!I24</f>
        <v>0</v>
      </c>
      <c r="J7" s="70">
        <f>Model!J24</f>
        <v>0</v>
      </c>
      <c r="K7" s="70">
        <f>Model!K24</f>
        <v>0</v>
      </c>
      <c r="L7" s="70">
        <f>Model!L24</f>
        <v>0</v>
      </c>
      <c r="M7" s="70">
        <f>Model!M24</f>
        <v>912.5</v>
      </c>
      <c r="N7" s="70">
        <f>Model!N24</f>
        <v>912.5</v>
      </c>
      <c r="O7" s="70">
        <f>Model!O24</f>
        <v>912.5</v>
      </c>
      <c r="P7" s="70">
        <f>Model!P24</f>
        <v>912.50000000000011</v>
      </c>
      <c r="Q7" s="70">
        <f>Model!Q24</f>
        <v>912.5</v>
      </c>
      <c r="R7" s="70">
        <f>Model!R24</f>
        <v>912.50000000000023</v>
      </c>
      <c r="S7" s="70">
        <f>Model!S24</f>
        <v>912.5</v>
      </c>
      <c r="T7" s="70">
        <f>Model!T24</f>
        <v>912.50000000000034</v>
      </c>
      <c r="U7" s="70">
        <f>Model!U24</f>
        <v>912.50000000000045</v>
      </c>
      <c r="V7" s="70">
        <f>Model!V24</f>
        <v>912.50000000000045</v>
      </c>
      <c r="W7" s="70">
        <f>Model!W24</f>
        <v>912.50000000000023</v>
      </c>
      <c r="X7" s="70">
        <f>Model!X24</f>
        <v>912.50000000000045</v>
      </c>
      <c r="Y7" s="70">
        <f>Model!Y24</f>
        <v>912.50000000000045</v>
      </c>
      <c r="Z7" s="70">
        <f>Model!Z24</f>
        <v>912.50000000000045</v>
      </c>
      <c r="AA7" s="70">
        <f>Model!AA24</f>
        <v>912.50000000000045</v>
      </c>
      <c r="AB7" s="70">
        <f>Model!AB24</f>
        <v>912.50000000000045</v>
      </c>
      <c r="AC7" s="70">
        <f>Model!AC24</f>
        <v>912.50000000000045</v>
      </c>
      <c r="AD7" s="70">
        <f>Model!AD24</f>
        <v>912.50000000000045</v>
      </c>
      <c r="AE7" s="70">
        <f>Model!AE24</f>
        <v>912.50000000000045</v>
      </c>
      <c r="AF7" s="70">
        <f>Model!AF24</f>
        <v>912.50000000000045</v>
      </c>
      <c r="AG7" s="70">
        <f>Model!AG24</f>
        <v>912.50000000000045</v>
      </c>
      <c r="AH7" s="70">
        <f>Model!AH24</f>
        <v>912.50000000000045</v>
      </c>
      <c r="AI7" s="70">
        <f>Model!AI24</f>
        <v>912.50000000000034</v>
      </c>
      <c r="AJ7" s="70">
        <f>Model!AJ24</f>
        <v>912.50000000000068</v>
      </c>
      <c r="AK7" s="70">
        <f>Model!AK24</f>
        <v>912.50000000000057</v>
      </c>
      <c r="AL7" s="70">
        <f>Model!AL24</f>
        <v>912.50000000000068</v>
      </c>
      <c r="AM7" s="70">
        <f>Model!AM24</f>
        <v>912.50000000000057</v>
      </c>
      <c r="AN7" s="70">
        <f>Model!AN24</f>
        <v>912.50000000000091</v>
      </c>
      <c r="AO7" s="70">
        <f>Model!AO24</f>
        <v>912.50000000000068</v>
      </c>
      <c r="AP7" s="70">
        <f>Model!AP24</f>
        <v>912.50000000000068</v>
      </c>
      <c r="AQ7" s="70">
        <f>Model!AQ24</f>
        <v>912.50000000000068</v>
      </c>
    </row>
    <row r="8" spans="1:118">
      <c r="B8" s="118" t="s">
        <v>28</v>
      </c>
      <c r="C8" s="118"/>
      <c r="D8" s="118"/>
      <c r="E8" s="118"/>
      <c r="F8" s="118"/>
      <c r="G8" s="118"/>
      <c r="H8" s="118"/>
      <c r="I8" s="122">
        <f>Model!I39</f>
        <v>0</v>
      </c>
      <c r="J8" s="122">
        <f>Model!J39</f>
        <v>0</v>
      </c>
      <c r="K8" s="122">
        <f>Model!K39</f>
        <v>0</v>
      </c>
      <c r="L8" s="122">
        <f>Model!L39</f>
        <v>0</v>
      </c>
      <c r="M8" s="122">
        <f>Model!M39</f>
        <v>60</v>
      </c>
      <c r="N8" s="122">
        <f>Model!N39</f>
        <v>61.2</v>
      </c>
      <c r="O8" s="122">
        <f>Model!O39</f>
        <v>62.424000000000007</v>
      </c>
      <c r="P8" s="122">
        <f>Model!P39</f>
        <v>63.672480000000007</v>
      </c>
      <c r="Q8" s="122">
        <f>Model!Q39</f>
        <v>64.945929599999999</v>
      </c>
      <c r="R8" s="122">
        <f>Model!R39</f>
        <v>66.244848192000006</v>
      </c>
      <c r="S8" s="122">
        <f>Model!S39</f>
        <v>67.569745155840025</v>
      </c>
      <c r="T8" s="122">
        <f>Model!T39</f>
        <v>68.921140058956809</v>
      </c>
      <c r="U8" s="122">
        <f>Model!U39</f>
        <v>70.29956286013595</v>
      </c>
      <c r="V8" s="122">
        <f>Model!V39</f>
        <v>71.705554117338664</v>
      </c>
      <c r="W8" s="122">
        <f>Model!W39</f>
        <v>73.139665199685439</v>
      </c>
      <c r="X8" s="122">
        <f>Model!X39</f>
        <v>74.602458503679145</v>
      </c>
      <c r="Y8" s="122">
        <f>Model!Y39</f>
        <v>76.09450767375273</v>
      </c>
      <c r="Z8" s="122">
        <f>Model!Z39</f>
        <v>77.616397827227786</v>
      </c>
      <c r="AA8" s="122">
        <f>Model!AA39</f>
        <v>79.168725783772345</v>
      </c>
      <c r="AB8" s="122">
        <f>Model!AB39</f>
        <v>80.75210029944779</v>
      </c>
      <c r="AC8" s="122">
        <f>Model!AC39</f>
        <v>82.367142305436744</v>
      </c>
      <c r="AD8" s="122">
        <f>Model!AD39</f>
        <v>84.0144851515455</v>
      </c>
      <c r="AE8" s="122">
        <f>Model!AE39</f>
        <v>85.694774854576394</v>
      </c>
      <c r="AF8" s="122">
        <f>Model!AF39</f>
        <v>87.408670351667922</v>
      </c>
      <c r="AG8" s="122">
        <f>Model!AG39</f>
        <v>89.156843758701285</v>
      </c>
      <c r="AH8" s="122">
        <f>Model!AH39</f>
        <v>90.939980633875308</v>
      </c>
      <c r="AI8" s="122">
        <f>Model!AI39</f>
        <v>92.758780246552817</v>
      </c>
      <c r="AJ8" s="122">
        <f>Model!AJ39</f>
        <v>94.61395585148388</v>
      </c>
      <c r="AK8" s="122">
        <f>Model!AK39</f>
        <v>96.506234968513553</v>
      </c>
      <c r="AL8" s="122">
        <f>Model!AL39</f>
        <v>98.436359667883835</v>
      </c>
      <c r="AM8" s="122">
        <f>Model!AM39</f>
        <v>100.4050868612415</v>
      </c>
      <c r="AN8" s="122">
        <f>Model!AN39</f>
        <v>102.41318859846635</v>
      </c>
      <c r="AO8" s="122">
        <f>Model!AO39</f>
        <v>104.46145237043567</v>
      </c>
      <c r="AP8" s="122">
        <f>Model!AP39</f>
        <v>106.5506814178444</v>
      </c>
      <c r="AQ8" s="122">
        <f>Model!AQ39</f>
        <v>108.68169504620128</v>
      </c>
    </row>
    <row r="9" spans="1:118">
      <c r="B9" s="15" t="s">
        <v>141</v>
      </c>
      <c r="C9" s="15"/>
      <c r="D9" s="15"/>
      <c r="E9" s="15"/>
      <c r="F9" s="15"/>
      <c r="G9" s="15"/>
      <c r="H9" s="15"/>
      <c r="I9" s="58">
        <f>SUM(I7:I8)</f>
        <v>0</v>
      </c>
      <c r="J9" s="58">
        <f t="shared" ref="J9:AQ9" si="2">SUM(J7:J8)</f>
        <v>0</v>
      </c>
      <c r="K9" s="58">
        <f t="shared" si="2"/>
        <v>0</v>
      </c>
      <c r="L9" s="58">
        <f t="shared" si="2"/>
        <v>0</v>
      </c>
      <c r="M9" s="58">
        <f t="shared" si="2"/>
        <v>972.5</v>
      </c>
      <c r="N9" s="58">
        <f t="shared" si="2"/>
        <v>973.7</v>
      </c>
      <c r="O9" s="58">
        <f t="shared" si="2"/>
        <v>974.92399999999998</v>
      </c>
      <c r="P9" s="58">
        <f t="shared" si="2"/>
        <v>976.17248000000018</v>
      </c>
      <c r="Q9" s="58">
        <f t="shared" si="2"/>
        <v>977.4459296</v>
      </c>
      <c r="R9" s="58">
        <f t="shared" si="2"/>
        <v>978.74484819200029</v>
      </c>
      <c r="S9" s="58">
        <f t="shared" si="2"/>
        <v>980.06974515584</v>
      </c>
      <c r="T9" s="58">
        <f t="shared" si="2"/>
        <v>981.42114005895712</v>
      </c>
      <c r="U9" s="58">
        <f t="shared" si="2"/>
        <v>982.79956286013635</v>
      </c>
      <c r="V9" s="58">
        <f t="shared" si="2"/>
        <v>984.20555411733915</v>
      </c>
      <c r="W9" s="58">
        <f t="shared" si="2"/>
        <v>985.63966519968562</v>
      </c>
      <c r="X9" s="58">
        <f t="shared" si="2"/>
        <v>987.1024585036796</v>
      </c>
      <c r="Y9" s="58">
        <f t="shared" si="2"/>
        <v>988.59450767375324</v>
      </c>
      <c r="Z9" s="58">
        <f t="shared" si="2"/>
        <v>990.11639782722818</v>
      </c>
      <c r="AA9" s="58">
        <f t="shared" si="2"/>
        <v>991.66872578377274</v>
      </c>
      <c r="AB9" s="58">
        <f t="shared" si="2"/>
        <v>993.25210029944822</v>
      </c>
      <c r="AC9" s="58">
        <f t="shared" si="2"/>
        <v>994.86714230543726</v>
      </c>
      <c r="AD9" s="58">
        <f t="shared" si="2"/>
        <v>996.51448515154595</v>
      </c>
      <c r="AE9" s="58">
        <f t="shared" si="2"/>
        <v>998.19477485457685</v>
      </c>
      <c r="AF9" s="58">
        <f t="shared" si="2"/>
        <v>999.90867035166843</v>
      </c>
      <c r="AG9" s="58">
        <f t="shared" si="2"/>
        <v>1001.6568437587017</v>
      </c>
      <c r="AH9" s="58">
        <f t="shared" si="2"/>
        <v>1003.4399806338757</v>
      </c>
      <c r="AI9" s="58">
        <f t="shared" si="2"/>
        <v>1005.2587802465532</v>
      </c>
      <c r="AJ9" s="58">
        <f t="shared" si="2"/>
        <v>1007.1139558514845</v>
      </c>
      <c r="AK9" s="58">
        <f t="shared" si="2"/>
        <v>1009.0062349685141</v>
      </c>
      <c r="AL9" s="58">
        <f t="shared" si="2"/>
        <v>1010.9363596678845</v>
      </c>
      <c r="AM9" s="58">
        <f t="shared" si="2"/>
        <v>1012.9050868612421</v>
      </c>
      <c r="AN9" s="58">
        <f t="shared" si="2"/>
        <v>1014.9131885984673</v>
      </c>
      <c r="AO9" s="58">
        <f t="shared" si="2"/>
        <v>1016.9614523704363</v>
      </c>
      <c r="AP9" s="58">
        <f t="shared" si="2"/>
        <v>1019.0506814178451</v>
      </c>
      <c r="AQ9" s="58">
        <f t="shared" si="2"/>
        <v>1021.181695046202</v>
      </c>
    </row>
    <row r="11" spans="1:118">
      <c r="B11" s="3" t="s">
        <v>47</v>
      </c>
      <c r="I11" s="70">
        <f>-Model!I45</f>
        <v>-20</v>
      </c>
      <c r="J11" s="70">
        <f>-Model!J45</f>
        <v>-20.399999999999999</v>
      </c>
      <c r="K11" s="70">
        <f>-Model!K45</f>
        <v>-20.808</v>
      </c>
      <c r="L11" s="70">
        <f>-Model!L45</f>
        <v>-21.224159999999998</v>
      </c>
      <c r="M11" s="70">
        <f>-Model!M45</f>
        <v>-21.648643199999999</v>
      </c>
      <c r="N11" s="70">
        <f>-Model!N45</f>
        <v>-22.081616064000002</v>
      </c>
      <c r="O11" s="70">
        <f>-Model!O45</f>
        <v>-22.523248385280002</v>
      </c>
      <c r="P11" s="70">
        <f>-Model!P45</f>
        <v>-22.973713352985598</v>
      </c>
      <c r="Q11" s="70">
        <f>-Model!Q45</f>
        <v>-23.43318762004531</v>
      </c>
      <c r="R11" s="70">
        <f>-Model!R45</f>
        <v>-23.901851372446217</v>
      </c>
      <c r="S11" s="70">
        <f>-Model!S45</f>
        <v>-24.379888399895144</v>
      </c>
      <c r="T11" s="70">
        <f>-Model!T45</f>
        <v>-24.867486167893041</v>
      </c>
      <c r="U11" s="70">
        <f>-Model!U45</f>
        <v>-25.364835891250905</v>
      </c>
      <c r="V11" s="70">
        <f>-Model!V45</f>
        <v>-25.872132609075923</v>
      </c>
      <c r="W11" s="70">
        <f>-Model!W45</f>
        <v>-26.389575261257441</v>
      </c>
      <c r="X11" s="70">
        <f>-Model!X45</f>
        <v>-26.917366766482584</v>
      </c>
      <c r="Y11" s="70">
        <f>-Model!Y45</f>
        <v>-27.455714101812241</v>
      </c>
      <c r="Z11" s="70">
        <f>-Model!Z45</f>
        <v>-28.004828383848487</v>
      </c>
      <c r="AA11" s="70">
        <f>-Model!AA45</f>
        <v>-28.564924951525455</v>
      </c>
      <c r="AB11" s="70">
        <f>-Model!AB45</f>
        <v>-29.136223450555963</v>
      </c>
      <c r="AC11" s="70">
        <f>-Model!AC45</f>
        <v>-29.718947919567086</v>
      </c>
      <c r="AD11" s="70">
        <f>-Model!AD45</f>
        <v>-30.313326877958424</v>
      </c>
      <c r="AE11" s="70">
        <f>-Model!AE45</f>
        <v>-30.919593415517596</v>
      </c>
      <c r="AF11" s="70">
        <f>-Model!AF45</f>
        <v>-31.53798528382794</v>
      </c>
      <c r="AG11" s="70">
        <f>-Model!AG45</f>
        <v>-32.168744989504503</v>
      </c>
      <c r="AH11" s="70">
        <f>-Model!AH45</f>
        <v>-32.812119889294593</v>
      </c>
      <c r="AI11" s="70">
        <f>-Model!AI45</f>
        <v>-33.468362287080488</v>
      </c>
      <c r="AJ11" s="70">
        <f>-Model!AJ45</f>
        <v>-34.137729532822092</v>
      </c>
      <c r="AK11" s="70">
        <f>-Model!AK45</f>
        <v>-34.820484123478536</v>
      </c>
      <c r="AL11" s="70">
        <f>-Model!AL45</f>
        <v>-35.516893805948101</v>
      </c>
      <c r="AM11" s="70">
        <f>-Model!AM45</f>
        <v>-36.227231682067071</v>
      </c>
      <c r="AN11" s="70">
        <f>-Model!AN45</f>
        <v>-36.9517763157084</v>
      </c>
      <c r="AO11" s="70">
        <f>-Model!AO45</f>
        <v>-37.690811842022576</v>
      </c>
      <c r="AP11" s="70">
        <f>-Model!AP45</f>
        <v>-38.444628078863033</v>
      </c>
      <c r="AQ11" s="70">
        <f>-Model!AQ45</f>
        <v>-39.213520640440287</v>
      </c>
    </row>
    <row r="12" spans="1:118">
      <c r="B12" s="3" t="s">
        <v>219</v>
      </c>
      <c r="I12" s="109">
        <f>-Model!I46</f>
        <v>0</v>
      </c>
      <c r="J12" s="109">
        <f>-Model!J46</f>
        <v>0</v>
      </c>
      <c r="K12" s="109">
        <f>-Model!K46</f>
        <v>0</v>
      </c>
      <c r="L12" s="109">
        <f>-Model!L46</f>
        <v>0</v>
      </c>
      <c r="M12" s="109">
        <f>-Model!M46</f>
        <v>-70</v>
      </c>
      <c r="N12" s="109">
        <f>-Model!N46</f>
        <v>-71.400000000000006</v>
      </c>
      <c r="O12" s="109">
        <f>-Model!O46</f>
        <v>-72.828000000000003</v>
      </c>
      <c r="P12" s="109">
        <f>-Model!P46</f>
        <v>-74.284559999999999</v>
      </c>
      <c r="Q12" s="109">
        <f>-Model!Q46</f>
        <v>-75.770251200000004</v>
      </c>
      <c r="R12" s="109">
        <f>-Model!R46</f>
        <v>-77.285656224000007</v>
      </c>
      <c r="S12" s="109">
        <f>-Model!S46</f>
        <v>-78.83136934848001</v>
      </c>
      <c r="T12" s="109">
        <f>-Model!T46</f>
        <v>-80.407996735449586</v>
      </c>
      <c r="U12" s="109">
        <f>-Model!U46</f>
        <v>-82.01615667015858</v>
      </c>
      <c r="V12" s="109">
        <f>-Model!V46</f>
        <v>-83.656479803561751</v>
      </c>
      <c r="W12" s="109">
        <f>-Model!W46</f>
        <v>-85.329609399633</v>
      </c>
      <c r="X12" s="109">
        <f>-Model!X46</f>
        <v>-87.036201587625641</v>
      </c>
      <c r="Y12" s="109">
        <f>-Model!Y46</f>
        <v>-88.776925619378176</v>
      </c>
      <c r="Z12" s="109">
        <f>-Model!Z46</f>
        <v>-90.552464131765731</v>
      </c>
      <c r="AA12" s="109">
        <f>-Model!AA46</f>
        <v>-92.363513414401055</v>
      </c>
      <c r="AB12" s="109">
        <f>-Model!AB46</f>
        <v>-94.210783682689041</v>
      </c>
      <c r="AC12" s="109">
        <f>-Model!AC46</f>
        <v>-96.094999356342839</v>
      </c>
      <c r="AD12" s="109">
        <f>-Model!AD46</f>
        <v>-98.016899343469703</v>
      </c>
      <c r="AE12" s="109">
        <f>-Model!AE46</f>
        <v>-99.977237330339094</v>
      </c>
      <c r="AF12" s="109">
        <f>-Model!AF46</f>
        <v>-101.97678207694587</v>
      </c>
      <c r="AG12" s="109">
        <f>-Model!AG46</f>
        <v>-104.0163177184848</v>
      </c>
      <c r="AH12" s="109">
        <f>-Model!AH46</f>
        <v>-106.09664407285449</v>
      </c>
      <c r="AI12" s="109">
        <f>-Model!AI46</f>
        <v>-108.21857695431159</v>
      </c>
      <c r="AJ12" s="109">
        <f>-Model!AJ46</f>
        <v>-110.38294849339779</v>
      </c>
      <c r="AK12" s="109">
        <f>-Model!AK46</f>
        <v>-112.59060746326575</v>
      </c>
      <c r="AL12" s="109">
        <f>-Model!AL46</f>
        <v>-114.84241961253107</v>
      </c>
      <c r="AM12" s="109">
        <f>-Model!AM46</f>
        <v>-117.1392680047817</v>
      </c>
      <c r="AN12" s="109">
        <f>-Model!AN46</f>
        <v>-119.48205336487732</v>
      </c>
      <c r="AO12" s="109">
        <f>-Model!AO46</f>
        <v>-121.87169443217489</v>
      </c>
      <c r="AP12" s="109">
        <f>-Model!AP46</f>
        <v>-124.30912832081836</v>
      </c>
      <c r="AQ12" s="109">
        <f>-Model!AQ46</f>
        <v>-126.79531088723475</v>
      </c>
    </row>
    <row r="13" spans="1:118">
      <c r="B13" s="118" t="s">
        <v>70</v>
      </c>
      <c r="C13" s="118"/>
      <c r="D13" s="118"/>
      <c r="E13" s="118"/>
      <c r="F13" s="118"/>
      <c r="G13" s="118"/>
      <c r="H13" s="118"/>
      <c r="I13" s="122">
        <f>-Model!I52</f>
        <v>0</v>
      </c>
      <c r="J13" s="122">
        <f>-Model!J52</f>
        <v>0</v>
      </c>
      <c r="K13" s="122">
        <f>-Model!K52</f>
        <v>0</v>
      </c>
      <c r="L13" s="122">
        <f>-Model!L52</f>
        <v>0</v>
      </c>
      <c r="M13" s="122">
        <f>-Model!M52</f>
        <v>0</v>
      </c>
      <c r="N13" s="122">
        <f>-Model!N52</f>
        <v>0</v>
      </c>
      <c r="O13" s="122">
        <f>-Model!O52</f>
        <v>0</v>
      </c>
      <c r="P13" s="122">
        <f>-Model!P52</f>
        <v>0</v>
      </c>
      <c r="Q13" s="122">
        <f>-Model!Q52</f>
        <v>0</v>
      </c>
      <c r="R13" s="122">
        <f>-Model!R52</f>
        <v>0</v>
      </c>
      <c r="S13" s="122">
        <f>-Model!S52</f>
        <v>0</v>
      </c>
      <c r="T13" s="122">
        <f>-Model!T52</f>
        <v>0</v>
      </c>
      <c r="U13" s="122">
        <f>-Model!U52</f>
        <v>0</v>
      </c>
      <c r="V13" s="122">
        <f>-Model!V52</f>
        <v>0</v>
      </c>
      <c r="W13" s="122">
        <f>-Model!W52</f>
        <v>0</v>
      </c>
      <c r="X13" s="122">
        <f>-Model!X52</f>
        <v>0</v>
      </c>
      <c r="Y13" s="122">
        <f>-Model!Y52</f>
        <v>0</v>
      </c>
      <c r="Z13" s="122">
        <f>-Model!Z52</f>
        <v>0</v>
      </c>
      <c r="AA13" s="122">
        <f>-Model!AA52</f>
        <v>0</v>
      </c>
      <c r="AB13" s="122">
        <f>-Model!AB52</f>
        <v>0</v>
      </c>
      <c r="AC13" s="122">
        <f>-Model!AC52</f>
        <v>0</v>
      </c>
      <c r="AD13" s="122">
        <f>-Model!AD52</f>
        <v>0</v>
      </c>
      <c r="AE13" s="122">
        <f>-Model!AE52</f>
        <v>0</v>
      </c>
      <c r="AF13" s="122">
        <f>-Model!AF52</f>
        <v>0</v>
      </c>
      <c r="AG13" s="122">
        <f>-Model!AG52</f>
        <v>0</v>
      </c>
      <c r="AH13" s="122">
        <f>-Model!AH52</f>
        <v>0</v>
      </c>
      <c r="AI13" s="122">
        <f>-Model!AI52</f>
        <v>0</v>
      </c>
      <c r="AJ13" s="122">
        <f>-Model!AJ52</f>
        <v>0</v>
      </c>
      <c r="AK13" s="122">
        <f>-Model!AK52</f>
        <v>0</v>
      </c>
      <c r="AL13" s="122">
        <f>-Model!AL52</f>
        <v>0</v>
      </c>
      <c r="AM13" s="122">
        <f>-Model!AM52</f>
        <v>-2.1988714022611893</v>
      </c>
      <c r="AN13" s="122">
        <f>-Model!AN52</f>
        <v>-2.2428488303064134</v>
      </c>
      <c r="AO13" s="122">
        <f>-Model!AO52</f>
        <v>-2.2877058069125416</v>
      </c>
      <c r="AP13" s="122">
        <f>-Model!AP52</f>
        <v>-2.3334599230507922</v>
      </c>
      <c r="AQ13" s="122">
        <f>-Model!AQ52</f>
        <v>-2.3801291215118083</v>
      </c>
    </row>
    <row r="14" spans="1:118">
      <c r="B14" s="15" t="s">
        <v>143</v>
      </c>
      <c r="C14" s="15"/>
      <c r="D14" s="15"/>
      <c r="E14" s="15"/>
      <c r="F14" s="15"/>
      <c r="G14" s="15"/>
      <c r="H14" s="15"/>
      <c r="I14" s="58">
        <f>SUM(I9:I13)</f>
        <v>-20</v>
      </c>
      <c r="J14" s="58">
        <f t="shared" ref="J14:AQ14" si="3">SUM(J9:J13)</f>
        <v>-20.399999999999999</v>
      </c>
      <c r="K14" s="58">
        <f t="shared" si="3"/>
        <v>-20.808</v>
      </c>
      <c r="L14" s="58">
        <f t="shared" si="3"/>
        <v>-21.224159999999998</v>
      </c>
      <c r="M14" s="58">
        <f t="shared" si="3"/>
        <v>880.85135679999996</v>
      </c>
      <c r="N14" s="58">
        <f t="shared" si="3"/>
        <v>880.21838393600012</v>
      </c>
      <c r="O14" s="58">
        <f t="shared" si="3"/>
        <v>879.57275161472</v>
      </c>
      <c r="P14" s="58">
        <f t="shared" si="3"/>
        <v>878.91420664701468</v>
      </c>
      <c r="Q14" s="58">
        <f t="shared" si="3"/>
        <v>878.24249077995478</v>
      </c>
      <c r="R14" s="58">
        <f t="shared" si="3"/>
        <v>877.55734059555402</v>
      </c>
      <c r="S14" s="58">
        <f t="shared" si="3"/>
        <v>876.85848740746485</v>
      </c>
      <c r="T14" s="58">
        <f t="shared" si="3"/>
        <v>876.14565715561446</v>
      </c>
      <c r="U14" s="58">
        <f t="shared" si="3"/>
        <v>875.41857029872688</v>
      </c>
      <c r="V14" s="58">
        <f t="shared" si="3"/>
        <v>874.67694170470145</v>
      </c>
      <c r="W14" s="58">
        <f t="shared" si="3"/>
        <v>873.92048053879523</v>
      </c>
      <c r="X14" s="58">
        <f t="shared" si="3"/>
        <v>873.14889014957134</v>
      </c>
      <c r="Y14" s="58">
        <f t="shared" si="3"/>
        <v>872.36186795256287</v>
      </c>
      <c r="Z14" s="58">
        <f t="shared" si="3"/>
        <v>871.55910531161396</v>
      </c>
      <c r="AA14" s="58">
        <f t="shared" si="3"/>
        <v>870.74028741784628</v>
      </c>
      <c r="AB14" s="58">
        <f t="shared" si="3"/>
        <v>869.9050931662033</v>
      </c>
      <c r="AC14" s="58">
        <f t="shared" si="3"/>
        <v>869.05319502952739</v>
      </c>
      <c r="AD14" s="58">
        <f t="shared" si="3"/>
        <v>868.18425893011784</v>
      </c>
      <c r="AE14" s="58">
        <f t="shared" si="3"/>
        <v>867.29794410872012</v>
      </c>
      <c r="AF14" s="58">
        <f t="shared" si="3"/>
        <v>866.39390299089462</v>
      </c>
      <c r="AG14" s="58">
        <f t="shared" si="3"/>
        <v>865.47178105071248</v>
      </c>
      <c r="AH14" s="58">
        <f t="shared" si="3"/>
        <v>864.53121667172661</v>
      </c>
      <c r="AI14" s="58">
        <f t="shared" si="3"/>
        <v>863.5718410051611</v>
      </c>
      <c r="AJ14" s="58">
        <f t="shared" si="3"/>
        <v>862.59327782526475</v>
      </c>
      <c r="AK14" s="58">
        <f t="shared" si="3"/>
        <v>861.59514338176984</v>
      </c>
      <c r="AL14" s="58">
        <f t="shared" si="3"/>
        <v>860.57704624940527</v>
      </c>
      <c r="AM14" s="58">
        <f t="shared" si="3"/>
        <v>857.33971577213219</v>
      </c>
      <c r="AN14" s="58">
        <f t="shared" si="3"/>
        <v>856.23651008757508</v>
      </c>
      <c r="AO14" s="58">
        <f t="shared" si="3"/>
        <v>855.11124028932636</v>
      </c>
      <c r="AP14" s="58">
        <f t="shared" si="3"/>
        <v>853.96346509511295</v>
      </c>
      <c r="AQ14" s="58">
        <f t="shared" si="3"/>
        <v>852.79273439701512</v>
      </c>
    </row>
    <row r="16" spans="1:118">
      <c r="B16" s="118" t="s">
        <v>220</v>
      </c>
      <c r="C16" s="118"/>
      <c r="D16" s="118"/>
      <c r="E16" s="118"/>
      <c r="F16" s="118"/>
      <c r="G16" s="118"/>
      <c r="H16" s="118"/>
      <c r="I16" s="122">
        <f>-Model!I83</f>
        <v>-5.46875</v>
      </c>
      <c r="J16" s="122">
        <f>-Model!J83</f>
        <v>-14.0625</v>
      </c>
      <c r="K16" s="122">
        <f>-Model!K83</f>
        <v>-20.3125</v>
      </c>
      <c r="L16" s="122">
        <f>-Model!L83</f>
        <v>-27.34375</v>
      </c>
      <c r="M16" s="122">
        <f>-Model!M83</f>
        <v>-35.15625</v>
      </c>
      <c r="N16" s="122">
        <f>-Model!N83</f>
        <v>-42.96875</v>
      </c>
      <c r="O16" s="122">
        <f>-Model!O83</f>
        <v>-50.78125</v>
      </c>
      <c r="P16" s="122">
        <f>-Model!P83</f>
        <v>-58.59375</v>
      </c>
      <c r="Q16" s="122">
        <f>-Model!Q83</f>
        <v>-66.40625</v>
      </c>
      <c r="R16" s="122">
        <f>-Model!R83</f>
        <v>-74.21875</v>
      </c>
      <c r="S16" s="122">
        <f>-Model!S83</f>
        <v>-82.03125</v>
      </c>
      <c r="T16" s="122">
        <f>-Model!T83</f>
        <v>-89.84375</v>
      </c>
      <c r="U16" s="122">
        <f>-Model!U83</f>
        <v>-100.3125</v>
      </c>
      <c r="V16" s="122">
        <f>-Model!V83</f>
        <v>-110.78125</v>
      </c>
      <c r="W16" s="122">
        <f>-Model!W83</f>
        <v>-118.59375</v>
      </c>
      <c r="X16" s="122">
        <f>-Model!X83</f>
        <v>-126.40625</v>
      </c>
      <c r="Y16" s="122">
        <f>-Model!Y83</f>
        <v>-134.21875</v>
      </c>
      <c r="Z16" s="122">
        <f>-Model!Z83</f>
        <v>-142.03125</v>
      </c>
      <c r="AA16" s="122">
        <f>-Model!AA83</f>
        <v>-149.84375</v>
      </c>
      <c r="AB16" s="122">
        <f>-Model!AB83</f>
        <v>-157.65625</v>
      </c>
      <c r="AC16" s="122">
        <f>-Model!AC83</f>
        <v>-162.65625</v>
      </c>
      <c r="AD16" s="122">
        <f>-Model!AD83</f>
        <v>-164.53125000000003</v>
      </c>
      <c r="AE16" s="122">
        <f>-Model!AE83</f>
        <v>-166.09375</v>
      </c>
      <c r="AF16" s="122">
        <f>-Model!AF83</f>
        <v>-166.875</v>
      </c>
      <c r="AG16" s="122">
        <f>-Model!AG83</f>
        <v>-166.875</v>
      </c>
      <c r="AH16" s="122">
        <f>-Model!AH83</f>
        <v>-166.875</v>
      </c>
      <c r="AI16" s="122">
        <f>-Model!AI83</f>
        <v>-166.875</v>
      </c>
      <c r="AJ16" s="122">
        <f>-Model!AJ83</f>
        <v>-166.875</v>
      </c>
      <c r="AK16" s="122">
        <f>-Model!AK83</f>
        <v>-169.53125</v>
      </c>
      <c r="AL16" s="122">
        <f>-Model!AL83</f>
        <v>-172.1875</v>
      </c>
      <c r="AM16" s="122">
        <f>-Model!AM83</f>
        <v>-172.1875</v>
      </c>
      <c r="AN16" s="122">
        <f>-Model!AN83</f>
        <v>-172.1875</v>
      </c>
      <c r="AO16" s="122">
        <f>-Model!AO83</f>
        <v>-169.53125</v>
      </c>
      <c r="AP16" s="122">
        <f>-Model!AP83</f>
        <v>-166.875</v>
      </c>
      <c r="AQ16" s="122">
        <f>-Model!AQ83</f>
        <v>-166.875</v>
      </c>
    </row>
    <row r="17" spans="1:43">
      <c r="B17" s="15" t="s">
        <v>221</v>
      </c>
      <c r="C17" s="15"/>
      <c r="D17" s="15"/>
      <c r="E17" s="15"/>
      <c r="F17" s="15"/>
      <c r="G17" s="15"/>
      <c r="H17" s="15"/>
      <c r="I17" s="58">
        <f>SUM(I14:I16)</f>
        <v>-25.46875</v>
      </c>
      <c r="J17" s="58">
        <f t="shared" ref="J17:AQ17" si="4">SUM(J14:J16)</f>
        <v>-34.462499999999999</v>
      </c>
      <c r="K17" s="58">
        <f t="shared" si="4"/>
        <v>-41.1205</v>
      </c>
      <c r="L17" s="58">
        <f t="shared" si="4"/>
        <v>-48.567909999999998</v>
      </c>
      <c r="M17" s="58">
        <f t="shared" si="4"/>
        <v>845.69510679999996</v>
      </c>
      <c r="N17" s="58">
        <f t="shared" si="4"/>
        <v>837.24963393600012</v>
      </c>
      <c r="O17" s="58">
        <f t="shared" si="4"/>
        <v>828.79150161472</v>
      </c>
      <c r="P17" s="58">
        <f t="shared" si="4"/>
        <v>820.32045664701468</v>
      </c>
      <c r="Q17" s="58">
        <f t="shared" si="4"/>
        <v>811.83624077995478</v>
      </c>
      <c r="R17" s="58">
        <f t="shared" si="4"/>
        <v>803.33859059555402</v>
      </c>
      <c r="S17" s="58">
        <f t="shared" si="4"/>
        <v>794.82723740746485</v>
      </c>
      <c r="T17" s="58">
        <f t="shared" si="4"/>
        <v>786.30190715561446</v>
      </c>
      <c r="U17" s="58">
        <f t="shared" si="4"/>
        <v>775.10607029872688</v>
      </c>
      <c r="V17" s="58">
        <f t="shared" si="4"/>
        <v>763.89569170470145</v>
      </c>
      <c r="W17" s="58">
        <f t="shared" si="4"/>
        <v>755.32673053879523</v>
      </c>
      <c r="X17" s="58">
        <f t="shared" si="4"/>
        <v>746.74264014957134</v>
      </c>
      <c r="Y17" s="58">
        <f t="shared" si="4"/>
        <v>738.14311795256287</v>
      </c>
      <c r="Z17" s="58">
        <f t="shared" si="4"/>
        <v>729.52785531161396</v>
      </c>
      <c r="AA17" s="58">
        <f t="shared" si="4"/>
        <v>720.89653741784628</v>
      </c>
      <c r="AB17" s="58">
        <f t="shared" si="4"/>
        <v>712.2488431662033</v>
      </c>
      <c r="AC17" s="58">
        <f t="shared" si="4"/>
        <v>706.39694502952739</v>
      </c>
      <c r="AD17" s="58">
        <f t="shared" si="4"/>
        <v>703.65300893011784</v>
      </c>
      <c r="AE17" s="58">
        <f t="shared" si="4"/>
        <v>701.20419410872012</v>
      </c>
      <c r="AF17" s="58">
        <f t="shared" si="4"/>
        <v>699.51890299089462</v>
      </c>
      <c r="AG17" s="58">
        <f t="shared" si="4"/>
        <v>698.59678105071248</v>
      </c>
      <c r="AH17" s="58">
        <f t="shared" si="4"/>
        <v>697.65621667172661</v>
      </c>
      <c r="AI17" s="58">
        <f t="shared" si="4"/>
        <v>696.6968410051611</v>
      </c>
      <c r="AJ17" s="58">
        <f t="shared" si="4"/>
        <v>695.71827782526475</v>
      </c>
      <c r="AK17" s="58">
        <f t="shared" si="4"/>
        <v>692.06389338176984</v>
      </c>
      <c r="AL17" s="58">
        <f t="shared" si="4"/>
        <v>688.38954624940527</v>
      </c>
      <c r="AM17" s="58">
        <f t="shared" si="4"/>
        <v>685.15221577213219</v>
      </c>
      <c r="AN17" s="58">
        <f t="shared" si="4"/>
        <v>684.04901008757508</v>
      </c>
      <c r="AO17" s="58">
        <f t="shared" si="4"/>
        <v>685.57999028932636</v>
      </c>
      <c r="AP17" s="58">
        <f t="shared" si="4"/>
        <v>687.08846509511295</v>
      </c>
      <c r="AQ17" s="58">
        <f t="shared" si="4"/>
        <v>685.91773439701512</v>
      </c>
    </row>
    <row r="19" spans="1:43">
      <c r="B19" s="3" t="s">
        <v>129</v>
      </c>
      <c r="I19" s="134">
        <f>'Cash Flow Waterfall'!I28</f>
        <v>-4.8045399999999994</v>
      </c>
      <c r="J19" s="185"/>
      <c r="K19" s="185"/>
      <c r="L19" s="185"/>
      <c r="M19" s="185"/>
      <c r="N19" s="185"/>
      <c r="O19" s="185"/>
      <c r="P19" s="185"/>
      <c r="Q19" s="185"/>
      <c r="R19" s="185"/>
      <c r="S19" s="185"/>
      <c r="T19" s="185"/>
      <c r="U19" s="185"/>
      <c r="V19" s="185"/>
      <c r="W19" s="185"/>
      <c r="X19" s="185"/>
      <c r="Y19" s="185"/>
      <c r="Z19" s="185"/>
      <c r="AA19" s="185"/>
      <c r="AB19" s="185"/>
      <c r="AC19" s="185"/>
      <c r="AD19" s="185"/>
      <c r="AE19" s="185"/>
      <c r="AF19" s="185"/>
      <c r="AG19" s="185"/>
      <c r="AH19" s="185"/>
      <c r="AI19" s="185"/>
      <c r="AJ19" s="185"/>
      <c r="AK19" s="185"/>
      <c r="AL19" s="185"/>
      <c r="AM19" s="185"/>
      <c r="AN19" s="185"/>
      <c r="AO19" s="185"/>
      <c r="AP19" s="185"/>
      <c r="AQ19" s="185"/>
    </row>
    <row r="20" spans="1:43">
      <c r="B20" s="118" t="s">
        <v>149</v>
      </c>
      <c r="C20" s="118"/>
      <c r="D20" s="118"/>
      <c r="E20" s="118"/>
      <c r="F20" s="118"/>
      <c r="G20" s="118"/>
      <c r="H20" s="118"/>
      <c r="I20" s="122">
        <f>-'Debt Schedule'!I17</f>
        <v>-4.3685045273572687</v>
      </c>
      <c r="J20" s="122">
        <f>-'Debt Schedule'!J17</f>
        <v>-7.1235277862805324</v>
      </c>
      <c r="K20" s="122">
        <f>-'Debt Schedule'!K17</f>
        <v>-9.9786220714497684</v>
      </c>
      <c r="L20" s="122">
        <f>-'Debt Schedule'!L17</f>
        <v>-13.497821240238666</v>
      </c>
      <c r="M20" s="122">
        <f>-'Debt Schedule'!M17</f>
        <v>-13.147502130657557</v>
      </c>
      <c r="N20" s="122">
        <f>-'Debt Schedule'!N17</f>
        <v>-12.342752956723377</v>
      </c>
      <c r="O20" s="122">
        <f>-'Debt Schedule'!O17</f>
        <v>-11.538003782789193</v>
      </c>
      <c r="P20" s="122">
        <f>-'Debt Schedule'!P17</f>
        <v>-10.733254608855013</v>
      </c>
      <c r="Q20" s="122">
        <f>-'Debt Schedule'!Q17</f>
        <v>-9.9285054349208313</v>
      </c>
      <c r="R20" s="122">
        <f>-'Debt Schedule'!R17</f>
        <v>-9.1237562609866512</v>
      </c>
      <c r="S20" s="122">
        <f>-'Debt Schedule'!S17</f>
        <v>-8.3190070870524711</v>
      </c>
      <c r="T20" s="122">
        <f>-'Debt Schedule'!T17</f>
        <v>-7.5142579131182892</v>
      </c>
      <c r="U20" s="122">
        <f>-'Debt Schedule'!U17</f>
        <v>-6.7095087391841082</v>
      </c>
      <c r="V20" s="122">
        <f>-'Debt Schedule'!V17</f>
        <v>-5.9047595652499254</v>
      </c>
      <c r="W20" s="122">
        <f>-'Debt Schedule'!W17</f>
        <v>-5.1000103913157453</v>
      </c>
      <c r="X20" s="122">
        <f>-'Debt Schedule'!X17</f>
        <v>-4.2952612173815634</v>
      </c>
      <c r="Y20" s="122">
        <f>-'Debt Schedule'!Y17</f>
        <v>-3.4905120434473824</v>
      </c>
      <c r="Z20" s="122">
        <f>-'Debt Schedule'!Z17</f>
        <v>-2.685762869513201</v>
      </c>
      <c r="AA20" s="122">
        <f>-'Debt Schedule'!AA17</f>
        <v>-1.8810136955790202</v>
      </c>
      <c r="AB20" s="122">
        <f>-'Debt Schedule'!AB17</f>
        <v>-1.076264521644839</v>
      </c>
      <c r="AC20" s="122">
        <f>-'Debt Schedule'!AC17</f>
        <v>-0.51480488327059648</v>
      </c>
      <c r="AD20" s="122">
        <f>-'Debt Schedule'!AD17</f>
        <v>-0.16150741435940336</v>
      </c>
      <c r="AE20" s="122">
        <f>-'Debt Schedule'!AE17</f>
        <v>-7.8159700933611021E-16</v>
      </c>
      <c r="AF20" s="122">
        <f>-'Debt Schedule'!AF17</f>
        <v>-7.8159700933611021E-16</v>
      </c>
      <c r="AG20" s="122">
        <f>-'Debt Schedule'!AG17</f>
        <v>-7.8159700933611021E-16</v>
      </c>
      <c r="AH20" s="122">
        <f>-'Debt Schedule'!AH17</f>
        <v>-7.8159700933611021E-16</v>
      </c>
      <c r="AI20" s="122">
        <f>-'Debt Schedule'!AI17</f>
        <v>-7.8159700933611021E-16</v>
      </c>
      <c r="AJ20" s="122">
        <f>-'Debt Schedule'!AJ17</f>
        <v>-7.8159700933611021E-16</v>
      </c>
      <c r="AK20" s="122">
        <f>-'Debt Schedule'!AK17</f>
        <v>-7.8159700933611021E-16</v>
      </c>
      <c r="AL20" s="122">
        <f>-'Debt Schedule'!AL17</f>
        <v>-7.8159700933611021E-16</v>
      </c>
      <c r="AM20" s="122">
        <f>-'Debt Schedule'!AM17</f>
        <v>-7.8159700933611021E-16</v>
      </c>
      <c r="AN20" s="122">
        <f>-'Debt Schedule'!AN17</f>
        <v>-7.8159700933611021E-16</v>
      </c>
      <c r="AO20" s="122">
        <f>-'Debt Schedule'!AO17</f>
        <v>-7.8159700933611021E-16</v>
      </c>
      <c r="AP20" s="122">
        <f>-'Debt Schedule'!AP17</f>
        <v>-7.8159700933611021E-16</v>
      </c>
      <c r="AQ20" s="122">
        <f>-'Debt Schedule'!AQ17</f>
        <v>-7.8159700933611021E-16</v>
      </c>
    </row>
    <row r="21" spans="1:43">
      <c r="B21" s="15" t="s">
        <v>222</v>
      </c>
      <c r="C21" s="48"/>
      <c r="D21" s="48"/>
      <c r="E21" s="48"/>
      <c r="F21" s="48"/>
      <c r="G21" s="48"/>
      <c r="H21" s="48"/>
      <c r="I21" s="58">
        <f>SUM(I17:I20)</f>
        <v>-34.64179452735727</v>
      </c>
      <c r="J21" s="58">
        <f t="shared" ref="J21:AQ21" si="5">SUM(J17:J20)</f>
        <v>-41.586027786280532</v>
      </c>
      <c r="K21" s="58">
        <f t="shared" si="5"/>
        <v>-51.09912207144977</v>
      </c>
      <c r="L21" s="58">
        <f t="shared" si="5"/>
        <v>-62.065731240238662</v>
      </c>
      <c r="M21" s="58">
        <f t="shared" si="5"/>
        <v>832.54760466934238</v>
      </c>
      <c r="N21" s="58">
        <f t="shared" si="5"/>
        <v>824.90688097927671</v>
      </c>
      <c r="O21" s="58">
        <f t="shared" si="5"/>
        <v>817.25349783193076</v>
      </c>
      <c r="P21" s="58">
        <f t="shared" si="5"/>
        <v>809.58720203815972</v>
      </c>
      <c r="Q21" s="58">
        <f t="shared" si="5"/>
        <v>801.90773534503398</v>
      </c>
      <c r="R21" s="58">
        <f t="shared" si="5"/>
        <v>794.2148343345674</v>
      </c>
      <c r="S21" s="58">
        <f t="shared" si="5"/>
        <v>786.50823032041239</v>
      </c>
      <c r="T21" s="58">
        <f t="shared" si="5"/>
        <v>778.78764924249617</v>
      </c>
      <c r="U21" s="58">
        <f t="shared" si="5"/>
        <v>768.39656155954276</v>
      </c>
      <c r="V21" s="58">
        <f t="shared" si="5"/>
        <v>757.9909321394515</v>
      </c>
      <c r="W21" s="58">
        <f t="shared" si="5"/>
        <v>750.22672014747945</v>
      </c>
      <c r="X21" s="58">
        <f t="shared" si="5"/>
        <v>742.44737893218974</v>
      </c>
      <c r="Y21" s="58">
        <f t="shared" si="5"/>
        <v>734.65260590911544</v>
      </c>
      <c r="Z21" s="58">
        <f t="shared" si="5"/>
        <v>726.84209244210081</v>
      </c>
      <c r="AA21" s="58">
        <f t="shared" si="5"/>
        <v>719.01552372226729</v>
      </c>
      <c r="AB21" s="58">
        <f t="shared" si="5"/>
        <v>711.17257864455848</v>
      </c>
      <c r="AC21" s="58">
        <f t="shared" si="5"/>
        <v>705.8821401462568</v>
      </c>
      <c r="AD21" s="58">
        <f t="shared" si="5"/>
        <v>703.49150151575839</v>
      </c>
      <c r="AE21" s="58">
        <f t="shared" si="5"/>
        <v>701.20419410872012</v>
      </c>
      <c r="AF21" s="58">
        <f t="shared" si="5"/>
        <v>699.51890299089462</v>
      </c>
      <c r="AG21" s="58">
        <f t="shared" si="5"/>
        <v>698.59678105071248</v>
      </c>
      <c r="AH21" s="58">
        <f t="shared" si="5"/>
        <v>697.65621667172661</v>
      </c>
      <c r="AI21" s="58">
        <f t="shared" si="5"/>
        <v>696.6968410051611</v>
      </c>
      <c r="AJ21" s="58">
        <f t="shared" si="5"/>
        <v>695.71827782526475</v>
      </c>
      <c r="AK21" s="58">
        <f t="shared" si="5"/>
        <v>692.06389338176984</v>
      </c>
      <c r="AL21" s="58">
        <f t="shared" si="5"/>
        <v>688.38954624940527</v>
      </c>
      <c r="AM21" s="58">
        <f t="shared" si="5"/>
        <v>685.15221577213219</v>
      </c>
      <c r="AN21" s="58">
        <f t="shared" si="5"/>
        <v>684.04901008757508</v>
      </c>
      <c r="AO21" s="58">
        <f t="shared" si="5"/>
        <v>685.57999028932636</v>
      </c>
      <c r="AP21" s="58">
        <f t="shared" si="5"/>
        <v>687.08846509511295</v>
      </c>
      <c r="AQ21" s="58">
        <f t="shared" si="5"/>
        <v>685.91773439701512</v>
      </c>
    </row>
    <row r="23" spans="1:43">
      <c r="B23" s="118" t="s">
        <v>223</v>
      </c>
      <c r="C23" s="118"/>
      <c r="D23" s="118"/>
      <c r="E23" s="118"/>
      <c r="F23" s="118"/>
      <c r="G23" s="93">
        <f>'Operating Assumptions'!K6</f>
        <v>0.35</v>
      </c>
      <c r="H23" s="118"/>
      <c r="I23" s="122">
        <f>IF(I21&lt;0,0,-I21*$G$23)</f>
        <v>0</v>
      </c>
      <c r="J23" s="122">
        <f t="shared" ref="J23:AQ23" si="6">IF(J21&lt;0,0,-J21*$G$23)</f>
        <v>0</v>
      </c>
      <c r="K23" s="122">
        <f t="shared" si="6"/>
        <v>0</v>
      </c>
      <c r="L23" s="122">
        <f t="shared" si="6"/>
        <v>0</v>
      </c>
      <c r="M23" s="122">
        <f t="shared" si="6"/>
        <v>-291.39166163426984</v>
      </c>
      <c r="N23" s="122">
        <f t="shared" si="6"/>
        <v>-288.71740834274681</v>
      </c>
      <c r="O23" s="122">
        <f t="shared" si="6"/>
        <v>-286.03872424117577</v>
      </c>
      <c r="P23" s="122">
        <f t="shared" si="6"/>
        <v>-283.35552071335587</v>
      </c>
      <c r="Q23" s="122">
        <f t="shared" si="6"/>
        <v>-280.66770737076189</v>
      </c>
      <c r="R23" s="122">
        <f t="shared" si="6"/>
        <v>-277.97519201709855</v>
      </c>
      <c r="S23" s="122">
        <f t="shared" si="6"/>
        <v>-275.27788061214432</v>
      </c>
      <c r="T23" s="122">
        <f t="shared" si="6"/>
        <v>-272.57567723487364</v>
      </c>
      <c r="U23" s="122">
        <f t="shared" si="6"/>
        <v>-268.93879654583992</v>
      </c>
      <c r="V23" s="122">
        <f t="shared" si="6"/>
        <v>-265.29682624880803</v>
      </c>
      <c r="W23" s="122">
        <f t="shared" si="6"/>
        <v>-262.57935205161778</v>
      </c>
      <c r="X23" s="122">
        <f t="shared" si="6"/>
        <v>-259.8565826262664</v>
      </c>
      <c r="Y23" s="122">
        <f t="shared" si="6"/>
        <v>-257.12841206819041</v>
      </c>
      <c r="Z23" s="122">
        <f t="shared" si="6"/>
        <v>-254.39473235473525</v>
      </c>
      <c r="AA23" s="122">
        <f t="shared" si="6"/>
        <v>-251.65543330279354</v>
      </c>
      <c r="AB23" s="122">
        <f t="shared" si="6"/>
        <v>-248.91040252559546</v>
      </c>
      <c r="AC23" s="122">
        <f t="shared" si="6"/>
        <v>-247.05874905118986</v>
      </c>
      <c r="AD23" s="122">
        <f t="shared" si="6"/>
        <v>-246.22202553051542</v>
      </c>
      <c r="AE23" s="122">
        <f t="shared" si="6"/>
        <v>-245.42146793805202</v>
      </c>
      <c r="AF23" s="122">
        <f t="shared" si="6"/>
        <v>-244.83161604681311</v>
      </c>
      <c r="AG23" s="122">
        <f t="shared" si="6"/>
        <v>-244.50887336774935</v>
      </c>
      <c r="AH23" s="122">
        <f t="shared" si="6"/>
        <v>-244.17967583510429</v>
      </c>
      <c r="AI23" s="122">
        <f t="shared" si="6"/>
        <v>-243.84389435180637</v>
      </c>
      <c r="AJ23" s="122">
        <f t="shared" si="6"/>
        <v>-243.50139723884266</v>
      </c>
      <c r="AK23" s="122">
        <f t="shared" si="6"/>
        <v>-242.22236268361942</v>
      </c>
      <c r="AL23" s="122">
        <f t="shared" si="6"/>
        <v>-240.93634118729182</v>
      </c>
      <c r="AM23" s="122">
        <f t="shared" si="6"/>
        <v>-239.80327552024625</v>
      </c>
      <c r="AN23" s="122">
        <f t="shared" si="6"/>
        <v>-239.41715353065126</v>
      </c>
      <c r="AO23" s="122">
        <f t="shared" si="6"/>
        <v>-239.9529966012642</v>
      </c>
      <c r="AP23" s="122">
        <f t="shared" si="6"/>
        <v>-240.48096278328953</v>
      </c>
      <c r="AQ23" s="122">
        <f t="shared" si="6"/>
        <v>-240.07120703895527</v>
      </c>
    </row>
    <row r="24" spans="1:43">
      <c r="B24" s="15" t="s">
        <v>224</v>
      </c>
      <c r="C24" s="15"/>
      <c r="D24" s="15"/>
      <c r="E24" s="15"/>
      <c r="F24" s="15"/>
      <c r="G24" s="15"/>
      <c r="H24" s="15"/>
      <c r="I24" s="58">
        <f>SUM(I21:I23)</f>
        <v>-34.64179452735727</v>
      </c>
      <c r="J24" s="58">
        <f t="shared" ref="J24:AQ24" si="7">SUM(J21:J23)</f>
        <v>-41.586027786280532</v>
      </c>
      <c r="K24" s="58">
        <f t="shared" si="7"/>
        <v>-51.09912207144977</v>
      </c>
      <c r="L24" s="58">
        <f t="shared" si="7"/>
        <v>-62.065731240238662</v>
      </c>
      <c r="M24" s="58">
        <f t="shared" si="7"/>
        <v>541.1559430350726</v>
      </c>
      <c r="N24" s="58">
        <f t="shared" si="7"/>
        <v>536.1894726365299</v>
      </c>
      <c r="O24" s="58">
        <f t="shared" si="7"/>
        <v>531.21477359075493</v>
      </c>
      <c r="P24" s="58">
        <f t="shared" si="7"/>
        <v>526.23168132480384</v>
      </c>
      <c r="Q24" s="58">
        <f t="shared" si="7"/>
        <v>521.24002797427215</v>
      </c>
      <c r="R24" s="58">
        <f t="shared" si="7"/>
        <v>516.23964231746891</v>
      </c>
      <c r="S24" s="58">
        <f t="shared" si="7"/>
        <v>511.23034970826808</v>
      </c>
      <c r="T24" s="58">
        <f t="shared" si="7"/>
        <v>506.21197200762253</v>
      </c>
      <c r="U24" s="58">
        <f t="shared" si="7"/>
        <v>499.45776501370284</v>
      </c>
      <c r="V24" s="58">
        <f t="shared" si="7"/>
        <v>492.69410589064347</v>
      </c>
      <c r="W24" s="58">
        <f t="shared" si="7"/>
        <v>487.64736809586168</v>
      </c>
      <c r="X24" s="58">
        <f t="shared" si="7"/>
        <v>482.59079630592333</v>
      </c>
      <c r="Y24" s="58">
        <f t="shared" si="7"/>
        <v>477.52419384092502</v>
      </c>
      <c r="Z24" s="58">
        <f t="shared" si="7"/>
        <v>472.44736008736555</v>
      </c>
      <c r="AA24" s="58">
        <f t="shared" si="7"/>
        <v>467.36009041947375</v>
      </c>
      <c r="AB24" s="58">
        <f t="shared" si="7"/>
        <v>462.262176118963</v>
      </c>
      <c r="AC24" s="58">
        <f t="shared" si="7"/>
        <v>458.82339109506694</v>
      </c>
      <c r="AD24" s="58">
        <f t="shared" si="7"/>
        <v>457.26947598524293</v>
      </c>
      <c r="AE24" s="58">
        <f t="shared" si="7"/>
        <v>455.78272617066807</v>
      </c>
      <c r="AF24" s="58">
        <f t="shared" si="7"/>
        <v>454.68728694408151</v>
      </c>
      <c r="AG24" s="58">
        <f t="shared" si="7"/>
        <v>454.08790768296313</v>
      </c>
      <c r="AH24" s="58">
        <f t="shared" si="7"/>
        <v>453.47654083662235</v>
      </c>
      <c r="AI24" s="58">
        <f t="shared" si="7"/>
        <v>452.85294665335471</v>
      </c>
      <c r="AJ24" s="58">
        <f t="shared" si="7"/>
        <v>452.21688058642212</v>
      </c>
      <c r="AK24" s="58">
        <f t="shared" si="7"/>
        <v>449.84153069815045</v>
      </c>
      <c r="AL24" s="58">
        <f t="shared" si="7"/>
        <v>447.45320506211345</v>
      </c>
      <c r="AM24" s="58">
        <f t="shared" si="7"/>
        <v>445.34894025188595</v>
      </c>
      <c r="AN24" s="58">
        <f t="shared" si="7"/>
        <v>444.63185655692382</v>
      </c>
      <c r="AO24" s="58">
        <f t="shared" si="7"/>
        <v>445.62699368806216</v>
      </c>
      <c r="AP24" s="58">
        <f t="shared" si="7"/>
        <v>446.6075023118234</v>
      </c>
      <c r="AQ24" s="58">
        <f t="shared" si="7"/>
        <v>445.84652735805986</v>
      </c>
    </row>
    <row r="26" spans="1:43">
      <c r="A26" s="3" t="s">
        <v>0</v>
      </c>
      <c r="B26" s="4" t="s">
        <v>230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>
      <c r="I27" s="133">
        <v>1</v>
      </c>
      <c r="J27" s="133">
        <f>IF(J28="","",I27+1)</f>
        <v>2</v>
      </c>
      <c r="K27" s="133">
        <f t="shared" ref="K27" si="8">IF(K28="","",J27+1)</f>
        <v>3</v>
      </c>
      <c r="L27" s="133">
        <f t="shared" ref="L27" si="9">IF(L28="","",K27+1)</f>
        <v>4</v>
      </c>
      <c r="M27" s="133">
        <f t="shared" ref="M27" si="10">IF(M28="","",L27+1)</f>
        <v>5</v>
      </c>
      <c r="N27" s="133">
        <f t="shared" ref="N27" si="11">IF(N28="","",M27+1)</f>
        <v>6</v>
      </c>
      <c r="O27" s="133">
        <f t="shared" ref="O27" si="12">IF(O28="","",N27+1)</f>
        <v>7</v>
      </c>
      <c r="P27" s="133">
        <f t="shared" ref="P27" si="13">IF(P28="","",O27+1)</f>
        <v>8</v>
      </c>
      <c r="Q27" s="133">
        <f t="shared" ref="Q27" si="14">IF(Q28="","",P27+1)</f>
        <v>9</v>
      </c>
      <c r="R27" s="133">
        <f t="shared" ref="R27" si="15">IF(R28="","",Q27+1)</f>
        <v>10</v>
      </c>
      <c r="S27" s="133">
        <f t="shared" ref="S27" si="16">IF(S28="","",R27+1)</f>
        <v>11</v>
      </c>
      <c r="T27" s="133">
        <f t="shared" ref="T27" si="17">IF(T28="","",S27+1)</f>
        <v>12</v>
      </c>
      <c r="U27" s="133">
        <f t="shared" ref="U27" si="18">IF(U28="","",T27+1)</f>
        <v>13</v>
      </c>
      <c r="V27" s="133">
        <f t="shared" ref="V27" si="19">IF(V28="","",U27+1)</f>
        <v>14</v>
      </c>
      <c r="W27" s="133">
        <f t="shared" ref="W27" si="20">IF(W28="","",V27+1)</f>
        <v>15</v>
      </c>
      <c r="X27" s="133">
        <f t="shared" ref="X27" si="21">IF(X28="","",W27+1)</f>
        <v>16</v>
      </c>
      <c r="Y27" s="133">
        <f t="shared" ref="Y27" si="22">IF(Y28="","",X27+1)</f>
        <v>17</v>
      </c>
      <c r="Z27" s="133">
        <f t="shared" ref="Z27" si="23">IF(Z28="","",Y27+1)</f>
        <v>18</v>
      </c>
      <c r="AA27" s="133">
        <f t="shared" ref="AA27" si="24">IF(AA28="","",Z27+1)</f>
        <v>19</v>
      </c>
      <c r="AB27" s="133">
        <f t="shared" ref="AB27" si="25">IF(AB28="","",AA27+1)</f>
        <v>20</v>
      </c>
      <c r="AC27" s="133">
        <f t="shared" ref="AC27" si="26">IF(AC28="","",AB27+1)</f>
        <v>21</v>
      </c>
      <c r="AD27" s="133">
        <f t="shared" ref="AD27" si="27">IF(AD28="","",AC27+1)</f>
        <v>22</v>
      </c>
      <c r="AE27" s="133">
        <f t="shared" ref="AE27" si="28">IF(AE28="","",AD27+1)</f>
        <v>23</v>
      </c>
      <c r="AF27" s="133">
        <f t="shared" ref="AF27" si="29">IF(AF28="","",AE27+1)</f>
        <v>24</v>
      </c>
      <c r="AG27" s="133">
        <f t="shared" ref="AG27" si="30">IF(AG28="","",AF27+1)</f>
        <v>25</v>
      </c>
      <c r="AH27" s="133">
        <f t="shared" ref="AH27" si="31">IF(AH28="","",AG27+1)</f>
        <v>26</v>
      </c>
      <c r="AI27" s="133">
        <f t="shared" ref="AI27" si="32">IF(AI28="","",AH27+1)</f>
        <v>27</v>
      </c>
      <c r="AJ27" s="133">
        <f t="shared" ref="AJ27" si="33">IF(AJ28="","",AI27+1)</f>
        <v>28</v>
      </c>
      <c r="AK27" s="133">
        <f t="shared" ref="AK27" si="34">IF(AK28="","",AJ27+1)</f>
        <v>29</v>
      </c>
      <c r="AL27" s="133">
        <f t="shared" ref="AL27" si="35">IF(AL28="","",AK27+1)</f>
        <v>30</v>
      </c>
      <c r="AM27" s="133">
        <f t="shared" ref="AM27" si="36">IF(AM28="","",AL27+1)</f>
        <v>31</v>
      </c>
      <c r="AN27" s="133">
        <f t="shared" ref="AN27" si="37">IF(AN28="","",AM27+1)</f>
        <v>32</v>
      </c>
      <c r="AO27" s="133">
        <f t="shared" ref="AO27" si="38">IF(AO28="","",AN27+1)</f>
        <v>33</v>
      </c>
      <c r="AP27" s="133">
        <f t="shared" ref="AP27" si="39">IF(AP28="","",AO27+1)</f>
        <v>34</v>
      </c>
      <c r="AQ27" s="133">
        <f t="shared" ref="AQ27" si="40">IF(AQ28="","",AP27+1)</f>
        <v>35</v>
      </c>
    </row>
    <row r="28" spans="1:43" ht="12" thickBot="1">
      <c r="B28" s="9"/>
      <c r="C28" s="8"/>
      <c r="D28" s="8"/>
      <c r="E28" s="9" t="s">
        <v>48</v>
      </c>
      <c r="F28" s="9" t="s">
        <v>72</v>
      </c>
      <c r="G28" s="8"/>
      <c r="H28" s="8"/>
      <c r="I28" s="9">
        <f>YEAR(Now)</f>
        <v>2016</v>
      </c>
      <c r="J28" s="9">
        <f t="shared" ref="J28" si="41">IFERROR(IF(I28+1&gt;End,"",I28+1),"")</f>
        <v>2017</v>
      </c>
      <c r="K28" s="9">
        <f t="shared" ref="K28" si="42">IFERROR(IF(J28+1&gt;End,"",J28+1),"")</f>
        <v>2018</v>
      </c>
      <c r="L28" s="9">
        <f t="shared" ref="L28" si="43">IFERROR(IF(K28+1&gt;End,"",K28+1),"")</f>
        <v>2019</v>
      </c>
      <c r="M28" s="9">
        <f t="shared" ref="M28" si="44">IFERROR(IF(L28+1&gt;End,"",L28+1),"")</f>
        <v>2020</v>
      </c>
      <c r="N28" s="9">
        <f t="shared" ref="N28" si="45">IFERROR(IF(M28+1&gt;End,"",M28+1),"")</f>
        <v>2021</v>
      </c>
      <c r="O28" s="9">
        <f t="shared" ref="O28" si="46">IFERROR(IF(N28+1&gt;End,"",N28+1),"")</f>
        <v>2022</v>
      </c>
      <c r="P28" s="9">
        <f t="shared" ref="P28" si="47">IFERROR(IF(O28+1&gt;End,"",O28+1),"")</f>
        <v>2023</v>
      </c>
      <c r="Q28" s="9">
        <f t="shared" ref="Q28" si="48">IFERROR(IF(P28+1&gt;End,"",P28+1),"")</f>
        <v>2024</v>
      </c>
      <c r="R28" s="9">
        <f t="shared" ref="R28" si="49">IFERROR(IF(Q28+1&gt;End,"",Q28+1),"")</f>
        <v>2025</v>
      </c>
      <c r="S28" s="9">
        <f t="shared" ref="S28" si="50">IFERROR(IF(R28+1&gt;End,"",R28+1),"")</f>
        <v>2026</v>
      </c>
      <c r="T28" s="9">
        <f t="shared" ref="T28" si="51">IFERROR(IF(S28+1&gt;End,"",S28+1),"")</f>
        <v>2027</v>
      </c>
      <c r="U28" s="9">
        <f t="shared" ref="U28" si="52">IFERROR(IF(T28+1&gt;End,"",T28+1),"")</f>
        <v>2028</v>
      </c>
      <c r="V28" s="9">
        <f t="shared" ref="V28" si="53">IFERROR(IF(U28+1&gt;End,"",U28+1),"")</f>
        <v>2029</v>
      </c>
      <c r="W28" s="9">
        <f t="shared" ref="W28" si="54">IFERROR(IF(V28+1&gt;End,"",V28+1),"")</f>
        <v>2030</v>
      </c>
      <c r="X28" s="9">
        <f t="shared" ref="X28" si="55">IFERROR(IF(W28+1&gt;End,"",W28+1),"")</f>
        <v>2031</v>
      </c>
      <c r="Y28" s="9">
        <f t="shared" ref="Y28" si="56">IFERROR(IF(X28+1&gt;End,"",X28+1),"")</f>
        <v>2032</v>
      </c>
      <c r="Z28" s="9">
        <f t="shared" ref="Z28" si="57">IFERROR(IF(Y28+1&gt;End,"",Y28+1),"")</f>
        <v>2033</v>
      </c>
      <c r="AA28" s="9">
        <f t="shared" ref="AA28" si="58">IFERROR(IF(Z28+1&gt;End,"",Z28+1),"")</f>
        <v>2034</v>
      </c>
      <c r="AB28" s="9">
        <f t="shared" ref="AB28" si="59">IFERROR(IF(AA28+1&gt;End,"",AA28+1),"")</f>
        <v>2035</v>
      </c>
      <c r="AC28" s="9">
        <f t="shared" ref="AC28" si="60">IFERROR(IF(AB28+1&gt;End,"",AB28+1),"")</f>
        <v>2036</v>
      </c>
      <c r="AD28" s="9">
        <f t="shared" ref="AD28" si="61">IFERROR(IF(AC28+1&gt;End,"",AC28+1),"")</f>
        <v>2037</v>
      </c>
      <c r="AE28" s="9">
        <f t="shared" ref="AE28" si="62">IFERROR(IF(AD28+1&gt;End,"",AD28+1),"")</f>
        <v>2038</v>
      </c>
      <c r="AF28" s="9">
        <f t="shared" ref="AF28" si="63">IFERROR(IF(AE28+1&gt;End,"",AE28+1),"")</f>
        <v>2039</v>
      </c>
      <c r="AG28" s="9">
        <f t="shared" ref="AG28" si="64">IFERROR(IF(AF28+1&gt;End,"",AF28+1),"")</f>
        <v>2040</v>
      </c>
      <c r="AH28" s="9">
        <f t="shared" ref="AH28" si="65">IFERROR(IF(AG28+1&gt;End,"",AG28+1),"")</f>
        <v>2041</v>
      </c>
      <c r="AI28" s="9">
        <f t="shared" ref="AI28" si="66">IFERROR(IF(AH28+1&gt;End,"",AH28+1),"")</f>
        <v>2042</v>
      </c>
      <c r="AJ28" s="9">
        <f t="shared" ref="AJ28" si="67">IFERROR(IF(AI28+1&gt;End,"",AI28+1),"")</f>
        <v>2043</v>
      </c>
      <c r="AK28" s="9">
        <f t="shared" ref="AK28" si="68">IFERROR(IF(AJ28+1&gt;End,"",AJ28+1),"")</f>
        <v>2044</v>
      </c>
      <c r="AL28" s="9">
        <f t="shared" ref="AL28" si="69">IFERROR(IF(AK28+1&gt;End,"",AK28+1),"")</f>
        <v>2045</v>
      </c>
      <c r="AM28" s="9">
        <f t="shared" ref="AM28" si="70">IFERROR(IF(AL28+1&gt;End,"",AL28+1),"")</f>
        <v>2046</v>
      </c>
      <c r="AN28" s="9">
        <f t="shared" ref="AN28" si="71">IFERROR(IF(AM28+1&gt;End,"",AM28+1),"")</f>
        <v>2047</v>
      </c>
      <c r="AO28" s="9">
        <f t="shared" ref="AO28" si="72">IFERROR(IF(AN28+1&gt;End,"",AN28+1),"")</f>
        <v>2048</v>
      </c>
      <c r="AP28" s="9">
        <f t="shared" ref="AP28" si="73">IFERROR(IF(AO28+1&gt;End,"",AO28+1),"")</f>
        <v>2049</v>
      </c>
      <c r="AQ28" s="9">
        <f t="shared" ref="AQ28" si="74">IFERROR(IF(AP28+1&gt;End,"",AP28+1),"")</f>
        <v>2050</v>
      </c>
    </row>
    <row r="29" spans="1:43">
      <c r="B29" s="11" t="s">
        <v>231</v>
      </c>
    </row>
    <row r="30" spans="1:43">
      <c r="B30" s="178" t="s">
        <v>232</v>
      </c>
    </row>
    <row r="31" spans="1:43">
      <c r="B31" s="39" t="s">
        <v>267</v>
      </c>
      <c r="I31" s="134">
        <f>I77</f>
        <v>1.6438356164383379</v>
      </c>
      <c r="J31" s="134">
        <f t="shared" ref="J31:AQ31" si="75">J77</f>
        <v>1.6767123287671097</v>
      </c>
      <c r="K31" s="134">
        <f t="shared" si="75"/>
        <v>1.7102465753424667</v>
      </c>
      <c r="L31" s="134">
        <f t="shared" si="75"/>
        <v>1.7444515068492876</v>
      </c>
      <c r="M31" s="134">
        <f t="shared" si="75"/>
        <v>23.678416289800424</v>
      </c>
      <c r="N31" s="134">
        <f t="shared" si="75"/>
        <v>1.4210854715202004E-13</v>
      </c>
      <c r="O31" s="134">
        <f t="shared" si="75"/>
        <v>1.4210854715202004E-13</v>
      </c>
      <c r="P31" s="134">
        <f t="shared" si="75"/>
        <v>1.4210854715202004E-13</v>
      </c>
      <c r="Q31" s="134">
        <f t="shared" si="75"/>
        <v>1.4210854715202004E-13</v>
      </c>
      <c r="R31" s="134">
        <f t="shared" si="75"/>
        <v>1.4210854715202004E-13</v>
      </c>
      <c r="S31" s="134">
        <f t="shared" si="75"/>
        <v>1.4210854715202004E-13</v>
      </c>
      <c r="T31" s="134">
        <f t="shared" si="75"/>
        <v>1.4210854715202004E-13</v>
      </c>
      <c r="U31" s="134">
        <f t="shared" si="75"/>
        <v>1.4210854715202004E-13</v>
      </c>
      <c r="V31" s="134">
        <f t="shared" si="75"/>
        <v>1.4210854715202004E-13</v>
      </c>
      <c r="W31" s="134">
        <f t="shared" si="75"/>
        <v>1.4210854715202004E-13</v>
      </c>
      <c r="X31" s="134">
        <f t="shared" si="75"/>
        <v>1.4210854715202004E-13</v>
      </c>
      <c r="Y31" s="134">
        <f t="shared" si="75"/>
        <v>1.4210854715202004E-13</v>
      </c>
      <c r="Z31" s="134">
        <f t="shared" si="75"/>
        <v>1.4210854715202004E-13</v>
      </c>
      <c r="AA31" s="134">
        <f t="shared" si="75"/>
        <v>1.4210854715202004E-13</v>
      </c>
      <c r="AB31" s="134">
        <f t="shared" si="75"/>
        <v>1.4210854715202004E-13</v>
      </c>
      <c r="AC31" s="134">
        <f t="shared" si="75"/>
        <v>1.4210854715202004E-13</v>
      </c>
      <c r="AD31" s="134">
        <f t="shared" si="75"/>
        <v>1.4210854715202004E-13</v>
      </c>
      <c r="AE31" s="134">
        <f t="shared" si="75"/>
        <v>1.4210854715202004E-13</v>
      </c>
      <c r="AF31" s="134">
        <f t="shared" si="75"/>
        <v>1.4210854715202004E-13</v>
      </c>
      <c r="AG31" s="134">
        <f t="shared" si="75"/>
        <v>1.4210854715202004E-13</v>
      </c>
      <c r="AH31" s="134">
        <f t="shared" si="75"/>
        <v>1.4210854715202004E-13</v>
      </c>
      <c r="AI31" s="134">
        <f t="shared" si="75"/>
        <v>1.4210854715202004E-13</v>
      </c>
      <c r="AJ31" s="134">
        <f t="shared" si="75"/>
        <v>1.4210854715202004E-13</v>
      </c>
      <c r="AK31" s="134">
        <f t="shared" si="75"/>
        <v>1.4210854715202004E-13</v>
      </c>
      <c r="AL31" s="134">
        <f t="shared" si="75"/>
        <v>1.4210854715202004E-13</v>
      </c>
      <c r="AM31" s="134">
        <f t="shared" si="75"/>
        <v>1.4210854715202004E-13</v>
      </c>
      <c r="AN31" s="134">
        <f t="shared" si="75"/>
        <v>1.4210854715202004E-13</v>
      </c>
      <c r="AO31" s="134">
        <f t="shared" si="75"/>
        <v>1.4210854715202004E-13</v>
      </c>
      <c r="AP31" s="134">
        <f t="shared" si="75"/>
        <v>1.4210854715202004E-13</v>
      </c>
      <c r="AQ31" s="134">
        <f t="shared" si="75"/>
        <v>1.4210854715202004E-13</v>
      </c>
    </row>
    <row r="32" spans="1:43">
      <c r="B32" s="39" t="s">
        <v>238</v>
      </c>
      <c r="I32" s="70">
        <f>Model!I62</f>
        <v>0</v>
      </c>
      <c r="J32" s="70">
        <f>Model!J62</f>
        <v>0</v>
      </c>
      <c r="K32" s="70">
        <f>Model!K62</f>
        <v>0</v>
      </c>
      <c r="L32" s="70">
        <f>Model!L62</f>
        <v>0</v>
      </c>
      <c r="M32" s="70">
        <f>Model!M62</f>
        <v>79.93150684931507</v>
      </c>
      <c r="N32" s="70">
        <f>Model!N62</f>
        <v>80.030136986301372</v>
      </c>
      <c r="O32" s="70">
        <f>Model!O62</f>
        <v>80.1307397260274</v>
      </c>
      <c r="P32" s="70">
        <f>Model!P62</f>
        <v>80.233354520547962</v>
      </c>
      <c r="Q32" s="70">
        <f>Model!Q62</f>
        <v>80.338021610958904</v>
      </c>
      <c r="R32" s="70">
        <f>Model!R62</f>
        <v>80.444782043178108</v>
      </c>
      <c r="S32" s="70">
        <f>Model!S62</f>
        <v>80.553677684041645</v>
      </c>
      <c r="T32" s="70">
        <f>Model!T62</f>
        <v>80.664751237722498</v>
      </c>
      <c r="U32" s="70">
        <f>Model!U62</f>
        <v>80.778046262476963</v>
      </c>
      <c r="V32" s="70">
        <f>Model!V62</f>
        <v>80.893607187726502</v>
      </c>
      <c r="W32" s="70">
        <f>Model!W62</f>
        <v>81.011479331481013</v>
      </c>
      <c r="X32" s="70">
        <f>Model!X62</f>
        <v>81.131708918110647</v>
      </c>
      <c r="Y32" s="70">
        <f>Model!Y62</f>
        <v>81.254343096472866</v>
      </c>
      <c r="Z32" s="70">
        <f>Model!Z62</f>
        <v>81.379429958402312</v>
      </c>
      <c r="AA32" s="70">
        <f>Model!AA62</f>
        <v>81.507018557570362</v>
      </c>
      <c r="AB32" s="70">
        <f>Model!AB62</f>
        <v>81.63715892872176</v>
      </c>
      <c r="AC32" s="70">
        <f>Model!AC62</f>
        <v>81.769902107296218</v>
      </c>
      <c r="AD32" s="70">
        <f>Model!AD62</f>
        <v>81.905300149442127</v>
      </c>
      <c r="AE32" s="70">
        <f>Model!AE62</f>
        <v>82.043406152430975</v>
      </c>
      <c r="AF32" s="70">
        <f>Model!AF62</f>
        <v>82.184274275479609</v>
      </c>
      <c r="AG32" s="70">
        <f>Model!AG62</f>
        <v>82.327959760989174</v>
      </c>
      <c r="AH32" s="70">
        <f>Model!AH62</f>
        <v>82.474518956208968</v>
      </c>
      <c r="AI32" s="70">
        <f>Model!AI62</f>
        <v>82.624009335333142</v>
      </c>
      <c r="AJ32" s="70">
        <f>Model!AJ62</f>
        <v>82.776489522039824</v>
      </c>
      <c r="AK32" s="70">
        <f>Model!AK62</f>
        <v>82.93201931248062</v>
      </c>
      <c r="AL32" s="70">
        <f>Model!AL62</f>
        <v>83.090659698730235</v>
      </c>
      <c r="AM32" s="70">
        <f>Model!AM62</f>
        <v>83.25247289270483</v>
      </c>
      <c r="AN32" s="70">
        <f>Model!AN62</f>
        <v>83.417522350558954</v>
      </c>
      <c r="AO32" s="70">
        <f>Model!AO62</f>
        <v>83.585872797570104</v>
      </c>
      <c r="AP32" s="70">
        <f>Model!AP62</f>
        <v>83.757590253521514</v>
      </c>
      <c r="AQ32" s="70">
        <f>Model!AQ62</f>
        <v>83.932742058591955</v>
      </c>
    </row>
    <row r="33" spans="2:43">
      <c r="B33" s="39" t="s">
        <v>233</v>
      </c>
      <c r="I33" s="70">
        <f>'Debt Schedule'!I33</f>
        <v>0</v>
      </c>
      <c r="J33" s="70">
        <f>'Debt Schedule'!J33</f>
        <v>0</v>
      </c>
      <c r="K33" s="70">
        <f>'Debt Schedule'!K33</f>
        <v>0</v>
      </c>
      <c r="L33" s="70">
        <f>'Debt Schedule'!L33</f>
        <v>0</v>
      </c>
      <c r="M33" s="70">
        <f>'Debt Schedule'!M33</f>
        <v>300</v>
      </c>
      <c r="N33" s="70">
        <f>'Debt Schedule'!N33</f>
        <v>300</v>
      </c>
      <c r="O33" s="70">
        <f>'Debt Schedule'!O33</f>
        <v>300</v>
      </c>
      <c r="P33" s="70">
        <f>'Debt Schedule'!P33</f>
        <v>300</v>
      </c>
      <c r="Q33" s="70">
        <f>'Debt Schedule'!Q33</f>
        <v>300</v>
      </c>
      <c r="R33" s="70">
        <f>'Debt Schedule'!R33</f>
        <v>300</v>
      </c>
      <c r="S33" s="70">
        <f>'Debt Schedule'!S33</f>
        <v>300</v>
      </c>
      <c r="T33" s="70">
        <f>'Debt Schedule'!T33</f>
        <v>300</v>
      </c>
      <c r="U33" s="70">
        <f>'Debt Schedule'!U33</f>
        <v>300</v>
      </c>
      <c r="V33" s="70">
        <f>'Debt Schedule'!V33</f>
        <v>300</v>
      </c>
      <c r="W33" s="70">
        <f>'Debt Schedule'!W33</f>
        <v>300</v>
      </c>
      <c r="X33" s="70">
        <f>'Debt Schedule'!X33</f>
        <v>300</v>
      </c>
      <c r="Y33" s="70">
        <f>'Debt Schedule'!Y33</f>
        <v>300</v>
      </c>
      <c r="Z33" s="70">
        <f>'Debt Schedule'!Z33</f>
        <v>300</v>
      </c>
      <c r="AA33" s="70">
        <f>'Debt Schedule'!AA33</f>
        <v>300</v>
      </c>
      <c r="AB33" s="70">
        <f>'Debt Schedule'!AB33</f>
        <v>300</v>
      </c>
      <c r="AC33" s="70">
        <f>'Debt Schedule'!AC33</f>
        <v>300</v>
      </c>
      <c r="AD33" s="70">
        <f>'Debt Schedule'!AD33</f>
        <v>300</v>
      </c>
      <c r="AE33" s="70">
        <f>'Debt Schedule'!AE33</f>
        <v>300</v>
      </c>
      <c r="AF33" s="70">
        <f>'Debt Schedule'!AF33</f>
        <v>300</v>
      </c>
      <c r="AG33" s="70">
        <f>'Debt Schedule'!AG33</f>
        <v>300</v>
      </c>
      <c r="AH33" s="70">
        <f>'Debt Schedule'!AH33</f>
        <v>300</v>
      </c>
      <c r="AI33" s="70">
        <f>'Debt Schedule'!AI33</f>
        <v>300</v>
      </c>
      <c r="AJ33" s="70">
        <f>'Debt Schedule'!AJ33</f>
        <v>300</v>
      </c>
      <c r="AK33" s="70">
        <f>'Debt Schedule'!AK33</f>
        <v>300</v>
      </c>
      <c r="AL33" s="70">
        <f>'Debt Schedule'!AL33</f>
        <v>300</v>
      </c>
      <c r="AM33" s="70">
        <f>'Debt Schedule'!AM33</f>
        <v>300</v>
      </c>
      <c r="AN33" s="70">
        <f>'Debt Schedule'!AN33</f>
        <v>300</v>
      </c>
      <c r="AO33" s="70">
        <f>'Debt Schedule'!AO33</f>
        <v>300</v>
      </c>
      <c r="AP33" s="70">
        <f>'Debt Schedule'!AP33</f>
        <v>300</v>
      </c>
      <c r="AQ33" s="70">
        <f>'Debt Schedule'!AQ33</f>
        <v>300</v>
      </c>
    </row>
    <row r="34" spans="2:43">
      <c r="B34" s="39" t="s">
        <v>255</v>
      </c>
      <c r="I34" s="70">
        <f>'Debt Schedule'!I40</f>
        <v>0</v>
      </c>
      <c r="J34" s="70">
        <f>'Debt Schedule'!J40</f>
        <v>0</v>
      </c>
      <c r="K34" s="70">
        <f>'Debt Schedule'!K40</f>
        <v>0</v>
      </c>
      <c r="L34" s="70">
        <f>'Debt Schedule'!L40</f>
        <v>0</v>
      </c>
      <c r="M34" s="70">
        <f>'Debt Schedule'!M40</f>
        <v>0</v>
      </c>
      <c r="N34" s="70">
        <f>'Debt Schedule'!N40</f>
        <v>300</v>
      </c>
      <c r="O34" s="70">
        <f>'Debt Schedule'!O40</f>
        <v>300</v>
      </c>
      <c r="P34" s="70">
        <f>'Debt Schedule'!P40</f>
        <v>300</v>
      </c>
      <c r="Q34" s="70">
        <f>'Debt Schedule'!Q40</f>
        <v>300</v>
      </c>
      <c r="R34" s="70">
        <f>'Debt Schedule'!R40</f>
        <v>300</v>
      </c>
      <c r="S34" s="70">
        <f>'Debt Schedule'!S40</f>
        <v>300</v>
      </c>
      <c r="T34" s="70">
        <f>'Debt Schedule'!T40</f>
        <v>300</v>
      </c>
      <c r="U34" s="70">
        <f>'Debt Schedule'!U40</f>
        <v>300</v>
      </c>
      <c r="V34" s="70">
        <f>'Debt Schedule'!V40</f>
        <v>300</v>
      </c>
      <c r="W34" s="70">
        <f>'Debt Schedule'!W40</f>
        <v>300</v>
      </c>
      <c r="X34" s="70">
        <f>'Debt Schedule'!X40</f>
        <v>300</v>
      </c>
      <c r="Y34" s="70">
        <f>'Debt Schedule'!Y40</f>
        <v>300</v>
      </c>
      <c r="Z34" s="70">
        <f>'Debt Schedule'!Z40</f>
        <v>300</v>
      </c>
      <c r="AA34" s="70">
        <f>'Debt Schedule'!AA40</f>
        <v>300</v>
      </c>
      <c r="AB34" s="70">
        <f>'Debt Schedule'!AB40</f>
        <v>300</v>
      </c>
      <c r="AC34" s="70">
        <f>'Debt Schedule'!AC40</f>
        <v>300</v>
      </c>
      <c r="AD34" s="70">
        <f>'Debt Schedule'!AD40</f>
        <v>300</v>
      </c>
      <c r="AE34" s="70">
        <f>'Debt Schedule'!AE40</f>
        <v>300</v>
      </c>
      <c r="AF34" s="70">
        <f>'Debt Schedule'!AF40</f>
        <v>300</v>
      </c>
      <c r="AG34" s="70">
        <f>'Debt Schedule'!AG40</f>
        <v>300</v>
      </c>
      <c r="AH34" s="70">
        <f>'Debt Schedule'!AH40</f>
        <v>300</v>
      </c>
      <c r="AI34" s="70">
        <f>'Debt Schedule'!AI40</f>
        <v>300</v>
      </c>
      <c r="AJ34" s="70">
        <f>'Debt Schedule'!AJ40</f>
        <v>300</v>
      </c>
      <c r="AK34" s="70">
        <f>'Debt Schedule'!AK40</f>
        <v>300</v>
      </c>
      <c r="AL34" s="70">
        <f>'Debt Schedule'!AL40</f>
        <v>300</v>
      </c>
      <c r="AM34" s="70">
        <f>'Debt Schedule'!AM40</f>
        <v>300</v>
      </c>
      <c r="AN34" s="70">
        <f>'Debt Schedule'!AN40</f>
        <v>300</v>
      </c>
      <c r="AO34" s="70">
        <f>'Debt Schedule'!AO40</f>
        <v>300</v>
      </c>
      <c r="AP34" s="70">
        <f>'Debt Schedule'!AP40</f>
        <v>300</v>
      </c>
      <c r="AQ34" s="70">
        <f>'Debt Schedule'!AQ40</f>
        <v>300</v>
      </c>
    </row>
    <row r="35" spans="2:43">
      <c r="B35" s="3" t="s">
        <v>240</v>
      </c>
      <c r="I35" s="70">
        <f>SUM(I31:I34)</f>
        <v>1.6438356164383379</v>
      </c>
      <c r="J35" s="70">
        <f t="shared" ref="J35:AQ35" si="76">SUM(J31:J34)</f>
        <v>1.6767123287671097</v>
      </c>
      <c r="K35" s="70">
        <f t="shared" si="76"/>
        <v>1.7102465753424667</v>
      </c>
      <c r="L35" s="70">
        <f t="shared" si="76"/>
        <v>1.7444515068492876</v>
      </c>
      <c r="M35" s="70">
        <f t="shared" si="76"/>
        <v>403.60992313911549</v>
      </c>
      <c r="N35" s="70">
        <f t="shared" si="76"/>
        <v>680.0301369863015</v>
      </c>
      <c r="O35" s="70">
        <f t="shared" si="76"/>
        <v>680.13073972602751</v>
      </c>
      <c r="P35" s="70">
        <f t="shared" si="76"/>
        <v>680.23335452054812</v>
      </c>
      <c r="Q35" s="70">
        <f t="shared" si="76"/>
        <v>680.338021610959</v>
      </c>
      <c r="R35" s="70">
        <f t="shared" si="76"/>
        <v>680.44478204317829</v>
      </c>
      <c r="S35" s="70">
        <f t="shared" si="76"/>
        <v>680.55367768404176</v>
      </c>
      <c r="T35" s="70">
        <f t="shared" si="76"/>
        <v>680.66475123772261</v>
      </c>
      <c r="U35" s="70">
        <f t="shared" si="76"/>
        <v>680.77804626247712</v>
      </c>
      <c r="V35" s="70">
        <f t="shared" si="76"/>
        <v>680.89360718772662</v>
      </c>
      <c r="W35" s="70">
        <f t="shared" si="76"/>
        <v>681.01147933148115</v>
      </c>
      <c r="X35" s="70">
        <f t="shared" si="76"/>
        <v>681.1317089181108</v>
      </c>
      <c r="Y35" s="70">
        <f t="shared" si="76"/>
        <v>681.25434309647301</v>
      </c>
      <c r="Z35" s="70">
        <f t="shared" si="76"/>
        <v>681.3794299584024</v>
      </c>
      <c r="AA35" s="70">
        <f t="shared" si="76"/>
        <v>681.50701855757052</v>
      </c>
      <c r="AB35" s="70">
        <f t="shared" si="76"/>
        <v>681.63715892872187</v>
      </c>
      <c r="AC35" s="70">
        <f t="shared" si="76"/>
        <v>681.76990210729639</v>
      </c>
      <c r="AD35" s="70">
        <f t="shared" si="76"/>
        <v>681.90530014944227</v>
      </c>
      <c r="AE35" s="70">
        <f t="shared" si="76"/>
        <v>682.04340615243109</v>
      </c>
      <c r="AF35" s="70">
        <f t="shared" si="76"/>
        <v>682.18427427547977</v>
      </c>
      <c r="AG35" s="70">
        <f t="shared" si="76"/>
        <v>682.3279597609893</v>
      </c>
      <c r="AH35" s="70">
        <f t="shared" si="76"/>
        <v>682.47451895620907</v>
      </c>
      <c r="AI35" s="70">
        <f t="shared" si="76"/>
        <v>682.62400933533331</v>
      </c>
      <c r="AJ35" s="70">
        <f t="shared" si="76"/>
        <v>682.77648952204004</v>
      </c>
      <c r="AK35" s="70">
        <f t="shared" si="76"/>
        <v>682.93201931248075</v>
      </c>
      <c r="AL35" s="70">
        <f t="shared" si="76"/>
        <v>683.09065969873041</v>
      </c>
      <c r="AM35" s="70">
        <f t="shared" si="76"/>
        <v>683.25247289270499</v>
      </c>
      <c r="AN35" s="70">
        <f t="shared" si="76"/>
        <v>683.41752235055912</v>
      </c>
      <c r="AO35" s="70">
        <f t="shared" si="76"/>
        <v>683.58587279757023</v>
      </c>
      <c r="AP35" s="70">
        <f t="shared" si="76"/>
        <v>683.75759025352158</v>
      </c>
      <c r="AQ35" s="70">
        <f t="shared" si="76"/>
        <v>683.93274205859211</v>
      </c>
    </row>
    <row r="36" spans="2:43">
      <c r="B36" s="118" t="s">
        <v>234</v>
      </c>
      <c r="C36" s="118"/>
      <c r="D36" s="118"/>
      <c r="E36" s="118"/>
      <c r="F36" s="118"/>
      <c r="G36" s="118"/>
      <c r="H36" s="118"/>
      <c r="I36" s="122">
        <f>Model!I89</f>
        <v>213.28125</v>
      </c>
      <c r="J36" s="122">
        <f>Model!J89</f>
        <v>324.21875000000006</v>
      </c>
      <c r="K36" s="122">
        <f>Model!K89</f>
        <v>428.90625</v>
      </c>
      <c r="L36" s="122">
        <f>Model!L89</f>
        <v>557.8125</v>
      </c>
      <c r="M36" s="122">
        <f>Model!M89</f>
        <v>678.90625</v>
      </c>
      <c r="N36" s="122">
        <f>Model!N89</f>
        <v>792.1875</v>
      </c>
      <c r="O36" s="122">
        <f>Model!O89</f>
        <v>897.65625</v>
      </c>
      <c r="P36" s="122">
        <f>Model!P89</f>
        <v>995.3125</v>
      </c>
      <c r="Q36" s="122">
        <f>Model!Q89</f>
        <v>1085.15625</v>
      </c>
      <c r="R36" s="122">
        <f>Model!R89</f>
        <v>1167.1875</v>
      </c>
      <c r="S36" s="122">
        <f>Model!S89</f>
        <v>1241.40625</v>
      </c>
      <c r="T36" s="122">
        <f>Model!T89</f>
        <v>1307.8125</v>
      </c>
      <c r="U36" s="122">
        <f>Model!U89</f>
        <v>1470</v>
      </c>
      <c r="V36" s="122">
        <f>Model!V89</f>
        <v>1515.46875</v>
      </c>
      <c r="W36" s="122">
        <f>Model!W89</f>
        <v>1553.125</v>
      </c>
      <c r="X36" s="122">
        <f>Model!X89</f>
        <v>1582.96875</v>
      </c>
      <c r="Y36" s="122">
        <f>Model!Y89</f>
        <v>1605</v>
      </c>
      <c r="Z36" s="122">
        <f>Model!Z89</f>
        <v>1619.21875</v>
      </c>
      <c r="AA36" s="122">
        <f>Model!AA89</f>
        <v>1625.625</v>
      </c>
      <c r="AB36" s="122">
        <f>Model!AB89</f>
        <v>1624.21875</v>
      </c>
      <c r="AC36" s="122">
        <f>Model!AC89</f>
        <v>1724.0625</v>
      </c>
      <c r="AD36" s="122">
        <f>Model!AD89</f>
        <v>1715.78125</v>
      </c>
      <c r="AE36" s="122">
        <f>Model!AE89</f>
        <v>1705.9375</v>
      </c>
      <c r="AF36" s="122">
        <f>Model!AF89</f>
        <v>1695.3125</v>
      </c>
      <c r="AG36" s="122">
        <f>Model!AG89</f>
        <v>1684.6875</v>
      </c>
      <c r="AH36" s="122">
        <f>Model!AH89</f>
        <v>1674.0625</v>
      </c>
      <c r="AI36" s="122">
        <f>Model!AI89</f>
        <v>1663.4375</v>
      </c>
      <c r="AJ36" s="122">
        <f>Model!AJ89</f>
        <v>1652.8125</v>
      </c>
      <c r="AK36" s="122">
        <f>Model!AK89</f>
        <v>1745.78125</v>
      </c>
      <c r="AL36" s="122">
        <f>Model!AL89</f>
        <v>1729.84375</v>
      </c>
      <c r="AM36" s="122">
        <f>Model!AM89</f>
        <v>1713.90625</v>
      </c>
      <c r="AN36" s="122">
        <f>Model!AN89</f>
        <v>1697.96875</v>
      </c>
      <c r="AO36" s="122">
        <f>Model!AO89</f>
        <v>1684.6875</v>
      </c>
      <c r="AP36" s="122">
        <f>Model!AP89</f>
        <v>1674.0625</v>
      </c>
      <c r="AQ36" s="122">
        <f>Model!AQ89</f>
        <v>1663.4375</v>
      </c>
    </row>
    <row r="37" spans="2:43">
      <c r="B37" s="15" t="s">
        <v>237</v>
      </c>
      <c r="C37" s="15"/>
      <c r="D37" s="15"/>
      <c r="E37" s="15"/>
      <c r="F37" s="15"/>
      <c r="G37" s="15"/>
      <c r="H37" s="15"/>
      <c r="I37" s="58">
        <f>SUM(I35:I36)</f>
        <v>214.92508561643834</v>
      </c>
      <c r="J37" s="58">
        <f t="shared" ref="J37:AQ37" si="77">SUM(J35:J36)</f>
        <v>325.89546232876717</v>
      </c>
      <c r="K37" s="58">
        <f t="shared" si="77"/>
        <v>430.61649657534247</v>
      </c>
      <c r="L37" s="58">
        <f t="shared" si="77"/>
        <v>559.55695150684926</v>
      </c>
      <c r="M37" s="58">
        <f t="shared" si="77"/>
        <v>1082.5161731391154</v>
      </c>
      <c r="N37" s="58">
        <f t="shared" si="77"/>
        <v>1472.2176369863014</v>
      </c>
      <c r="O37" s="58">
        <f t="shared" si="77"/>
        <v>1577.7869897260275</v>
      </c>
      <c r="P37" s="58">
        <f t="shared" si="77"/>
        <v>1675.5458545205481</v>
      </c>
      <c r="Q37" s="58">
        <f t="shared" si="77"/>
        <v>1765.494271610959</v>
      </c>
      <c r="R37" s="58">
        <f t="shared" si="77"/>
        <v>1847.6322820431783</v>
      </c>
      <c r="S37" s="58">
        <f t="shared" si="77"/>
        <v>1921.9599276840418</v>
      </c>
      <c r="T37" s="58">
        <f t="shared" si="77"/>
        <v>1988.4772512377226</v>
      </c>
      <c r="U37" s="58">
        <f t="shared" si="77"/>
        <v>2150.7780462624769</v>
      </c>
      <c r="V37" s="58">
        <f t="shared" si="77"/>
        <v>2196.3623571877265</v>
      </c>
      <c r="W37" s="58">
        <f t="shared" si="77"/>
        <v>2234.136479331481</v>
      </c>
      <c r="X37" s="58">
        <f t="shared" si="77"/>
        <v>2264.1004589181107</v>
      </c>
      <c r="Y37" s="58">
        <f t="shared" si="77"/>
        <v>2286.2543430964729</v>
      </c>
      <c r="Z37" s="58">
        <f t="shared" si="77"/>
        <v>2300.5981799584024</v>
      </c>
      <c r="AA37" s="58">
        <f t="shared" si="77"/>
        <v>2307.1320185575705</v>
      </c>
      <c r="AB37" s="58">
        <f t="shared" si="77"/>
        <v>2305.8559089287219</v>
      </c>
      <c r="AC37" s="58">
        <f t="shared" si="77"/>
        <v>2405.8324021072963</v>
      </c>
      <c r="AD37" s="58">
        <f t="shared" si="77"/>
        <v>2397.6865501494422</v>
      </c>
      <c r="AE37" s="58">
        <f t="shared" si="77"/>
        <v>2387.9809061524311</v>
      </c>
      <c r="AF37" s="58">
        <f t="shared" si="77"/>
        <v>2377.4967742754798</v>
      </c>
      <c r="AG37" s="58">
        <f t="shared" si="77"/>
        <v>2367.0154597609894</v>
      </c>
      <c r="AH37" s="58">
        <f t="shared" si="77"/>
        <v>2356.5370189562091</v>
      </c>
      <c r="AI37" s="58">
        <f t="shared" si="77"/>
        <v>2346.0615093353335</v>
      </c>
      <c r="AJ37" s="58">
        <f t="shared" si="77"/>
        <v>2335.5889895220398</v>
      </c>
      <c r="AK37" s="58">
        <f t="shared" si="77"/>
        <v>2428.7132693124809</v>
      </c>
      <c r="AL37" s="58">
        <f t="shared" si="77"/>
        <v>2412.9344096987306</v>
      </c>
      <c r="AM37" s="58">
        <f t="shared" si="77"/>
        <v>2397.1587228927051</v>
      </c>
      <c r="AN37" s="58">
        <f t="shared" si="77"/>
        <v>2381.386272350559</v>
      </c>
      <c r="AO37" s="58">
        <f t="shared" si="77"/>
        <v>2368.2733727975701</v>
      </c>
      <c r="AP37" s="58">
        <f t="shared" si="77"/>
        <v>2357.8200902535218</v>
      </c>
      <c r="AQ37" s="58">
        <f t="shared" si="77"/>
        <v>2347.3702420585923</v>
      </c>
    </row>
    <row r="39" spans="2:43">
      <c r="B39" s="11" t="s">
        <v>235</v>
      </c>
    </row>
    <row r="40" spans="2:43">
      <c r="B40" s="178" t="s">
        <v>236</v>
      </c>
    </row>
    <row r="41" spans="2:43">
      <c r="B41" s="39" t="s">
        <v>239</v>
      </c>
      <c r="I41" s="70">
        <f>Model!I68</f>
        <v>1.6438356164383561</v>
      </c>
      <c r="J41" s="70">
        <f>Model!J68</f>
        <v>1.6767123287671231</v>
      </c>
      <c r="K41" s="70">
        <f>Model!K68</f>
        <v>1.7102465753424658</v>
      </c>
      <c r="L41" s="70">
        <f>Model!L68</f>
        <v>1.7444515068493147</v>
      </c>
      <c r="M41" s="70">
        <f>Model!M68</f>
        <v>7.5327651945205485</v>
      </c>
      <c r="N41" s="70">
        <f>Model!N68</f>
        <v>7.6834204984109595</v>
      </c>
      <c r="O41" s="70">
        <f>Model!O68</f>
        <v>7.8370889083791786</v>
      </c>
      <c r="P41" s="70">
        <f>Model!P68</f>
        <v>7.9938306865467617</v>
      </c>
      <c r="Q41" s="70">
        <f>Model!Q68</f>
        <v>8.1537073002776967</v>
      </c>
      <c r="R41" s="70">
        <f>Model!R68</f>
        <v>8.316781446283251</v>
      </c>
      <c r="S41" s="70">
        <f>Model!S68</f>
        <v>8.4831170752089164</v>
      </c>
      <c r="T41" s="70">
        <f>Model!T68</f>
        <v>8.6527794167130931</v>
      </c>
      <c r="U41" s="70">
        <f>Model!U68</f>
        <v>8.8258350050473542</v>
      </c>
      <c r="V41" s="70">
        <f>Model!V68</f>
        <v>9.0023517051483015</v>
      </c>
      <c r="W41" s="70">
        <f>Model!W68</f>
        <v>9.1823987392512709</v>
      </c>
      <c r="X41" s="70">
        <f>Model!X68</f>
        <v>9.366046714036294</v>
      </c>
      <c r="Y41" s="70">
        <f>Model!Y68</f>
        <v>9.5533676483170211</v>
      </c>
      <c r="Z41" s="70">
        <f>Model!Z68</f>
        <v>9.7444350012833603</v>
      </c>
      <c r="AA41" s="70">
        <f>Model!AA68</f>
        <v>9.9393237013090285</v>
      </c>
      <c r="AB41" s="70">
        <f>Model!AB68</f>
        <v>10.138110175335205</v>
      </c>
      <c r="AC41" s="70">
        <f>Model!AC68</f>
        <v>10.340872378841912</v>
      </c>
      <c r="AD41" s="70">
        <f>Model!AD68</f>
        <v>10.54768982641875</v>
      </c>
      <c r="AE41" s="70">
        <f>Model!AE68</f>
        <v>10.758643622947124</v>
      </c>
      <c r="AF41" s="70">
        <f>Model!AF68</f>
        <v>10.973816495406068</v>
      </c>
      <c r="AG41" s="70">
        <f>Model!AG68</f>
        <v>11.193292825314188</v>
      </c>
      <c r="AH41" s="70">
        <f>Model!AH68</f>
        <v>11.417158681820471</v>
      </c>
      <c r="AI41" s="70">
        <f>Model!AI68</f>
        <v>11.645501855456883</v>
      </c>
      <c r="AJ41" s="70">
        <f>Model!AJ68</f>
        <v>11.878411892566017</v>
      </c>
      <c r="AK41" s="70">
        <f>Model!AK68</f>
        <v>12.11598013041734</v>
      </c>
      <c r="AL41" s="70">
        <f>Model!AL68</f>
        <v>12.358299733025687</v>
      </c>
      <c r="AM41" s="70">
        <f>Model!AM68</f>
        <v>12.786194884036433</v>
      </c>
      <c r="AN41" s="70">
        <f>Model!AN68</f>
        <v>13.041918781717159</v>
      </c>
      <c r="AO41" s="70">
        <f>Model!AO68</f>
        <v>13.302757157351509</v>
      </c>
      <c r="AP41" s="70">
        <f>Model!AP68</f>
        <v>13.568812300498534</v>
      </c>
      <c r="AQ41" s="70">
        <f>Model!AQ68</f>
        <v>13.840188546508505</v>
      </c>
    </row>
    <row r="42" spans="2:43">
      <c r="B42" s="3" t="s">
        <v>241</v>
      </c>
      <c r="I42" s="70">
        <f>SUM(I41)</f>
        <v>1.6438356164383561</v>
      </c>
      <c r="J42" s="70">
        <f t="shared" ref="J42:AQ42" si="78">SUM(J41)</f>
        <v>1.6767123287671231</v>
      </c>
      <c r="K42" s="70">
        <f t="shared" si="78"/>
        <v>1.7102465753424658</v>
      </c>
      <c r="L42" s="70">
        <f t="shared" si="78"/>
        <v>1.7444515068493147</v>
      </c>
      <c r="M42" s="70">
        <f t="shared" si="78"/>
        <v>7.5327651945205485</v>
      </c>
      <c r="N42" s="70">
        <f t="shared" si="78"/>
        <v>7.6834204984109595</v>
      </c>
      <c r="O42" s="70">
        <f t="shared" si="78"/>
        <v>7.8370889083791786</v>
      </c>
      <c r="P42" s="70">
        <f t="shared" si="78"/>
        <v>7.9938306865467617</v>
      </c>
      <c r="Q42" s="70">
        <f t="shared" si="78"/>
        <v>8.1537073002776967</v>
      </c>
      <c r="R42" s="70">
        <f t="shared" si="78"/>
        <v>8.316781446283251</v>
      </c>
      <c r="S42" s="70">
        <f t="shared" si="78"/>
        <v>8.4831170752089164</v>
      </c>
      <c r="T42" s="70">
        <f t="shared" si="78"/>
        <v>8.6527794167130931</v>
      </c>
      <c r="U42" s="70">
        <f t="shared" si="78"/>
        <v>8.8258350050473542</v>
      </c>
      <c r="V42" s="70">
        <f t="shared" si="78"/>
        <v>9.0023517051483015</v>
      </c>
      <c r="W42" s="70">
        <f t="shared" si="78"/>
        <v>9.1823987392512709</v>
      </c>
      <c r="X42" s="70">
        <f t="shared" si="78"/>
        <v>9.366046714036294</v>
      </c>
      <c r="Y42" s="70">
        <f t="shared" si="78"/>
        <v>9.5533676483170211</v>
      </c>
      <c r="Z42" s="70">
        <f t="shared" si="78"/>
        <v>9.7444350012833603</v>
      </c>
      <c r="AA42" s="70">
        <f t="shared" si="78"/>
        <v>9.9393237013090285</v>
      </c>
      <c r="AB42" s="70">
        <f t="shared" si="78"/>
        <v>10.138110175335205</v>
      </c>
      <c r="AC42" s="70">
        <f t="shared" si="78"/>
        <v>10.340872378841912</v>
      </c>
      <c r="AD42" s="70">
        <f t="shared" si="78"/>
        <v>10.54768982641875</v>
      </c>
      <c r="AE42" s="70">
        <f t="shared" si="78"/>
        <v>10.758643622947124</v>
      </c>
      <c r="AF42" s="70">
        <f t="shared" si="78"/>
        <v>10.973816495406068</v>
      </c>
      <c r="AG42" s="70">
        <f t="shared" si="78"/>
        <v>11.193292825314188</v>
      </c>
      <c r="AH42" s="70">
        <f t="shared" si="78"/>
        <v>11.417158681820471</v>
      </c>
      <c r="AI42" s="70">
        <f t="shared" si="78"/>
        <v>11.645501855456883</v>
      </c>
      <c r="AJ42" s="70">
        <f t="shared" si="78"/>
        <v>11.878411892566017</v>
      </c>
      <c r="AK42" s="70">
        <f t="shared" si="78"/>
        <v>12.11598013041734</v>
      </c>
      <c r="AL42" s="70">
        <f t="shared" si="78"/>
        <v>12.358299733025687</v>
      </c>
      <c r="AM42" s="70">
        <f t="shared" si="78"/>
        <v>12.786194884036433</v>
      </c>
      <c r="AN42" s="70">
        <f t="shared" si="78"/>
        <v>13.041918781717159</v>
      </c>
      <c r="AO42" s="70">
        <f t="shared" si="78"/>
        <v>13.302757157351509</v>
      </c>
      <c r="AP42" s="70">
        <f t="shared" si="78"/>
        <v>13.568812300498534</v>
      </c>
      <c r="AQ42" s="70">
        <f t="shared" si="78"/>
        <v>13.840188546508505</v>
      </c>
    </row>
    <row r="43" spans="2:43">
      <c r="B43" s="118" t="s">
        <v>242</v>
      </c>
      <c r="C43" s="118"/>
      <c r="D43" s="118"/>
      <c r="E43" s="118"/>
      <c r="F43" s="118"/>
      <c r="G43" s="118"/>
      <c r="H43" s="118"/>
      <c r="I43" s="122">
        <f>'Debt Schedule'!I14</f>
        <v>134.31227911802355</v>
      </c>
      <c r="J43" s="122">
        <f>'Debt Schedule'!J14</f>
        <v>219.01114105936801</v>
      </c>
      <c r="K43" s="122">
        <f>'Debt Schedule'!K14</f>
        <v>306.78277772835258</v>
      </c>
      <c r="L43" s="122">
        <f>'Debt Schedule'!L14</f>
        <v>414.96847562532628</v>
      </c>
      <c r="M43" s="122">
        <f>'Debt Schedule'!M14</f>
        <v>390.98344053484863</v>
      </c>
      <c r="N43" s="122">
        <f>'Debt Schedule'!N14</f>
        <v>366.99840544437097</v>
      </c>
      <c r="O43" s="122">
        <f>'Debt Schedule'!O14</f>
        <v>343.01337035389321</v>
      </c>
      <c r="P43" s="122">
        <f>'Debt Schedule'!P14</f>
        <v>319.02833526341556</v>
      </c>
      <c r="Q43" s="122">
        <f>'Debt Schedule'!Q14</f>
        <v>295.0433001729379</v>
      </c>
      <c r="R43" s="122">
        <f>'Debt Schedule'!R14</f>
        <v>271.0582650824602</v>
      </c>
      <c r="S43" s="122">
        <f>'Debt Schedule'!S14</f>
        <v>247.07322999198249</v>
      </c>
      <c r="T43" s="122">
        <f>'Debt Schedule'!T14</f>
        <v>223.08819490150483</v>
      </c>
      <c r="U43" s="122">
        <f>'Debt Schedule'!U14</f>
        <v>199.10315981102718</v>
      </c>
      <c r="V43" s="122">
        <f>'Debt Schedule'!V14</f>
        <v>175.11812472054947</v>
      </c>
      <c r="W43" s="122">
        <f>'Debt Schedule'!W14</f>
        <v>151.13308963007182</v>
      </c>
      <c r="X43" s="122">
        <f>'Debt Schedule'!X14</f>
        <v>127.14805453959413</v>
      </c>
      <c r="Y43" s="122">
        <f>'Debt Schedule'!Y14</f>
        <v>103.16301944911645</v>
      </c>
      <c r="Z43" s="122">
        <f>'Debt Schedule'!Z14</f>
        <v>79.177984358638767</v>
      </c>
      <c r="AA43" s="122">
        <f>'Debt Schedule'!AA14</f>
        <v>55.192949268161094</v>
      </c>
      <c r="AB43" s="122">
        <f>'Debt Schedule'!AB14</f>
        <v>31.207914177683417</v>
      </c>
      <c r="AC43" s="122">
        <f>'Debt Schedule'!AC14</f>
        <v>14.708710950588472</v>
      </c>
      <c r="AD43" s="122">
        <f>'Debt Schedule'!AD14</f>
        <v>4.614497553125811</v>
      </c>
      <c r="AE43" s="122">
        <f>'Debt Schedule'!AE14</f>
        <v>2.3092638912203256E-14</v>
      </c>
      <c r="AF43" s="122">
        <f>'Debt Schedule'!AF14</f>
        <v>2.3092638912203256E-14</v>
      </c>
      <c r="AG43" s="122">
        <f>'Debt Schedule'!AG14</f>
        <v>2.3092638912203256E-14</v>
      </c>
      <c r="AH43" s="122">
        <f>'Debt Schedule'!AH14</f>
        <v>2.3092638912203256E-14</v>
      </c>
      <c r="AI43" s="122">
        <f>'Debt Schedule'!AI14</f>
        <v>2.3092638912203256E-14</v>
      </c>
      <c r="AJ43" s="122">
        <f>'Debt Schedule'!AJ14</f>
        <v>2.3092638912203256E-14</v>
      </c>
      <c r="AK43" s="122">
        <f>'Debt Schedule'!AK14</f>
        <v>2.3092638912203256E-14</v>
      </c>
      <c r="AL43" s="122">
        <f>'Debt Schedule'!AL14</f>
        <v>2.3092638912203256E-14</v>
      </c>
      <c r="AM43" s="122">
        <f>'Debt Schedule'!AM14</f>
        <v>2.3092638912203256E-14</v>
      </c>
      <c r="AN43" s="122">
        <f>'Debt Schedule'!AN14</f>
        <v>2.3092638912203256E-14</v>
      </c>
      <c r="AO43" s="122">
        <f>'Debt Schedule'!AO14</f>
        <v>2.3092638912203256E-14</v>
      </c>
      <c r="AP43" s="122">
        <f>'Debt Schedule'!AP14</f>
        <v>2.3092638912203256E-14</v>
      </c>
      <c r="AQ43" s="122">
        <f>'Debt Schedule'!AQ14</f>
        <v>2.3092638912203256E-14</v>
      </c>
    </row>
    <row r="44" spans="2:43">
      <c r="B44" s="15" t="s">
        <v>243</v>
      </c>
      <c r="C44" s="15"/>
      <c r="D44" s="15"/>
      <c r="E44" s="15"/>
      <c r="F44" s="15"/>
      <c r="G44" s="15"/>
      <c r="H44" s="15"/>
      <c r="I44" s="58">
        <f>SUM(I42:I43)</f>
        <v>135.95611473446192</v>
      </c>
      <c r="J44" s="58">
        <f t="shared" ref="J44:AQ44" si="79">SUM(J42:J43)</f>
        <v>220.68785338813512</v>
      </c>
      <c r="K44" s="58">
        <f t="shared" si="79"/>
        <v>308.49302430369505</v>
      </c>
      <c r="L44" s="58">
        <f t="shared" si="79"/>
        <v>416.71292713217559</v>
      </c>
      <c r="M44" s="58">
        <f t="shared" si="79"/>
        <v>398.51620572936918</v>
      </c>
      <c r="N44" s="58">
        <f t="shared" si="79"/>
        <v>374.68182594278193</v>
      </c>
      <c r="O44" s="58">
        <f t="shared" si="79"/>
        <v>350.85045926227241</v>
      </c>
      <c r="P44" s="58">
        <f t="shared" si="79"/>
        <v>327.0221659499623</v>
      </c>
      <c r="Q44" s="58">
        <f t="shared" si="79"/>
        <v>303.19700747321559</v>
      </c>
      <c r="R44" s="58">
        <f t="shared" si="79"/>
        <v>279.37504652874344</v>
      </c>
      <c r="S44" s="58">
        <f t="shared" si="79"/>
        <v>255.55634706719141</v>
      </c>
      <c r="T44" s="58">
        <f t="shared" si="79"/>
        <v>231.74097431821792</v>
      </c>
      <c r="U44" s="58">
        <f t="shared" si="79"/>
        <v>207.92899481607455</v>
      </c>
      <c r="V44" s="58">
        <f t="shared" si="79"/>
        <v>184.12047642569777</v>
      </c>
      <c r="W44" s="58">
        <f t="shared" si="79"/>
        <v>160.31548836932311</v>
      </c>
      <c r="X44" s="58">
        <f t="shared" si="79"/>
        <v>136.51410125363043</v>
      </c>
      <c r="Y44" s="58">
        <f t="shared" si="79"/>
        <v>112.71638709743347</v>
      </c>
      <c r="Z44" s="58">
        <f t="shared" si="79"/>
        <v>88.922419359922131</v>
      </c>
      <c r="AA44" s="58">
        <f t="shared" si="79"/>
        <v>65.132272969470122</v>
      </c>
      <c r="AB44" s="58">
        <f t="shared" si="79"/>
        <v>41.34602435301862</v>
      </c>
      <c r="AC44" s="58">
        <f t="shared" si="79"/>
        <v>25.049583329430384</v>
      </c>
      <c r="AD44" s="58">
        <f t="shared" si="79"/>
        <v>15.162187379544562</v>
      </c>
      <c r="AE44" s="58">
        <f t="shared" si="79"/>
        <v>10.758643622947147</v>
      </c>
      <c r="AF44" s="58">
        <f t="shared" si="79"/>
        <v>10.973816495406091</v>
      </c>
      <c r="AG44" s="58">
        <f t="shared" si="79"/>
        <v>11.193292825314211</v>
      </c>
      <c r="AH44" s="58">
        <f t="shared" si="79"/>
        <v>11.417158681820494</v>
      </c>
      <c r="AI44" s="58">
        <f t="shared" si="79"/>
        <v>11.645501855456907</v>
      </c>
      <c r="AJ44" s="58">
        <f t="shared" si="79"/>
        <v>11.87841189256604</v>
      </c>
      <c r="AK44" s="58">
        <f t="shared" si="79"/>
        <v>12.115980130417363</v>
      </c>
      <c r="AL44" s="58">
        <f t="shared" si="79"/>
        <v>12.35829973302571</v>
      </c>
      <c r="AM44" s="58">
        <f t="shared" si="79"/>
        <v>12.786194884036457</v>
      </c>
      <c r="AN44" s="58">
        <f t="shared" si="79"/>
        <v>13.041918781717182</v>
      </c>
      <c r="AO44" s="58">
        <f t="shared" si="79"/>
        <v>13.302757157351532</v>
      </c>
      <c r="AP44" s="58">
        <f t="shared" si="79"/>
        <v>13.568812300498557</v>
      </c>
      <c r="AQ44" s="58">
        <f t="shared" si="79"/>
        <v>13.840188546508529</v>
      </c>
    </row>
    <row r="46" spans="2:43">
      <c r="B46" s="11" t="s">
        <v>244</v>
      </c>
    </row>
    <row r="47" spans="2:43">
      <c r="B47" s="3" t="s">
        <v>249</v>
      </c>
      <c r="I47" s="70">
        <f>Model!I111</f>
        <v>79.415035253895212</v>
      </c>
      <c r="J47" s="70">
        <f>Model!J111</f>
        <v>126.82513947907765</v>
      </c>
      <c r="K47" s="70">
        <f>Model!K111</f>
        <v>174.36827893482317</v>
      </c>
      <c r="L47" s="70">
        <f>Model!L111</f>
        <v>232.23669999999993</v>
      </c>
      <c r="M47" s="70">
        <f>Model!M111</f>
        <v>232.23669999999993</v>
      </c>
      <c r="N47" s="70">
        <f>Model!N111</f>
        <v>232.23669999999993</v>
      </c>
      <c r="O47" s="70">
        <f>Model!O111</f>
        <v>232.23669999999993</v>
      </c>
      <c r="P47" s="70">
        <f>Model!P111</f>
        <v>232.23669999999993</v>
      </c>
      <c r="Q47" s="70">
        <f>Model!Q111</f>
        <v>232.23669999999993</v>
      </c>
      <c r="R47" s="70">
        <f>Model!R111</f>
        <v>232.23669999999993</v>
      </c>
      <c r="S47" s="70">
        <f>Model!S111</f>
        <v>232.23669999999993</v>
      </c>
      <c r="T47" s="70">
        <f>Model!T111</f>
        <v>232.23669999999993</v>
      </c>
      <c r="U47" s="70">
        <f>Model!U111</f>
        <v>232.23669999999993</v>
      </c>
      <c r="V47" s="70">
        <f>Model!V111</f>
        <v>232.23669999999993</v>
      </c>
      <c r="W47" s="70">
        <f>Model!W111</f>
        <v>232.23669999999993</v>
      </c>
      <c r="X47" s="70">
        <f>Model!X111</f>
        <v>232.23669999999993</v>
      </c>
      <c r="Y47" s="70">
        <f>Model!Y111</f>
        <v>232.23669999999993</v>
      </c>
      <c r="Z47" s="70">
        <f>Model!Z111</f>
        <v>232.23669999999993</v>
      </c>
      <c r="AA47" s="70">
        <f>Model!AA111</f>
        <v>232.23669999999993</v>
      </c>
      <c r="AB47" s="70">
        <f>Model!AB111</f>
        <v>232.23669999999993</v>
      </c>
      <c r="AC47" s="70">
        <f>Model!AC111</f>
        <v>232.23669999999993</v>
      </c>
      <c r="AD47" s="70">
        <f>Model!AD111</f>
        <v>232.23669999999993</v>
      </c>
      <c r="AE47" s="70">
        <f>Model!AE111</f>
        <v>232.23669999999993</v>
      </c>
      <c r="AF47" s="70">
        <f>Model!AF111</f>
        <v>232.23669999999993</v>
      </c>
      <c r="AG47" s="70">
        <f>Model!AG111</f>
        <v>232.23669999999993</v>
      </c>
      <c r="AH47" s="70">
        <f>Model!AH111</f>
        <v>232.23669999999993</v>
      </c>
      <c r="AI47" s="70">
        <f>Model!AI111</f>
        <v>232.23669999999993</v>
      </c>
      <c r="AJ47" s="70">
        <f>Model!AJ111</f>
        <v>232.23669999999993</v>
      </c>
      <c r="AK47" s="70">
        <f>Model!AK111</f>
        <v>232.23669999999993</v>
      </c>
      <c r="AL47" s="70">
        <f>Model!AL111</f>
        <v>232.23669999999993</v>
      </c>
      <c r="AM47" s="70">
        <f>Model!AM111</f>
        <v>232.23669999999993</v>
      </c>
      <c r="AN47" s="70">
        <f>Model!AN111</f>
        <v>232.23669999999993</v>
      </c>
      <c r="AO47" s="70">
        <f>Model!AO111</f>
        <v>232.23669999999993</v>
      </c>
      <c r="AP47" s="70">
        <f>Model!AP111</f>
        <v>232.23669999999993</v>
      </c>
      <c r="AQ47" s="70">
        <f>Model!AQ111</f>
        <v>232.23669999999993</v>
      </c>
    </row>
    <row r="48" spans="2:43">
      <c r="B48" s="3" t="s">
        <v>265</v>
      </c>
      <c r="I48" s="70">
        <f>Model!I116</f>
        <v>34.195730155438497</v>
      </c>
      <c r="J48" s="70">
        <f>Model!J116</f>
        <v>54.610291775192152</v>
      </c>
      <c r="K48" s="70">
        <f>Model!K116</f>
        <v>75.082137721911835</v>
      </c>
      <c r="L48" s="70">
        <f>Model!L116</f>
        <v>100</v>
      </c>
      <c r="M48" s="70">
        <f>Model!M116</f>
        <v>100</v>
      </c>
      <c r="N48" s="70">
        <f>Model!N116</f>
        <v>100</v>
      </c>
      <c r="O48" s="70">
        <f>Model!O116</f>
        <v>100</v>
      </c>
      <c r="P48" s="70">
        <f>Model!P116</f>
        <v>100</v>
      </c>
      <c r="Q48" s="70">
        <f>Model!Q116</f>
        <v>100</v>
      </c>
      <c r="R48" s="70">
        <f>Model!R116</f>
        <v>100</v>
      </c>
      <c r="S48" s="70">
        <f>Model!S116</f>
        <v>100</v>
      </c>
      <c r="T48" s="70">
        <f>Model!T116</f>
        <v>100</v>
      </c>
      <c r="U48" s="70">
        <f>Model!U116</f>
        <v>100</v>
      </c>
      <c r="V48" s="70">
        <f>Model!V116</f>
        <v>100</v>
      </c>
      <c r="W48" s="70">
        <f>Model!W116</f>
        <v>100</v>
      </c>
      <c r="X48" s="70">
        <f>Model!X116</f>
        <v>100</v>
      </c>
      <c r="Y48" s="70">
        <f>Model!Y116</f>
        <v>100</v>
      </c>
      <c r="Z48" s="70">
        <f>Model!Z116</f>
        <v>100</v>
      </c>
      <c r="AA48" s="70">
        <f>Model!AA116</f>
        <v>100</v>
      </c>
      <c r="AB48" s="70">
        <f>Model!AB116</f>
        <v>100</v>
      </c>
      <c r="AC48" s="70">
        <f>Model!AC116</f>
        <v>100</v>
      </c>
      <c r="AD48" s="70">
        <f>Model!AD116</f>
        <v>100</v>
      </c>
      <c r="AE48" s="70">
        <f>Model!AE116</f>
        <v>100</v>
      </c>
      <c r="AF48" s="70">
        <f>Model!AF116</f>
        <v>100</v>
      </c>
      <c r="AG48" s="70">
        <f>Model!AG116</f>
        <v>100</v>
      </c>
      <c r="AH48" s="70">
        <f>Model!AH116</f>
        <v>100</v>
      </c>
      <c r="AI48" s="70">
        <f>Model!AI116</f>
        <v>100</v>
      </c>
      <c r="AJ48" s="70">
        <f>Model!AJ116</f>
        <v>100</v>
      </c>
      <c r="AK48" s="70">
        <f>Model!AK116</f>
        <v>100</v>
      </c>
      <c r="AL48" s="70">
        <f>Model!AL116</f>
        <v>100</v>
      </c>
      <c r="AM48" s="70">
        <f>Model!AM116</f>
        <v>100</v>
      </c>
      <c r="AN48" s="70">
        <f>Model!AN116</f>
        <v>100</v>
      </c>
      <c r="AO48" s="70">
        <f>Model!AO116</f>
        <v>100</v>
      </c>
      <c r="AP48" s="70">
        <f>Model!AP116</f>
        <v>100</v>
      </c>
      <c r="AQ48" s="70">
        <f>Model!AQ116</f>
        <v>100</v>
      </c>
    </row>
    <row r="49" spans="1:43">
      <c r="B49" s="118" t="s">
        <v>250</v>
      </c>
      <c r="C49" s="118"/>
      <c r="D49" s="118"/>
      <c r="E49" s="118"/>
      <c r="F49" s="118"/>
      <c r="G49" s="118"/>
      <c r="H49" s="118"/>
      <c r="I49" s="122">
        <f>Model!I122</f>
        <v>-34.64179452735727</v>
      </c>
      <c r="J49" s="122">
        <f>Model!J122</f>
        <v>-76.227822313637802</v>
      </c>
      <c r="K49" s="122">
        <f>Model!K122</f>
        <v>-127.32694438508757</v>
      </c>
      <c r="L49" s="122">
        <f>Model!L122</f>
        <v>-189.39267562532623</v>
      </c>
      <c r="M49" s="122">
        <f>Model!M122</f>
        <v>351.76326740974639</v>
      </c>
      <c r="N49" s="122">
        <f>Model!N122</f>
        <v>765.2991110435197</v>
      </c>
      <c r="O49" s="122">
        <f>Model!O122</f>
        <v>894.69983046375523</v>
      </c>
      <c r="P49" s="122">
        <f>Model!P122</f>
        <v>1016.2869885705859</v>
      </c>
      <c r="Q49" s="122">
        <f>Model!Q122</f>
        <v>1130.0605641377438</v>
      </c>
      <c r="R49" s="122">
        <f>Model!R122</f>
        <v>1236.0205355144351</v>
      </c>
      <c r="S49" s="122">
        <f>Model!S122</f>
        <v>1334.1668806168507</v>
      </c>
      <c r="T49" s="122">
        <f>Model!T122</f>
        <v>1424.499576919505</v>
      </c>
      <c r="U49" s="122">
        <f>Model!U122</f>
        <v>1610.612351446403</v>
      </c>
      <c r="V49" s="122">
        <f>Model!V122</f>
        <v>1680.0051807620293</v>
      </c>
      <c r="W49" s="122">
        <f>Model!W122</f>
        <v>1741.5842909621583</v>
      </c>
      <c r="X49" s="122">
        <f>Model!X122</f>
        <v>1795.3496576644807</v>
      </c>
      <c r="Y49" s="122">
        <f>Model!Y122</f>
        <v>1841.3012559990398</v>
      </c>
      <c r="Z49" s="122">
        <f>Model!Z122</f>
        <v>1879.4390605984809</v>
      </c>
      <c r="AA49" s="122">
        <f>Model!AA122</f>
        <v>1909.7630455881008</v>
      </c>
      <c r="AB49" s="122">
        <f>Model!AB122</f>
        <v>1932.2731845757037</v>
      </c>
      <c r="AC49" s="122">
        <f>Model!AC122</f>
        <v>2048.5461187778665</v>
      </c>
      <c r="AD49" s="122">
        <f>Model!AD122</f>
        <v>2050.2876627698984</v>
      </c>
      <c r="AE49" s="122">
        <f>Model!AE122</f>
        <v>2044.9855625294845</v>
      </c>
      <c r="AF49" s="122">
        <f>Model!AF122</f>
        <v>2034.2862577800743</v>
      </c>
      <c r="AG49" s="122">
        <f>Model!AG122</f>
        <v>2023.5854669356759</v>
      </c>
      <c r="AH49" s="122">
        <f>Model!AH122</f>
        <v>2012.8831602743894</v>
      </c>
      <c r="AI49" s="122">
        <f>Model!AI122</f>
        <v>2002.179307479877</v>
      </c>
      <c r="AJ49" s="122">
        <f>Model!AJ122</f>
        <v>1991.4738776294748</v>
      </c>
      <c r="AK49" s="122">
        <f>Model!AK122</f>
        <v>2084.3605891820644</v>
      </c>
      <c r="AL49" s="122">
        <f>Model!AL122</f>
        <v>2068.3394099657053</v>
      </c>
      <c r="AM49" s="122">
        <f>Model!AM122</f>
        <v>2052.1358280086688</v>
      </c>
      <c r="AN49" s="122">
        <f>Model!AN122</f>
        <v>2036.1076535688419</v>
      </c>
      <c r="AO49" s="122">
        <f>Model!AO122</f>
        <v>2022.733915640219</v>
      </c>
      <c r="AP49" s="122">
        <f>Model!AP122</f>
        <v>2012.0145779530233</v>
      </c>
      <c r="AQ49" s="122">
        <f>Model!AQ122</f>
        <v>2001.2933535120837</v>
      </c>
    </row>
    <row r="50" spans="1:43">
      <c r="B50" s="15" t="s">
        <v>253</v>
      </c>
      <c r="C50" s="15"/>
      <c r="D50" s="15"/>
      <c r="E50" s="15"/>
      <c r="F50" s="15"/>
      <c r="G50" s="15"/>
      <c r="H50" s="15"/>
      <c r="I50" s="58">
        <f>SUM(I44:I49)</f>
        <v>214.92508561643837</v>
      </c>
      <c r="J50" s="58">
        <f t="shared" ref="J50:AQ50" si="80">SUM(J44:J49)</f>
        <v>325.89546232876717</v>
      </c>
      <c r="K50" s="58">
        <f t="shared" si="80"/>
        <v>430.61649657534247</v>
      </c>
      <c r="L50" s="58">
        <f t="shared" si="80"/>
        <v>559.55695150684926</v>
      </c>
      <c r="M50" s="58">
        <f t="shared" si="80"/>
        <v>1082.5161731391154</v>
      </c>
      <c r="N50" s="58">
        <f t="shared" si="80"/>
        <v>1472.2176369863014</v>
      </c>
      <c r="O50" s="58">
        <f t="shared" si="80"/>
        <v>1577.7869897260275</v>
      </c>
      <c r="P50" s="58">
        <f t="shared" si="80"/>
        <v>1675.5458545205481</v>
      </c>
      <c r="Q50" s="58">
        <f t="shared" si="80"/>
        <v>1765.4942716109592</v>
      </c>
      <c r="R50" s="58">
        <f t="shared" si="80"/>
        <v>1847.6322820431785</v>
      </c>
      <c r="S50" s="58">
        <f t="shared" si="80"/>
        <v>1921.959927684042</v>
      </c>
      <c r="T50" s="58">
        <f t="shared" si="80"/>
        <v>1988.4772512377228</v>
      </c>
      <c r="U50" s="58">
        <f t="shared" si="80"/>
        <v>2150.7780462624773</v>
      </c>
      <c r="V50" s="58">
        <f t="shared" si="80"/>
        <v>2196.362357187727</v>
      </c>
      <c r="W50" s="58">
        <f t="shared" si="80"/>
        <v>2234.1364793314815</v>
      </c>
      <c r="X50" s="58">
        <f t="shared" si="80"/>
        <v>2264.1004589181111</v>
      </c>
      <c r="Y50" s="58">
        <f t="shared" si="80"/>
        <v>2286.2543430964733</v>
      </c>
      <c r="Z50" s="58">
        <f t="shared" si="80"/>
        <v>2300.5981799584029</v>
      </c>
      <c r="AA50" s="58">
        <f t="shared" si="80"/>
        <v>2307.132018557571</v>
      </c>
      <c r="AB50" s="58">
        <f t="shared" si="80"/>
        <v>2305.8559089287223</v>
      </c>
      <c r="AC50" s="58">
        <f t="shared" si="80"/>
        <v>2405.8324021072967</v>
      </c>
      <c r="AD50" s="58">
        <f t="shared" si="80"/>
        <v>2397.6865501494431</v>
      </c>
      <c r="AE50" s="58">
        <f t="shared" si="80"/>
        <v>2387.9809061524315</v>
      </c>
      <c r="AF50" s="58">
        <f t="shared" si="80"/>
        <v>2377.4967742754802</v>
      </c>
      <c r="AG50" s="58">
        <f t="shared" si="80"/>
        <v>2367.0154597609899</v>
      </c>
      <c r="AH50" s="58">
        <f t="shared" si="80"/>
        <v>2356.53701895621</v>
      </c>
      <c r="AI50" s="58">
        <f t="shared" si="80"/>
        <v>2346.061509335334</v>
      </c>
      <c r="AJ50" s="58">
        <f t="shared" si="80"/>
        <v>2335.5889895220407</v>
      </c>
      <c r="AK50" s="58">
        <f t="shared" si="80"/>
        <v>2428.7132693124818</v>
      </c>
      <c r="AL50" s="58">
        <f t="shared" si="80"/>
        <v>2412.9344096987311</v>
      </c>
      <c r="AM50" s="58">
        <f t="shared" si="80"/>
        <v>2397.1587228927051</v>
      </c>
      <c r="AN50" s="58">
        <f t="shared" si="80"/>
        <v>2381.386272350559</v>
      </c>
      <c r="AO50" s="58">
        <f t="shared" si="80"/>
        <v>2368.2733727975706</v>
      </c>
      <c r="AP50" s="58">
        <f t="shared" si="80"/>
        <v>2357.8200902535218</v>
      </c>
      <c r="AQ50" s="58">
        <f t="shared" si="80"/>
        <v>2347.3702420585923</v>
      </c>
    </row>
    <row r="51" spans="1:43">
      <c r="I51" s="12" t="b">
        <f>I37=I50</f>
        <v>1</v>
      </c>
      <c r="J51" s="12" t="b">
        <f t="shared" ref="J51:AQ51" si="81">J37=J50</f>
        <v>1</v>
      </c>
      <c r="K51" s="12" t="b">
        <f t="shared" si="81"/>
        <v>1</v>
      </c>
      <c r="L51" s="12" t="b">
        <f t="shared" si="81"/>
        <v>1</v>
      </c>
      <c r="M51" s="12" t="b">
        <f t="shared" si="81"/>
        <v>1</v>
      </c>
      <c r="N51" s="12" t="b">
        <f t="shared" si="81"/>
        <v>1</v>
      </c>
      <c r="O51" s="12" t="b">
        <f t="shared" si="81"/>
        <v>1</v>
      </c>
      <c r="P51" s="12" t="b">
        <f t="shared" si="81"/>
        <v>1</v>
      </c>
      <c r="Q51" s="12" t="b">
        <f t="shared" si="81"/>
        <v>1</v>
      </c>
      <c r="R51" s="12" t="b">
        <f t="shared" si="81"/>
        <v>1</v>
      </c>
      <c r="S51" s="12" t="b">
        <f t="shared" si="81"/>
        <v>1</v>
      </c>
      <c r="T51" s="12" t="b">
        <f t="shared" si="81"/>
        <v>1</v>
      </c>
      <c r="U51" s="12" t="b">
        <f t="shared" si="81"/>
        <v>1</v>
      </c>
      <c r="V51" s="12" t="b">
        <f t="shared" si="81"/>
        <v>1</v>
      </c>
      <c r="W51" s="12" t="b">
        <f t="shared" si="81"/>
        <v>1</v>
      </c>
      <c r="X51" s="12" t="b">
        <f t="shared" si="81"/>
        <v>1</v>
      </c>
      <c r="Y51" s="12" t="b">
        <f t="shared" si="81"/>
        <v>1</v>
      </c>
      <c r="Z51" s="12" t="b">
        <f t="shared" si="81"/>
        <v>1</v>
      </c>
      <c r="AA51" s="12" t="b">
        <f t="shared" si="81"/>
        <v>1</v>
      </c>
      <c r="AB51" s="12" t="b">
        <f t="shared" si="81"/>
        <v>1</v>
      </c>
      <c r="AC51" s="12" t="b">
        <f t="shared" si="81"/>
        <v>1</v>
      </c>
      <c r="AD51" s="12" t="b">
        <f t="shared" si="81"/>
        <v>1</v>
      </c>
      <c r="AE51" s="12" t="b">
        <f t="shared" si="81"/>
        <v>1</v>
      </c>
      <c r="AF51" s="12" t="b">
        <f t="shared" si="81"/>
        <v>1</v>
      </c>
      <c r="AG51" s="12" t="b">
        <f t="shared" si="81"/>
        <v>1</v>
      </c>
      <c r="AH51" s="12" t="b">
        <f t="shared" si="81"/>
        <v>1</v>
      </c>
      <c r="AI51" s="12" t="b">
        <f t="shared" si="81"/>
        <v>1</v>
      </c>
      <c r="AJ51" s="12" t="b">
        <f t="shared" si="81"/>
        <v>1</v>
      </c>
      <c r="AK51" s="12" t="b">
        <f t="shared" si="81"/>
        <v>1</v>
      </c>
      <c r="AL51" s="12" t="b">
        <f t="shared" si="81"/>
        <v>1</v>
      </c>
      <c r="AM51" s="12" t="b">
        <f t="shared" si="81"/>
        <v>1</v>
      </c>
      <c r="AN51" s="12" t="b">
        <f t="shared" si="81"/>
        <v>1</v>
      </c>
      <c r="AO51" s="12" t="b">
        <f t="shared" si="81"/>
        <v>1</v>
      </c>
      <c r="AP51" s="12" t="b">
        <f t="shared" si="81"/>
        <v>1</v>
      </c>
      <c r="AQ51" s="12" t="b">
        <f t="shared" si="81"/>
        <v>1</v>
      </c>
    </row>
    <row r="52" spans="1:43"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</row>
    <row r="53" spans="1:43" s="50" customFormat="1">
      <c r="A53" s="50" t="s">
        <v>0</v>
      </c>
      <c r="B53" s="180" t="s">
        <v>225</v>
      </c>
      <c r="C53" s="181"/>
      <c r="D53" s="181"/>
      <c r="E53" s="181"/>
      <c r="F53" s="181"/>
      <c r="G53" s="181"/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1"/>
      <c r="X53" s="181"/>
      <c r="Y53" s="181"/>
      <c r="Z53" s="181"/>
      <c r="AA53" s="181"/>
      <c r="AB53" s="181"/>
      <c r="AC53" s="181"/>
      <c r="AD53" s="181"/>
      <c r="AE53" s="181"/>
      <c r="AF53" s="181"/>
      <c r="AG53" s="181"/>
      <c r="AH53" s="181"/>
      <c r="AI53" s="181"/>
      <c r="AJ53" s="181"/>
      <c r="AK53" s="181"/>
      <c r="AL53" s="181"/>
      <c r="AM53" s="181"/>
      <c r="AN53" s="181"/>
      <c r="AO53" s="181"/>
      <c r="AP53" s="181"/>
      <c r="AQ53" s="181"/>
    </row>
    <row r="54" spans="1:43">
      <c r="I54" s="133">
        <v>1</v>
      </c>
      <c r="J54" s="133">
        <f t="shared" ref="J54:AQ54" si="82">IF(J55="","",I54+1)</f>
        <v>2</v>
      </c>
      <c r="K54" s="133">
        <f t="shared" si="82"/>
        <v>3</v>
      </c>
      <c r="L54" s="133">
        <f t="shared" si="82"/>
        <v>4</v>
      </c>
      <c r="M54" s="133">
        <f t="shared" si="82"/>
        <v>5</v>
      </c>
      <c r="N54" s="133">
        <f t="shared" si="82"/>
        <v>6</v>
      </c>
      <c r="O54" s="133">
        <f t="shared" si="82"/>
        <v>7</v>
      </c>
      <c r="P54" s="133">
        <f t="shared" si="82"/>
        <v>8</v>
      </c>
      <c r="Q54" s="133">
        <f t="shared" si="82"/>
        <v>9</v>
      </c>
      <c r="R54" s="133">
        <f t="shared" si="82"/>
        <v>10</v>
      </c>
      <c r="S54" s="133">
        <f t="shared" si="82"/>
        <v>11</v>
      </c>
      <c r="T54" s="133">
        <f t="shared" si="82"/>
        <v>12</v>
      </c>
      <c r="U54" s="133">
        <f t="shared" si="82"/>
        <v>13</v>
      </c>
      <c r="V54" s="133">
        <f t="shared" si="82"/>
        <v>14</v>
      </c>
      <c r="W54" s="133">
        <f t="shared" si="82"/>
        <v>15</v>
      </c>
      <c r="X54" s="133">
        <f t="shared" si="82"/>
        <v>16</v>
      </c>
      <c r="Y54" s="133">
        <f t="shared" si="82"/>
        <v>17</v>
      </c>
      <c r="Z54" s="133">
        <f t="shared" si="82"/>
        <v>18</v>
      </c>
      <c r="AA54" s="133">
        <f t="shared" si="82"/>
        <v>19</v>
      </c>
      <c r="AB54" s="133">
        <f t="shared" si="82"/>
        <v>20</v>
      </c>
      <c r="AC54" s="133">
        <f t="shared" si="82"/>
        <v>21</v>
      </c>
      <c r="AD54" s="133">
        <f t="shared" si="82"/>
        <v>22</v>
      </c>
      <c r="AE54" s="133">
        <f t="shared" si="82"/>
        <v>23</v>
      </c>
      <c r="AF54" s="133">
        <f t="shared" si="82"/>
        <v>24</v>
      </c>
      <c r="AG54" s="133">
        <f t="shared" si="82"/>
        <v>25</v>
      </c>
      <c r="AH54" s="133">
        <f t="shared" si="82"/>
        <v>26</v>
      </c>
      <c r="AI54" s="133">
        <f t="shared" si="82"/>
        <v>27</v>
      </c>
      <c r="AJ54" s="133">
        <f t="shared" si="82"/>
        <v>28</v>
      </c>
      <c r="AK54" s="133">
        <f t="shared" si="82"/>
        <v>29</v>
      </c>
      <c r="AL54" s="133">
        <f t="shared" si="82"/>
        <v>30</v>
      </c>
      <c r="AM54" s="133">
        <f t="shared" si="82"/>
        <v>31</v>
      </c>
      <c r="AN54" s="133">
        <f t="shared" si="82"/>
        <v>32</v>
      </c>
      <c r="AO54" s="133">
        <f t="shared" si="82"/>
        <v>33</v>
      </c>
      <c r="AP54" s="133">
        <f t="shared" si="82"/>
        <v>34</v>
      </c>
      <c r="AQ54" s="133">
        <f t="shared" si="82"/>
        <v>35</v>
      </c>
    </row>
    <row r="55" spans="1:43" ht="12" thickBot="1">
      <c r="B55" s="9"/>
      <c r="C55" s="8"/>
      <c r="D55" s="8"/>
      <c r="E55" s="9" t="s">
        <v>48</v>
      </c>
      <c r="F55" s="9" t="s">
        <v>72</v>
      </c>
      <c r="G55" s="8"/>
      <c r="H55" s="8"/>
      <c r="I55" s="9">
        <f>YEAR(Now)</f>
        <v>2016</v>
      </c>
      <c r="J55" s="9">
        <f t="shared" ref="J55:AQ55" si="83">IFERROR(IF(I55+1&gt;End,"",I55+1),"")</f>
        <v>2017</v>
      </c>
      <c r="K55" s="9">
        <f t="shared" si="83"/>
        <v>2018</v>
      </c>
      <c r="L55" s="9">
        <f t="shared" si="83"/>
        <v>2019</v>
      </c>
      <c r="M55" s="9">
        <f t="shared" si="83"/>
        <v>2020</v>
      </c>
      <c r="N55" s="9">
        <f t="shared" si="83"/>
        <v>2021</v>
      </c>
      <c r="O55" s="9">
        <f t="shared" si="83"/>
        <v>2022</v>
      </c>
      <c r="P55" s="9">
        <f t="shared" si="83"/>
        <v>2023</v>
      </c>
      <c r="Q55" s="9">
        <f t="shared" si="83"/>
        <v>2024</v>
      </c>
      <c r="R55" s="9">
        <f t="shared" si="83"/>
        <v>2025</v>
      </c>
      <c r="S55" s="9">
        <f t="shared" si="83"/>
        <v>2026</v>
      </c>
      <c r="T55" s="9">
        <f t="shared" si="83"/>
        <v>2027</v>
      </c>
      <c r="U55" s="9">
        <f t="shared" si="83"/>
        <v>2028</v>
      </c>
      <c r="V55" s="9">
        <f t="shared" si="83"/>
        <v>2029</v>
      </c>
      <c r="W55" s="9">
        <f t="shared" si="83"/>
        <v>2030</v>
      </c>
      <c r="X55" s="9">
        <f t="shared" si="83"/>
        <v>2031</v>
      </c>
      <c r="Y55" s="9">
        <f t="shared" si="83"/>
        <v>2032</v>
      </c>
      <c r="Z55" s="9">
        <f t="shared" si="83"/>
        <v>2033</v>
      </c>
      <c r="AA55" s="9">
        <f t="shared" si="83"/>
        <v>2034</v>
      </c>
      <c r="AB55" s="9">
        <f t="shared" si="83"/>
        <v>2035</v>
      </c>
      <c r="AC55" s="9">
        <f t="shared" si="83"/>
        <v>2036</v>
      </c>
      <c r="AD55" s="9">
        <f t="shared" si="83"/>
        <v>2037</v>
      </c>
      <c r="AE55" s="9">
        <f t="shared" si="83"/>
        <v>2038</v>
      </c>
      <c r="AF55" s="9">
        <f t="shared" si="83"/>
        <v>2039</v>
      </c>
      <c r="AG55" s="9">
        <f t="shared" si="83"/>
        <v>2040</v>
      </c>
      <c r="AH55" s="9">
        <f t="shared" si="83"/>
        <v>2041</v>
      </c>
      <c r="AI55" s="9">
        <f t="shared" si="83"/>
        <v>2042</v>
      </c>
      <c r="AJ55" s="9">
        <f t="shared" si="83"/>
        <v>2043</v>
      </c>
      <c r="AK55" s="9">
        <f t="shared" si="83"/>
        <v>2044</v>
      </c>
      <c r="AL55" s="9">
        <f t="shared" si="83"/>
        <v>2045</v>
      </c>
      <c r="AM55" s="9">
        <f t="shared" si="83"/>
        <v>2046</v>
      </c>
      <c r="AN55" s="9">
        <f t="shared" si="83"/>
        <v>2047</v>
      </c>
      <c r="AO55" s="9">
        <f t="shared" si="83"/>
        <v>2048</v>
      </c>
      <c r="AP55" s="9">
        <f t="shared" si="83"/>
        <v>2049</v>
      </c>
      <c r="AQ55" s="9">
        <f t="shared" si="83"/>
        <v>2050</v>
      </c>
    </row>
    <row r="56" spans="1:43">
      <c r="B56" s="11" t="s">
        <v>226</v>
      </c>
      <c r="J56" s="134"/>
    </row>
    <row r="57" spans="1:43">
      <c r="B57" s="3" t="s">
        <v>224</v>
      </c>
      <c r="I57" s="134">
        <f>I24</f>
        <v>-34.64179452735727</v>
      </c>
      <c r="J57" s="134">
        <f t="shared" ref="J57:AQ57" si="84">J24</f>
        <v>-41.586027786280532</v>
      </c>
      <c r="K57" s="134">
        <f t="shared" si="84"/>
        <v>-51.09912207144977</v>
      </c>
      <c r="L57" s="134">
        <f t="shared" si="84"/>
        <v>-62.065731240238662</v>
      </c>
      <c r="M57" s="134">
        <f t="shared" si="84"/>
        <v>541.1559430350726</v>
      </c>
      <c r="N57" s="134">
        <f t="shared" si="84"/>
        <v>536.1894726365299</v>
      </c>
      <c r="O57" s="134">
        <f t="shared" si="84"/>
        <v>531.21477359075493</v>
      </c>
      <c r="P57" s="134">
        <f t="shared" si="84"/>
        <v>526.23168132480384</v>
      </c>
      <c r="Q57" s="134">
        <f t="shared" si="84"/>
        <v>521.24002797427215</v>
      </c>
      <c r="R57" s="134">
        <f t="shared" si="84"/>
        <v>516.23964231746891</v>
      </c>
      <c r="S57" s="134">
        <f t="shared" si="84"/>
        <v>511.23034970826808</v>
      </c>
      <c r="T57" s="134">
        <f t="shared" si="84"/>
        <v>506.21197200762253</v>
      </c>
      <c r="U57" s="134">
        <f t="shared" si="84"/>
        <v>499.45776501370284</v>
      </c>
      <c r="V57" s="134">
        <f t="shared" si="84"/>
        <v>492.69410589064347</v>
      </c>
      <c r="W57" s="134">
        <f t="shared" si="84"/>
        <v>487.64736809586168</v>
      </c>
      <c r="X57" s="134">
        <f t="shared" si="84"/>
        <v>482.59079630592333</v>
      </c>
      <c r="Y57" s="134">
        <f t="shared" si="84"/>
        <v>477.52419384092502</v>
      </c>
      <c r="Z57" s="134">
        <f t="shared" si="84"/>
        <v>472.44736008736555</v>
      </c>
      <c r="AA57" s="134">
        <f t="shared" si="84"/>
        <v>467.36009041947375</v>
      </c>
      <c r="AB57" s="134">
        <f t="shared" si="84"/>
        <v>462.262176118963</v>
      </c>
      <c r="AC57" s="134">
        <f t="shared" si="84"/>
        <v>458.82339109506694</v>
      </c>
      <c r="AD57" s="134">
        <f t="shared" si="84"/>
        <v>457.26947598524293</v>
      </c>
      <c r="AE57" s="134">
        <f t="shared" si="84"/>
        <v>455.78272617066807</v>
      </c>
      <c r="AF57" s="134">
        <f t="shared" si="84"/>
        <v>454.68728694408151</v>
      </c>
      <c r="AG57" s="134">
        <f t="shared" si="84"/>
        <v>454.08790768296313</v>
      </c>
      <c r="AH57" s="134">
        <f t="shared" si="84"/>
        <v>453.47654083662235</v>
      </c>
      <c r="AI57" s="134">
        <f t="shared" si="84"/>
        <v>452.85294665335471</v>
      </c>
      <c r="AJ57" s="134">
        <f t="shared" si="84"/>
        <v>452.21688058642212</v>
      </c>
      <c r="AK57" s="134">
        <f t="shared" si="84"/>
        <v>449.84153069815045</v>
      </c>
      <c r="AL57" s="134">
        <f t="shared" si="84"/>
        <v>447.45320506211345</v>
      </c>
      <c r="AM57" s="134">
        <f t="shared" si="84"/>
        <v>445.34894025188595</v>
      </c>
      <c r="AN57" s="134">
        <f t="shared" si="84"/>
        <v>444.63185655692382</v>
      </c>
      <c r="AO57" s="134">
        <f t="shared" si="84"/>
        <v>445.62699368806216</v>
      </c>
      <c r="AP57" s="134">
        <f t="shared" si="84"/>
        <v>446.6075023118234</v>
      </c>
      <c r="AQ57" s="134">
        <f t="shared" si="84"/>
        <v>445.84652735805986</v>
      </c>
    </row>
    <row r="58" spans="1:43">
      <c r="B58" s="3" t="s">
        <v>227</v>
      </c>
      <c r="I58" s="70">
        <f>-I16</f>
        <v>5.46875</v>
      </c>
      <c r="J58" s="70">
        <f t="shared" ref="J58:AQ58" si="85">-J16</f>
        <v>14.0625</v>
      </c>
      <c r="K58" s="70">
        <f t="shared" si="85"/>
        <v>20.3125</v>
      </c>
      <c r="L58" s="70">
        <f t="shared" si="85"/>
        <v>27.34375</v>
      </c>
      <c r="M58" s="70">
        <f t="shared" si="85"/>
        <v>35.15625</v>
      </c>
      <c r="N58" s="70">
        <f t="shared" si="85"/>
        <v>42.96875</v>
      </c>
      <c r="O58" s="70">
        <f t="shared" si="85"/>
        <v>50.78125</v>
      </c>
      <c r="P58" s="70">
        <f t="shared" si="85"/>
        <v>58.59375</v>
      </c>
      <c r="Q58" s="70">
        <f t="shared" si="85"/>
        <v>66.40625</v>
      </c>
      <c r="R58" s="70">
        <f t="shared" si="85"/>
        <v>74.21875</v>
      </c>
      <c r="S58" s="70">
        <f t="shared" si="85"/>
        <v>82.03125</v>
      </c>
      <c r="T58" s="70">
        <f t="shared" si="85"/>
        <v>89.84375</v>
      </c>
      <c r="U58" s="70">
        <f t="shared" si="85"/>
        <v>100.3125</v>
      </c>
      <c r="V58" s="70">
        <f t="shared" si="85"/>
        <v>110.78125</v>
      </c>
      <c r="W58" s="70">
        <f t="shared" si="85"/>
        <v>118.59375</v>
      </c>
      <c r="X58" s="70">
        <f t="shared" si="85"/>
        <v>126.40625</v>
      </c>
      <c r="Y58" s="70">
        <f t="shared" si="85"/>
        <v>134.21875</v>
      </c>
      <c r="Z58" s="70">
        <f t="shared" si="85"/>
        <v>142.03125</v>
      </c>
      <c r="AA58" s="70">
        <f t="shared" si="85"/>
        <v>149.84375</v>
      </c>
      <c r="AB58" s="70">
        <f t="shared" si="85"/>
        <v>157.65625</v>
      </c>
      <c r="AC58" s="70">
        <f t="shared" si="85"/>
        <v>162.65625</v>
      </c>
      <c r="AD58" s="70">
        <f t="shared" si="85"/>
        <v>164.53125000000003</v>
      </c>
      <c r="AE58" s="70">
        <f t="shared" si="85"/>
        <v>166.09375</v>
      </c>
      <c r="AF58" s="70">
        <f t="shared" si="85"/>
        <v>166.875</v>
      </c>
      <c r="AG58" s="70">
        <f t="shared" si="85"/>
        <v>166.875</v>
      </c>
      <c r="AH58" s="70">
        <f t="shared" si="85"/>
        <v>166.875</v>
      </c>
      <c r="AI58" s="70">
        <f t="shared" si="85"/>
        <v>166.875</v>
      </c>
      <c r="AJ58" s="70">
        <f t="shared" si="85"/>
        <v>166.875</v>
      </c>
      <c r="AK58" s="70">
        <f t="shared" si="85"/>
        <v>169.53125</v>
      </c>
      <c r="AL58" s="70">
        <f t="shared" si="85"/>
        <v>172.1875</v>
      </c>
      <c r="AM58" s="70">
        <f t="shared" si="85"/>
        <v>172.1875</v>
      </c>
      <c r="AN58" s="70">
        <f t="shared" si="85"/>
        <v>172.1875</v>
      </c>
      <c r="AO58" s="70">
        <f t="shared" si="85"/>
        <v>169.53125</v>
      </c>
      <c r="AP58" s="70">
        <f t="shared" si="85"/>
        <v>166.875</v>
      </c>
      <c r="AQ58" s="70">
        <f t="shared" si="85"/>
        <v>166.875</v>
      </c>
    </row>
    <row r="59" spans="1:43">
      <c r="B59" s="3" t="s">
        <v>228</v>
      </c>
      <c r="I59" s="70">
        <f>-(I32-H32)</f>
        <v>0</v>
      </c>
      <c r="J59" s="70">
        <f t="shared" ref="J59:AQ59" si="86">-(J32-I32)</f>
        <v>0</v>
      </c>
      <c r="K59" s="70">
        <f t="shared" si="86"/>
        <v>0</v>
      </c>
      <c r="L59" s="70">
        <f t="shared" si="86"/>
        <v>0</v>
      </c>
      <c r="M59" s="70">
        <f t="shared" si="86"/>
        <v>-79.93150684931507</v>
      </c>
      <c r="N59" s="70">
        <f t="shared" si="86"/>
        <v>-9.8630136986301409E-2</v>
      </c>
      <c r="O59" s="70">
        <f t="shared" si="86"/>
        <v>-0.10060273972602829</v>
      </c>
      <c r="P59" s="70">
        <f t="shared" si="86"/>
        <v>-0.10261479452056221</v>
      </c>
      <c r="Q59" s="70">
        <f t="shared" si="86"/>
        <v>-0.10466709041094191</v>
      </c>
      <c r="R59" s="70">
        <f t="shared" si="86"/>
        <v>-0.10676043221920395</v>
      </c>
      <c r="S59" s="70">
        <f t="shared" si="86"/>
        <v>-0.10889564086353687</v>
      </c>
      <c r="T59" s="70">
        <f t="shared" si="86"/>
        <v>-0.11107355368085337</v>
      </c>
      <c r="U59" s="70">
        <f t="shared" si="86"/>
        <v>-0.11329502475446418</v>
      </c>
      <c r="V59" s="70">
        <f t="shared" si="86"/>
        <v>-0.11556092524953954</v>
      </c>
      <c r="W59" s="70">
        <f t="shared" si="86"/>
        <v>-0.11787214375451072</v>
      </c>
      <c r="X59" s="70">
        <f t="shared" si="86"/>
        <v>-0.1202295866296339</v>
      </c>
      <c r="Y59" s="70">
        <f t="shared" si="86"/>
        <v>-0.1226341783622189</v>
      </c>
      <c r="Z59" s="70">
        <f t="shared" si="86"/>
        <v>-0.12508686192944651</v>
      </c>
      <c r="AA59" s="70">
        <f t="shared" si="86"/>
        <v>-0.12758859916804965</v>
      </c>
      <c r="AB59" s="70">
        <f t="shared" si="86"/>
        <v>-0.13014037115139843</v>
      </c>
      <c r="AC59" s="70">
        <f t="shared" si="86"/>
        <v>-0.13274317857445794</v>
      </c>
      <c r="AD59" s="70">
        <f t="shared" si="86"/>
        <v>-0.13539804214590845</v>
      </c>
      <c r="AE59" s="70">
        <f t="shared" si="86"/>
        <v>-0.13810600298884879</v>
      </c>
      <c r="AF59" s="70">
        <f t="shared" si="86"/>
        <v>-0.14086812304863372</v>
      </c>
      <c r="AG59" s="70">
        <f t="shared" si="86"/>
        <v>-0.14368548550956461</v>
      </c>
      <c r="AH59" s="70">
        <f t="shared" si="86"/>
        <v>-0.14655919521979399</v>
      </c>
      <c r="AI59" s="70">
        <f t="shared" si="86"/>
        <v>-0.14949037912417396</v>
      </c>
      <c r="AJ59" s="70">
        <f t="shared" si="86"/>
        <v>-0.15248018670668273</v>
      </c>
      <c r="AK59" s="70">
        <f t="shared" si="86"/>
        <v>-0.15552979044079507</v>
      </c>
      <c r="AL59" s="70">
        <f t="shared" si="86"/>
        <v>-0.15864038624961552</v>
      </c>
      <c r="AM59" s="70">
        <f t="shared" si="86"/>
        <v>-0.16181319397459504</v>
      </c>
      <c r="AN59" s="70">
        <f t="shared" si="86"/>
        <v>-0.16504945785412417</v>
      </c>
      <c r="AO59" s="70">
        <f t="shared" si="86"/>
        <v>-0.1683504470111501</v>
      </c>
      <c r="AP59" s="70">
        <f t="shared" si="86"/>
        <v>-0.17171745595140919</v>
      </c>
      <c r="AQ59" s="70">
        <f t="shared" si="86"/>
        <v>-0.17515180507044192</v>
      </c>
    </row>
    <row r="60" spans="1:43">
      <c r="B60" s="118" t="s">
        <v>229</v>
      </c>
      <c r="C60" s="118"/>
      <c r="D60" s="118"/>
      <c r="E60" s="118"/>
      <c r="F60" s="118"/>
      <c r="G60" s="118"/>
      <c r="H60" s="118"/>
      <c r="I60" s="122">
        <f>I41-H41</f>
        <v>1.6438356164383561</v>
      </c>
      <c r="J60" s="122">
        <f t="shared" ref="J60:AQ60" si="87">J41-I41</f>
        <v>3.2876712328766988E-2</v>
      </c>
      <c r="K60" s="122">
        <f t="shared" si="87"/>
        <v>3.3534246575342763E-2</v>
      </c>
      <c r="L60" s="122">
        <f t="shared" si="87"/>
        <v>3.420493150684889E-2</v>
      </c>
      <c r="M60" s="122">
        <f t="shared" si="87"/>
        <v>5.7883136876712342</v>
      </c>
      <c r="N60" s="122">
        <f t="shared" si="87"/>
        <v>0.15065530389041104</v>
      </c>
      <c r="O60" s="122">
        <f t="shared" si="87"/>
        <v>0.15366840996821907</v>
      </c>
      <c r="P60" s="122">
        <f t="shared" si="87"/>
        <v>0.15674177816758306</v>
      </c>
      <c r="Q60" s="122">
        <f t="shared" si="87"/>
        <v>0.15987661373093509</v>
      </c>
      <c r="R60" s="122">
        <f t="shared" si="87"/>
        <v>0.16307414600555425</v>
      </c>
      <c r="S60" s="122">
        <f t="shared" si="87"/>
        <v>0.16633562892566545</v>
      </c>
      <c r="T60" s="122">
        <f t="shared" si="87"/>
        <v>0.16966234150417669</v>
      </c>
      <c r="U60" s="122">
        <f t="shared" si="87"/>
        <v>0.17305558833426105</v>
      </c>
      <c r="V60" s="122">
        <f t="shared" si="87"/>
        <v>0.17651670010094733</v>
      </c>
      <c r="W60" s="122">
        <f t="shared" si="87"/>
        <v>0.18004703410296941</v>
      </c>
      <c r="X60" s="122">
        <f t="shared" si="87"/>
        <v>0.18364797478502304</v>
      </c>
      <c r="Y60" s="122">
        <f t="shared" si="87"/>
        <v>0.18732093428072716</v>
      </c>
      <c r="Z60" s="122">
        <f t="shared" si="87"/>
        <v>0.19106735296633914</v>
      </c>
      <c r="AA60" s="122">
        <f t="shared" si="87"/>
        <v>0.19488870002566827</v>
      </c>
      <c r="AB60" s="122">
        <f t="shared" si="87"/>
        <v>0.19878647402617666</v>
      </c>
      <c r="AC60" s="122">
        <f t="shared" si="87"/>
        <v>0.20276220350670648</v>
      </c>
      <c r="AD60" s="122">
        <f t="shared" si="87"/>
        <v>0.20681744757683873</v>
      </c>
      <c r="AE60" s="122">
        <f t="shared" si="87"/>
        <v>0.21095379652837387</v>
      </c>
      <c r="AF60" s="122">
        <f t="shared" si="87"/>
        <v>0.21517287245894323</v>
      </c>
      <c r="AG60" s="122">
        <f t="shared" si="87"/>
        <v>0.2194763299081206</v>
      </c>
      <c r="AH60" s="122">
        <f t="shared" si="87"/>
        <v>0.22386585650628277</v>
      </c>
      <c r="AI60" s="122">
        <f t="shared" si="87"/>
        <v>0.22834317363641254</v>
      </c>
      <c r="AJ60" s="122">
        <f t="shared" si="87"/>
        <v>0.23291003710913394</v>
      </c>
      <c r="AK60" s="122">
        <f t="shared" si="87"/>
        <v>0.23756823785132219</v>
      </c>
      <c r="AL60" s="122">
        <f t="shared" si="87"/>
        <v>0.2423196026083474</v>
      </c>
      <c r="AM60" s="122">
        <f t="shared" si="87"/>
        <v>0.42789515101074649</v>
      </c>
      <c r="AN60" s="122">
        <f t="shared" si="87"/>
        <v>0.2557238976807259</v>
      </c>
      <c r="AO60" s="122">
        <f t="shared" si="87"/>
        <v>0.26083837563434997</v>
      </c>
      <c r="AP60" s="122">
        <f t="shared" si="87"/>
        <v>0.26605514314702461</v>
      </c>
      <c r="AQ60" s="122">
        <f t="shared" si="87"/>
        <v>0.27137624600997157</v>
      </c>
    </row>
    <row r="61" spans="1:43">
      <c r="B61" s="15" t="s">
        <v>226</v>
      </c>
      <c r="C61" s="15"/>
      <c r="D61" s="15"/>
      <c r="E61" s="15"/>
      <c r="F61" s="15"/>
      <c r="G61" s="15"/>
      <c r="H61" s="15"/>
      <c r="I61" s="58">
        <f>SUM(I57:I60)</f>
        <v>-27.529208910918914</v>
      </c>
      <c r="J61" s="58">
        <f t="shared" ref="J61:AQ61" si="88">SUM(J57:J60)</f>
        <v>-27.490651073951764</v>
      </c>
      <c r="K61" s="58">
        <f t="shared" si="88"/>
        <v>-30.753087824874427</v>
      </c>
      <c r="L61" s="58">
        <f t="shared" si="88"/>
        <v>-34.687776308731813</v>
      </c>
      <c r="M61" s="58">
        <f t="shared" si="88"/>
        <v>502.16899987342879</v>
      </c>
      <c r="N61" s="58">
        <f t="shared" si="88"/>
        <v>579.21024780343396</v>
      </c>
      <c r="O61" s="58">
        <f t="shared" si="88"/>
        <v>582.04908926099711</v>
      </c>
      <c r="P61" s="58">
        <f t="shared" si="88"/>
        <v>584.87955830845078</v>
      </c>
      <c r="Q61" s="58">
        <f t="shared" si="88"/>
        <v>587.70148749759221</v>
      </c>
      <c r="R61" s="58">
        <f t="shared" si="88"/>
        <v>590.51470603125529</v>
      </c>
      <c r="S61" s="58">
        <f t="shared" si="88"/>
        <v>593.31903969633015</v>
      </c>
      <c r="T61" s="58">
        <f t="shared" si="88"/>
        <v>596.11431079544582</v>
      </c>
      <c r="U61" s="58">
        <f t="shared" si="88"/>
        <v>599.83002557728253</v>
      </c>
      <c r="V61" s="58">
        <f t="shared" si="88"/>
        <v>603.53631166549485</v>
      </c>
      <c r="W61" s="58">
        <f t="shared" si="88"/>
        <v>606.30329298621007</v>
      </c>
      <c r="X61" s="58">
        <f t="shared" si="88"/>
        <v>609.06046469407863</v>
      </c>
      <c r="Y61" s="58">
        <f t="shared" si="88"/>
        <v>611.80763059684352</v>
      </c>
      <c r="Z61" s="58">
        <f t="shared" si="88"/>
        <v>614.54459057840234</v>
      </c>
      <c r="AA61" s="58">
        <f t="shared" si="88"/>
        <v>617.27114052033141</v>
      </c>
      <c r="AB61" s="58">
        <f t="shared" si="88"/>
        <v>619.98707222183782</v>
      </c>
      <c r="AC61" s="58">
        <f t="shared" si="88"/>
        <v>621.5496601199992</v>
      </c>
      <c r="AD61" s="58">
        <f t="shared" si="88"/>
        <v>621.87214539067395</v>
      </c>
      <c r="AE61" s="58">
        <f t="shared" si="88"/>
        <v>621.94932396420768</v>
      </c>
      <c r="AF61" s="58">
        <f t="shared" si="88"/>
        <v>621.63659169349182</v>
      </c>
      <c r="AG61" s="58">
        <f t="shared" si="88"/>
        <v>621.0386985273617</v>
      </c>
      <c r="AH61" s="58">
        <f t="shared" si="88"/>
        <v>620.42884749790892</v>
      </c>
      <c r="AI61" s="58">
        <f t="shared" si="88"/>
        <v>619.80679944786698</v>
      </c>
      <c r="AJ61" s="58">
        <f t="shared" si="88"/>
        <v>619.17231043682455</v>
      </c>
      <c r="AK61" s="58">
        <f t="shared" si="88"/>
        <v>619.45481914556092</v>
      </c>
      <c r="AL61" s="58">
        <f t="shared" si="88"/>
        <v>619.72438427847214</v>
      </c>
      <c r="AM61" s="58">
        <f t="shared" si="88"/>
        <v>617.80252220892214</v>
      </c>
      <c r="AN61" s="58">
        <f t="shared" si="88"/>
        <v>616.91003099675038</v>
      </c>
      <c r="AO61" s="58">
        <f t="shared" si="88"/>
        <v>615.25073161668536</v>
      </c>
      <c r="AP61" s="58">
        <f t="shared" si="88"/>
        <v>613.57683999901906</v>
      </c>
      <c r="AQ61" s="58">
        <f t="shared" si="88"/>
        <v>612.81775179899932</v>
      </c>
    </row>
    <row r="63" spans="1:43">
      <c r="B63" s="11" t="s">
        <v>262</v>
      </c>
    </row>
    <row r="64" spans="1:43">
      <c r="B64" s="118" t="s">
        <v>263</v>
      </c>
      <c r="C64" s="118"/>
      <c r="D64" s="118"/>
      <c r="E64" s="118"/>
      <c r="F64" s="118"/>
      <c r="G64" s="118"/>
      <c r="H64" s="118"/>
      <c r="I64" s="122">
        <f>-Model!I87</f>
        <v>-218.75</v>
      </c>
      <c r="J64" s="122">
        <f>-Model!J87</f>
        <v>-125.00000000000004</v>
      </c>
      <c r="K64" s="122">
        <f>-Model!K87</f>
        <v>-124.99999999999997</v>
      </c>
      <c r="L64" s="122">
        <f>-Model!L87</f>
        <v>-156.25</v>
      </c>
      <c r="M64" s="122">
        <f>-Model!M87</f>
        <v>-156.25</v>
      </c>
      <c r="N64" s="122">
        <f>-Model!N87</f>
        <v>-156.25</v>
      </c>
      <c r="O64" s="122">
        <f>-Model!O87</f>
        <v>-156.25</v>
      </c>
      <c r="P64" s="122">
        <f>-Model!P87</f>
        <v>-156.25</v>
      </c>
      <c r="Q64" s="122">
        <f>-Model!Q87</f>
        <v>-156.25</v>
      </c>
      <c r="R64" s="122">
        <f>-Model!R87</f>
        <v>-156.25</v>
      </c>
      <c r="S64" s="122">
        <f>-Model!S87</f>
        <v>-156.25</v>
      </c>
      <c r="T64" s="122">
        <f>-Model!T87</f>
        <v>-156.25</v>
      </c>
      <c r="U64" s="122">
        <f>-Model!U87</f>
        <v>-262.5</v>
      </c>
      <c r="V64" s="122">
        <f>-Model!V87</f>
        <v>-156.25</v>
      </c>
      <c r="W64" s="122">
        <f>-Model!W87</f>
        <v>-156.25</v>
      </c>
      <c r="X64" s="122">
        <f>-Model!X87</f>
        <v>-156.25</v>
      </c>
      <c r="Y64" s="122">
        <f>-Model!Y87</f>
        <v>-156.25</v>
      </c>
      <c r="Z64" s="122">
        <f>-Model!Z87</f>
        <v>-156.25</v>
      </c>
      <c r="AA64" s="122">
        <f>-Model!AA87</f>
        <v>-156.25</v>
      </c>
      <c r="AB64" s="122">
        <f>-Model!AB87</f>
        <v>-156.25</v>
      </c>
      <c r="AC64" s="122">
        <f>-Model!AC87</f>
        <v>-262.5</v>
      </c>
      <c r="AD64" s="122">
        <f>-Model!AD87</f>
        <v>-156.25</v>
      </c>
      <c r="AE64" s="122">
        <f>-Model!AE87</f>
        <v>-156.25</v>
      </c>
      <c r="AF64" s="122">
        <f>-Model!AF87</f>
        <v>-156.25</v>
      </c>
      <c r="AG64" s="122">
        <f>-Model!AG87</f>
        <v>-156.25</v>
      </c>
      <c r="AH64" s="122">
        <f>-Model!AH87</f>
        <v>-156.25</v>
      </c>
      <c r="AI64" s="122">
        <f>-Model!AI87</f>
        <v>-156.25</v>
      </c>
      <c r="AJ64" s="122">
        <f>-Model!AJ87</f>
        <v>-156.25</v>
      </c>
      <c r="AK64" s="122">
        <f>-Model!AK87</f>
        <v>-262.5</v>
      </c>
      <c r="AL64" s="122">
        <f>-Model!AL87</f>
        <v>-156.25</v>
      </c>
      <c r="AM64" s="122">
        <f>-Model!AM87</f>
        <v>-156.25</v>
      </c>
      <c r="AN64" s="122">
        <f>-Model!AN87</f>
        <v>-156.25</v>
      </c>
      <c r="AO64" s="122">
        <f>-Model!AO87</f>
        <v>-156.25</v>
      </c>
      <c r="AP64" s="122">
        <f>-Model!AP87</f>
        <v>-156.25</v>
      </c>
      <c r="AQ64" s="122">
        <f>-Model!AQ87</f>
        <v>-156.25</v>
      </c>
    </row>
    <row r="65" spans="2:43">
      <c r="B65" s="15" t="s">
        <v>262</v>
      </c>
      <c r="C65" s="15"/>
      <c r="D65" s="15"/>
      <c r="E65" s="15"/>
      <c r="F65" s="15"/>
      <c r="G65" s="15"/>
      <c r="H65" s="15"/>
      <c r="I65" s="58">
        <f>SUM(I64)</f>
        <v>-218.75</v>
      </c>
      <c r="J65" s="58">
        <f t="shared" ref="J65:AQ65" si="89">SUM(J64)</f>
        <v>-125.00000000000004</v>
      </c>
      <c r="K65" s="58">
        <f t="shared" si="89"/>
        <v>-124.99999999999997</v>
      </c>
      <c r="L65" s="58">
        <f t="shared" si="89"/>
        <v>-156.25</v>
      </c>
      <c r="M65" s="58">
        <f t="shared" si="89"/>
        <v>-156.25</v>
      </c>
      <c r="N65" s="58">
        <f t="shared" si="89"/>
        <v>-156.25</v>
      </c>
      <c r="O65" s="58">
        <f t="shared" si="89"/>
        <v>-156.25</v>
      </c>
      <c r="P65" s="58">
        <f t="shared" si="89"/>
        <v>-156.25</v>
      </c>
      <c r="Q65" s="58">
        <f t="shared" si="89"/>
        <v>-156.25</v>
      </c>
      <c r="R65" s="58">
        <f t="shared" si="89"/>
        <v>-156.25</v>
      </c>
      <c r="S65" s="58">
        <f t="shared" si="89"/>
        <v>-156.25</v>
      </c>
      <c r="T65" s="58">
        <f t="shared" si="89"/>
        <v>-156.25</v>
      </c>
      <c r="U65" s="58">
        <f t="shared" si="89"/>
        <v>-262.5</v>
      </c>
      <c r="V65" s="58">
        <f t="shared" si="89"/>
        <v>-156.25</v>
      </c>
      <c r="W65" s="58">
        <f t="shared" si="89"/>
        <v>-156.25</v>
      </c>
      <c r="X65" s="58">
        <f t="shared" si="89"/>
        <v>-156.25</v>
      </c>
      <c r="Y65" s="58">
        <f t="shared" si="89"/>
        <v>-156.25</v>
      </c>
      <c r="Z65" s="58">
        <f t="shared" si="89"/>
        <v>-156.25</v>
      </c>
      <c r="AA65" s="58">
        <f t="shared" si="89"/>
        <v>-156.25</v>
      </c>
      <c r="AB65" s="58">
        <f t="shared" si="89"/>
        <v>-156.25</v>
      </c>
      <c r="AC65" s="58">
        <f t="shared" si="89"/>
        <v>-262.5</v>
      </c>
      <c r="AD65" s="58">
        <f t="shared" si="89"/>
        <v>-156.25</v>
      </c>
      <c r="AE65" s="58">
        <f t="shared" si="89"/>
        <v>-156.25</v>
      </c>
      <c r="AF65" s="58">
        <f t="shared" si="89"/>
        <v>-156.25</v>
      </c>
      <c r="AG65" s="58">
        <f t="shared" si="89"/>
        <v>-156.25</v>
      </c>
      <c r="AH65" s="58">
        <f t="shared" si="89"/>
        <v>-156.25</v>
      </c>
      <c r="AI65" s="58">
        <f t="shared" si="89"/>
        <v>-156.25</v>
      </c>
      <c r="AJ65" s="58">
        <f t="shared" si="89"/>
        <v>-156.25</v>
      </c>
      <c r="AK65" s="58">
        <f t="shared" si="89"/>
        <v>-262.5</v>
      </c>
      <c r="AL65" s="58">
        <f t="shared" si="89"/>
        <v>-156.25</v>
      </c>
      <c r="AM65" s="58">
        <f t="shared" si="89"/>
        <v>-156.25</v>
      </c>
      <c r="AN65" s="58">
        <f t="shared" si="89"/>
        <v>-156.25</v>
      </c>
      <c r="AO65" s="58">
        <f t="shared" si="89"/>
        <v>-156.25</v>
      </c>
      <c r="AP65" s="58">
        <f t="shared" si="89"/>
        <v>-156.25</v>
      </c>
      <c r="AQ65" s="58">
        <f t="shared" si="89"/>
        <v>-156.25</v>
      </c>
    </row>
    <row r="67" spans="2:43">
      <c r="B67" s="11" t="s">
        <v>264</v>
      </c>
    </row>
    <row r="68" spans="2:43">
      <c r="B68" s="3" t="s">
        <v>268</v>
      </c>
      <c r="I68" s="70">
        <f>SUM('Debt Schedule'!I10:I13)</f>
        <v>134.31227911802355</v>
      </c>
      <c r="J68" s="70">
        <f>SUM('Debt Schedule'!J10:J13)</f>
        <v>84.698861941344447</v>
      </c>
      <c r="K68" s="70">
        <f>SUM('Debt Schedule'!K10:K13)</f>
        <v>87.771636668984542</v>
      </c>
      <c r="L68" s="70">
        <f>SUM('Debt Schedule'!L10:L13)</f>
        <v>108.18569789697371</v>
      </c>
      <c r="M68" s="70">
        <f>SUM('Debt Schedule'!M10:M13)</f>
        <v>-23.985035090477677</v>
      </c>
      <c r="N68" s="70">
        <f>SUM('Debt Schedule'!N10:N13)</f>
        <v>-23.985035090477677</v>
      </c>
      <c r="O68" s="70">
        <f>SUM('Debt Schedule'!O10:O13)</f>
        <v>-23.985035090477677</v>
      </c>
      <c r="P68" s="70">
        <f>SUM('Debt Schedule'!P10:P13)</f>
        <v>-23.985035090477677</v>
      </c>
      <c r="Q68" s="70">
        <f>SUM('Debt Schedule'!Q10:Q13)</f>
        <v>-23.985035090477677</v>
      </c>
      <c r="R68" s="70">
        <f>SUM('Debt Schedule'!R10:R13)</f>
        <v>-23.985035090477677</v>
      </c>
      <c r="S68" s="70">
        <f>SUM('Debt Schedule'!S10:S13)</f>
        <v>-23.985035090477677</v>
      </c>
      <c r="T68" s="70">
        <f>SUM('Debt Schedule'!T10:T13)</f>
        <v>-23.985035090477677</v>
      </c>
      <c r="U68" s="70">
        <f>SUM('Debt Schedule'!U10:U13)</f>
        <v>-23.985035090477677</v>
      </c>
      <c r="V68" s="70">
        <f>SUM('Debt Schedule'!V10:V13)</f>
        <v>-23.985035090477677</v>
      </c>
      <c r="W68" s="70">
        <f>SUM('Debt Schedule'!W10:W13)</f>
        <v>-23.985035090477677</v>
      </c>
      <c r="X68" s="70">
        <f>SUM('Debt Schedule'!X10:X13)</f>
        <v>-23.985035090477677</v>
      </c>
      <c r="Y68" s="70">
        <f>SUM('Debt Schedule'!Y10:Y13)</f>
        <v>-23.985035090477677</v>
      </c>
      <c r="Z68" s="70">
        <f>SUM('Debt Schedule'!Z10:Z13)</f>
        <v>-23.985035090477677</v>
      </c>
      <c r="AA68" s="70">
        <f>SUM('Debt Schedule'!AA10:AA13)</f>
        <v>-23.985035090477677</v>
      </c>
      <c r="AB68" s="70">
        <f>SUM('Debt Schedule'!AB10:AB13)</f>
        <v>-23.985035090477677</v>
      </c>
      <c r="AC68" s="70">
        <f>SUM('Debt Schedule'!AC10:AC13)</f>
        <v>-16.499203227094945</v>
      </c>
      <c r="AD68" s="70">
        <f>SUM('Debt Schedule'!AD10:AD13)</f>
        <v>-10.09421339746266</v>
      </c>
      <c r="AE68" s="70">
        <f>SUM('Debt Schedule'!AE10:AE13)</f>
        <v>-4.6144975531257879</v>
      </c>
      <c r="AF68" s="70">
        <f>SUM('Debt Schedule'!AF10:AF13)</f>
        <v>0</v>
      </c>
      <c r="AG68" s="70">
        <f>SUM('Debt Schedule'!AG10:AG13)</f>
        <v>0</v>
      </c>
      <c r="AH68" s="70">
        <f>SUM('Debt Schedule'!AH10:AH13)</f>
        <v>0</v>
      </c>
      <c r="AI68" s="70">
        <f>SUM('Debt Schedule'!AI10:AI13)</f>
        <v>0</v>
      </c>
      <c r="AJ68" s="70">
        <f>SUM('Debt Schedule'!AJ10:AJ13)</f>
        <v>0</v>
      </c>
      <c r="AK68" s="70">
        <f>SUM('Debt Schedule'!AK10:AK13)</f>
        <v>0</v>
      </c>
      <c r="AL68" s="70">
        <f>SUM('Debt Schedule'!AL10:AL13)</f>
        <v>0</v>
      </c>
      <c r="AM68" s="70">
        <f>SUM('Debt Schedule'!AM10:AM13)</f>
        <v>0</v>
      </c>
      <c r="AN68" s="70">
        <f>SUM('Debt Schedule'!AN10:AN13)</f>
        <v>0</v>
      </c>
      <c r="AO68" s="70">
        <f>SUM('Debt Schedule'!AO10:AO13)</f>
        <v>0</v>
      </c>
      <c r="AP68" s="70">
        <f>SUM('Debt Schedule'!AP10:AP13)</f>
        <v>0</v>
      </c>
      <c r="AQ68" s="70">
        <f>SUM('Debt Schedule'!AQ10:AQ13)</f>
        <v>0</v>
      </c>
    </row>
    <row r="69" spans="2:43">
      <c r="B69" s="3" t="s">
        <v>261</v>
      </c>
      <c r="I69" s="70">
        <f>Model!I121</f>
        <v>0</v>
      </c>
      <c r="J69" s="70">
        <f>Model!J121</f>
        <v>0</v>
      </c>
      <c r="K69" s="70">
        <f>Model!K121</f>
        <v>0</v>
      </c>
      <c r="L69" s="70">
        <f>Model!L121</f>
        <v>0</v>
      </c>
      <c r="M69" s="70">
        <f>Model!M121</f>
        <v>0</v>
      </c>
      <c r="N69" s="70">
        <f>Model!N121</f>
        <v>-122.65362900275656</v>
      </c>
      <c r="O69" s="70">
        <f>Model!O121</f>
        <v>-401.81405417051951</v>
      </c>
      <c r="P69" s="70">
        <f>Model!P121</f>
        <v>-404.64452321797307</v>
      </c>
      <c r="Q69" s="70">
        <f>Model!Q121</f>
        <v>-407.46645240711428</v>
      </c>
      <c r="R69" s="70">
        <f>Model!R121</f>
        <v>-410.27967094077763</v>
      </c>
      <c r="S69" s="70">
        <f>Model!S121</f>
        <v>-413.0840046058525</v>
      </c>
      <c r="T69" s="70">
        <f>Model!T121</f>
        <v>-415.87927570496817</v>
      </c>
      <c r="U69" s="70">
        <f>Model!U121</f>
        <v>-313.34499048680487</v>
      </c>
      <c r="V69" s="70">
        <f>Model!V121</f>
        <v>-423.30127657501731</v>
      </c>
      <c r="W69" s="70">
        <f>Model!W121</f>
        <v>-426.06825789573247</v>
      </c>
      <c r="X69" s="70">
        <f>Model!X121</f>
        <v>-428.82542960360104</v>
      </c>
      <c r="Y69" s="70">
        <f>Model!Y121</f>
        <v>-431.57259550636581</v>
      </c>
      <c r="Z69" s="70">
        <f>Model!Z121</f>
        <v>-434.30955548792474</v>
      </c>
      <c r="AA69" s="70">
        <f>Model!AA121</f>
        <v>-437.03610542985371</v>
      </c>
      <c r="AB69" s="70">
        <f>Model!AB121</f>
        <v>-439.75203713136005</v>
      </c>
      <c r="AC69" s="70">
        <f>Model!AC121</f>
        <v>-342.55045689290426</v>
      </c>
      <c r="AD69" s="70">
        <f>Model!AD121</f>
        <v>-455.52793199321121</v>
      </c>
      <c r="AE69" s="70">
        <f>Model!AE121</f>
        <v>-461.08482641108191</v>
      </c>
      <c r="AF69" s="70">
        <f>Model!AF121</f>
        <v>-465.38659169349182</v>
      </c>
      <c r="AG69" s="70">
        <f>Model!AG121</f>
        <v>-464.7886985273617</v>
      </c>
      <c r="AH69" s="70">
        <f>Model!AH121</f>
        <v>-464.17884749790892</v>
      </c>
      <c r="AI69" s="70">
        <f>Model!AI121</f>
        <v>-463.55679944786698</v>
      </c>
      <c r="AJ69" s="70">
        <f>Model!AJ121</f>
        <v>-462.92231043682443</v>
      </c>
      <c r="AK69" s="70">
        <f>Model!AK121</f>
        <v>-356.95481914556103</v>
      </c>
      <c r="AL69" s="70">
        <f>Model!AL121</f>
        <v>-463.47438427847237</v>
      </c>
      <c r="AM69" s="70">
        <f>Model!AM121</f>
        <v>-461.55252220892203</v>
      </c>
      <c r="AN69" s="70">
        <f>Model!AN121</f>
        <v>-460.66003099675049</v>
      </c>
      <c r="AO69" s="70">
        <f>Model!AO121</f>
        <v>-459.00073161668524</v>
      </c>
      <c r="AP69" s="70">
        <f>Model!AP121</f>
        <v>-457.32683999901906</v>
      </c>
      <c r="AQ69" s="70">
        <f>Model!AQ121</f>
        <v>-456.56775179899932</v>
      </c>
    </row>
    <row r="70" spans="2:43">
      <c r="B70" s="3" t="s">
        <v>269</v>
      </c>
      <c r="I70" s="70">
        <f>-(SUM(I33:I34)-SUM(H33:H34))</f>
        <v>0</v>
      </c>
      <c r="J70" s="70">
        <f t="shared" ref="J70:AQ70" si="90">-(SUM(J33:J34)-SUM(I33:I34))</f>
        <v>0</v>
      </c>
      <c r="K70" s="70">
        <f t="shared" si="90"/>
        <v>0</v>
      </c>
      <c r="L70" s="70">
        <f t="shared" si="90"/>
        <v>0</v>
      </c>
      <c r="M70" s="70">
        <f t="shared" si="90"/>
        <v>-300</v>
      </c>
      <c r="N70" s="70">
        <f t="shared" si="90"/>
        <v>-300</v>
      </c>
      <c r="O70" s="70">
        <f t="shared" si="90"/>
        <v>0</v>
      </c>
      <c r="P70" s="70">
        <f t="shared" si="90"/>
        <v>0</v>
      </c>
      <c r="Q70" s="70">
        <f t="shared" si="90"/>
        <v>0</v>
      </c>
      <c r="R70" s="70">
        <f t="shared" si="90"/>
        <v>0</v>
      </c>
      <c r="S70" s="70">
        <f t="shared" si="90"/>
        <v>0</v>
      </c>
      <c r="T70" s="70">
        <f t="shared" si="90"/>
        <v>0</v>
      </c>
      <c r="U70" s="70">
        <f t="shared" si="90"/>
        <v>0</v>
      </c>
      <c r="V70" s="70">
        <f t="shared" si="90"/>
        <v>0</v>
      </c>
      <c r="W70" s="70">
        <f t="shared" si="90"/>
        <v>0</v>
      </c>
      <c r="X70" s="70">
        <f t="shared" si="90"/>
        <v>0</v>
      </c>
      <c r="Y70" s="70">
        <f t="shared" si="90"/>
        <v>0</v>
      </c>
      <c r="Z70" s="70">
        <f t="shared" si="90"/>
        <v>0</v>
      </c>
      <c r="AA70" s="70">
        <f t="shared" si="90"/>
        <v>0</v>
      </c>
      <c r="AB70" s="70">
        <f t="shared" si="90"/>
        <v>0</v>
      </c>
      <c r="AC70" s="70">
        <f t="shared" si="90"/>
        <v>0</v>
      </c>
      <c r="AD70" s="70">
        <f t="shared" si="90"/>
        <v>0</v>
      </c>
      <c r="AE70" s="70">
        <f t="shared" si="90"/>
        <v>0</v>
      </c>
      <c r="AF70" s="70">
        <f t="shared" si="90"/>
        <v>0</v>
      </c>
      <c r="AG70" s="70">
        <f t="shared" si="90"/>
        <v>0</v>
      </c>
      <c r="AH70" s="70">
        <f t="shared" si="90"/>
        <v>0</v>
      </c>
      <c r="AI70" s="70">
        <f t="shared" si="90"/>
        <v>0</v>
      </c>
      <c r="AJ70" s="70">
        <f t="shared" si="90"/>
        <v>0</v>
      </c>
      <c r="AK70" s="70">
        <f t="shared" si="90"/>
        <v>0</v>
      </c>
      <c r="AL70" s="70">
        <f t="shared" si="90"/>
        <v>0</v>
      </c>
      <c r="AM70" s="70">
        <f t="shared" si="90"/>
        <v>0</v>
      </c>
      <c r="AN70" s="70">
        <f t="shared" si="90"/>
        <v>0</v>
      </c>
      <c r="AO70" s="70">
        <f t="shared" si="90"/>
        <v>0</v>
      </c>
      <c r="AP70" s="70">
        <f t="shared" si="90"/>
        <v>0</v>
      </c>
      <c r="AQ70" s="70">
        <f t="shared" si="90"/>
        <v>0</v>
      </c>
    </row>
    <row r="71" spans="2:43">
      <c r="B71" s="3" t="s">
        <v>270</v>
      </c>
      <c r="I71" s="70">
        <f>I47-H47</f>
        <v>79.415035253895212</v>
      </c>
      <c r="J71" s="70">
        <f t="shared" ref="J71:AQ71" si="91">J47-I47</f>
        <v>47.410104225182437</v>
      </c>
      <c r="K71" s="70">
        <f t="shared" si="91"/>
        <v>47.543139455745518</v>
      </c>
      <c r="L71" s="70">
        <f t="shared" si="91"/>
        <v>57.868421065176761</v>
      </c>
      <c r="M71" s="70">
        <f t="shared" si="91"/>
        <v>0</v>
      </c>
      <c r="N71" s="70">
        <f t="shared" si="91"/>
        <v>0</v>
      </c>
      <c r="O71" s="70">
        <f t="shared" si="91"/>
        <v>0</v>
      </c>
      <c r="P71" s="70">
        <f t="shared" si="91"/>
        <v>0</v>
      </c>
      <c r="Q71" s="70">
        <f t="shared" si="91"/>
        <v>0</v>
      </c>
      <c r="R71" s="70">
        <f t="shared" si="91"/>
        <v>0</v>
      </c>
      <c r="S71" s="70">
        <f t="shared" si="91"/>
        <v>0</v>
      </c>
      <c r="T71" s="70">
        <f t="shared" si="91"/>
        <v>0</v>
      </c>
      <c r="U71" s="70">
        <f t="shared" si="91"/>
        <v>0</v>
      </c>
      <c r="V71" s="70">
        <f t="shared" si="91"/>
        <v>0</v>
      </c>
      <c r="W71" s="70">
        <f t="shared" si="91"/>
        <v>0</v>
      </c>
      <c r="X71" s="70">
        <f t="shared" si="91"/>
        <v>0</v>
      </c>
      <c r="Y71" s="70">
        <f t="shared" si="91"/>
        <v>0</v>
      </c>
      <c r="Z71" s="70">
        <f t="shared" si="91"/>
        <v>0</v>
      </c>
      <c r="AA71" s="70">
        <f t="shared" si="91"/>
        <v>0</v>
      </c>
      <c r="AB71" s="70">
        <f t="shared" si="91"/>
        <v>0</v>
      </c>
      <c r="AC71" s="70">
        <f t="shared" si="91"/>
        <v>0</v>
      </c>
      <c r="AD71" s="70">
        <f t="shared" si="91"/>
        <v>0</v>
      </c>
      <c r="AE71" s="70">
        <f t="shared" si="91"/>
        <v>0</v>
      </c>
      <c r="AF71" s="70">
        <f t="shared" si="91"/>
        <v>0</v>
      </c>
      <c r="AG71" s="70">
        <f t="shared" si="91"/>
        <v>0</v>
      </c>
      <c r="AH71" s="70">
        <f t="shared" si="91"/>
        <v>0</v>
      </c>
      <c r="AI71" s="70">
        <f t="shared" si="91"/>
        <v>0</v>
      </c>
      <c r="AJ71" s="70">
        <f t="shared" si="91"/>
        <v>0</v>
      </c>
      <c r="AK71" s="70">
        <f t="shared" si="91"/>
        <v>0</v>
      </c>
      <c r="AL71" s="70">
        <f t="shared" si="91"/>
        <v>0</v>
      </c>
      <c r="AM71" s="70">
        <f t="shared" si="91"/>
        <v>0</v>
      </c>
      <c r="AN71" s="70">
        <f t="shared" si="91"/>
        <v>0</v>
      </c>
      <c r="AO71" s="70">
        <f t="shared" si="91"/>
        <v>0</v>
      </c>
      <c r="AP71" s="70">
        <f t="shared" si="91"/>
        <v>0</v>
      </c>
      <c r="AQ71" s="70">
        <f t="shared" si="91"/>
        <v>0</v>
      </c>
    </row>
    <row r="72" spans="2:43">
      <c r="B72" s="118" t="s">
        <v>271</v>
      </c>
      <c r="C72" s="118"/>
      <c r="D72" s="118"/>
      <c r="E72" s="118"/>
      <c r="F72" s="118"/>
      <c r="G72" s="118"/>
      <c r="H72" s="118"/>
      <c r="I72" s="122">
        <f>I48-H48</f>
        <v>34.195730155438497</v>
      </c>
      <c r="J72" s="122">
        <f t="shared" ref="J72:AQ72" si="92">J48-I48</f>
        <v>20.414561619753655</v>
      </c>
      <c r="K72" s="122">
        <f t="shared" si="92"/>
        <v>20.471845946719682</v>
      </c>
      <c r="L72" s="122">
        <f t="shared" si="92"/>
        <v>24.917862278088165</v>
      </c>
      <c r="M72" s="122">
        <f t="shared" si="92"/>
        <v>0</v>
      </c>
      <c r="N72" s="122">
        <f t="shared" si="92"/>
        <v>0</v>
      </c>
      <c r="O72" s="122">
        <f t="shared" si="92"/>
        <v>0</v>
      </c>
      <c r="P72" s="122">
        <f t="shared" si="92"/>
        <v>0</v>
      </c>
      <c r="Q72" s="122">
        <f t="shared" si="92"/>
        <v>0</v>
      </c>
      <c r="R72" s="122">
        <f t="shared" si="92"/>
        <v>0</v>
      </c>
      <c r="S72" s="122">
        <f t="shared" si="92"/>
        <v>0</v>
      </c>
      <c r="T72" s="122">
        <f t="shared" si="92"/>
        <v>0</v>
      </c>
      <c r="U72" s="122">
        <f t="shared" si="92"/>
        <v>0</v>
      </c>
      <c r="V72" s="122">
        <f t="shared" si="92"/>
        <v>0</v>
      </c>
      <c r="W72" s="122">
        <f t="shared" si="92"/>
        <v>0</v>
      </c>
      <c r="X72" s="122">
        <f t="shared" si="92"/>
        <v>0</v>
      </c>
      <c r="Y72" s="122">
        <f t="shared" si="92"/>
        <v>0</v>
      </c>
      <c r="Z72" s="122">
        <f t="shared" si="92"/>
        <v>0</v>
      </c>
      <c r="AA72" s="122">
        <f t="shared" si="92"/>
        <v>0</v>
      </c>
      <c r="AB72" s="122">
        <f t="shared" si="92"/>
        <v>0</v>
      </c>
      <c r="AC72" s="122">
        <f t="shared" si="92"/>
        <v>0</v>
      </c>
      <c r="AD72" s="122">
        <f t="shared" si="92"/>
        <v>0</v>
      </c>
      <c r="AE72" s="122">
        <f t="shared" si="92"/>
        <v>0</v>
      </c>
      <c r="AF72" s="122">
        <f t="shared" si="92"/>
        <v>0</v>
      </c>
      <c r="AG72" s="122">
        <f t="shared" si="92"/>
        <v>0</v>
      </c>
      <c r="AH72" s="122">
        <f t="shared" si="92"/>
        <v>0</v>
      </c>
      <c r="AI72" s="122">
        <f t="shared" si="92"/>
        <v>0</v>
      </c>
      <c r="AJ72" s="122">
        <f t="shared" si="92"/>
        <v>0</v>
      </c>
      <c r="AK72" s="122">
        <f t="shared" si="92"/>
        <v>0</v>
      </c>
      <c r="AL72" s="122">
        <f t="shared" si="92"/>
        <v>0</v>
      </c>
      <c r="AM72" s="122">
        <f t="shared" si="92"/>
        <v>0</v>
      </c>
      <c r="AN72" s="122">
        <f t="shared" si="92"/>
        <v>0</v>
      </c>
      <c r="AO72" s="122">
        <f t="shared" si="92"/>
        <v>0</v>
      </c>
      <c r="AP72" s="122">
        <f t="shared" si="92"/>
        <v>0</v>
      </c>
      <c r="AQ72" s="122">
        <f t="shared" si="92"/>
        <v>0</v>
      </c>
    </row>
    <row r="73" spans="2:43">
      <c r="B73" s="15" t="s">
        <v>264</v>
      </c>
      <c r="C73" s="15"/>
      <c r="D73" s="15"/>
      <c r="E73" s="15"/>
      <c r="F73" s="15"/>
      <c r="G73" s="15"/>
      <c r="H73" s="15"/>
      <c r="I73" s="58">
        <f>SUM(I68:I72)</f>
        <v>247.92304452735726</v>
      </c>
      <c r="J73" s="58">
        <f t="shared" ref="J73:AQ73" si="93">SUM(J68:J72)</f>
        <v>152.52352778628057</v>
      </c>
      <c r="K73" s="58">
        <f t="shared" si="93"/>
        <v>155.78662207144976</v>
      </c>
      <c r="L73" s="58">
        <f t="shared" si="93"/>
        <v>190.97198124023865</v>
      </c>
      <c r="M73" s="58">
        <f t="shared" si="93"/>
        <v>-323.98503509047765</v>
      </c>
      <c r="N73" s="58">
        <f t="shared" si="93"/>
        <v>-446.63866409323424</v>
      </c>
      <c r="O73" s="58">
        <f t="shared" si="93"/>
        <v>-425.79908926099716</v>
      </c>
      <c r="P73" s="58">
        <f t="shared" si="93"/>
        <v>-428.62955830845073</v>
      </c>
      <c r="Q73" s="58">
        <f t="shared" si="93"/>
        <v>-431.45148749759193</v>
      </c>
      <c r="R73" s="58">
        <f t="shared" si="93"/>
        <v>-434.26470603125529</v>
      </c>
      <c r="S73" s="58">
        <f t="shared" si="93"/>
        <v>-437.06903969633015</v>
      </c>
      <c r="T73" s="58">
        <f t="shared" si="93"/>
        <v>-439.86431079544582</v>
      </c>
      <c r="U73" s="58">
        <f t="shared" si="93"/>
        <v>-337.33002557728253</v>
      </c>
      <c r="V73" s="58">
        <f t="shared" si="93"/>
        <v>-447.28631166549496</v>
      </c>
      <c r="W73" s="58">
        <f t="shared" si="93"/>
        <v>-450.05329298621012</v>
      </c>
      <c r="X73" s="58">
        <f t="shared" si="93"/>
        <v>-452.81046469407869</v>
      </c>
      <c r="Y73" s="58">
        <f t="shared" si="93"/>
        <v>-455.55763059684347</v>
      </c>
      <c r="Z73" s="58">
        <f t="shared" si="93"/>
        <v>-458.29459057840239</v>
      </c>
      <c r="AA73" s="58">
        <f t="shared" si="93"/>
        <v>-461.02114052033136</v>
      </c>
      <c r="AB73" s="58">
        <f t="shared" si="93"/>
        <v>-463.73707222183771</v>
      </c>
      <c r="AC73" s="58">
        <f t="shared" si="93"/>
        <v>-359.0496601199992</v>
      </c>
      <c r="AD73" s="58">
        <f t="shared" si="93"/>
        <v>-465.62214539067389</v>
      </c>
      <c r="AE73" s="58">
        <f t="shared" si="93"/>
        <v>-465.69932396420768</v>
      </c>
      <c r="AF73" s="58">
        <f t="shared" si="93"/>
        <v>-465.38659169349182</v>
      </c>
      <c r="AG73" s="58">
        <f t="shared" si="93"/>
        <v>-464.7886985273617</v>
      </c>
      <c r="AH73" s="58">
        <f t="shared" si="93"/>
        <v>-464.17884749790892</v>
      </c>
      <c r="AI73" s="58">
        <f t="shared" si="93"/>
        <v>-463.55679944786698</v>
      </c>
      <c r="AJ73" s="58">
        <f t="shared" si="93"/>
        <v>-462.92231043682443</v>
      </c>
      <c r="AK73" s="58">
        <f t="shared" si="93"/>
        <v>-356.95481914556103</v>
      </c>
      <c r="AL73" s="58">
        <f t="shared" si="93"/>
        <v>-463.47438427847237</v>
      </c>
      <c r="AM73" s="58">
        <f t="shared" si="93"/>
        <v>-461.55252220892203</v>
      </c>
      <c r="AN73" s="58">
        <f t="shared" si="93"/>
        <v>-460.66003099675049</v>
      </c>
      <c r="AO73" s="58">
        <f t="shared" si="93"/>
        <v>-459.00073161668524</v>
      </c>
      <c r="AP73" s="58">
        <f t="shared" si="93"/>
        <v>-457.32683999901906</v>
      </c>
      <c r="AQ73" s="58">
        <f t="shared" si="93"/>
        <v>-456.56775179899932</v>
      </c>
    </row>
    <row r="75" spans="2:43">
      <c r="B75" s="3" t="s">
        <v>259</v>
      </c>
      <c r="I75" s="70">
        <v>0</v>
      </c>
      <c r="J75" s="70">
        <f>I77</f>
        <v>1.6438356164383379</v>
      </c>
      <c r="K75" s="70">
        <f t="shared" ref="K75:AQ75" si="94">J77</f>
        <v>1.6767123287671097</v>
      </c>
      <c r="L75" s="70">
        <f t="shared" si="94"/>
        <v>1.7102465753424667</v>
      </c>
      <c r="M75" s="70">
        <f t="shared" si="94"/>
        <v>1.7444515068492876</v>
      </c>
      <c r="N75" s="70">
        <f t="shared" si="94"/>
        <v>23.678416289800424</v>
      </c>
      <c r="O75" s="70">
        <f t="shared" si="94"/>
        <v>1.4210854715202004E-13</v>
      </c>
      <c r="P75" s="70">
        <f t="shared" si="94"/>
        <v>1.4210854715202004E-13</v>
      </c>
      <c r="Q75" s="70">
        <f t="shared" si="94"/>
        <v>1.4210854715202004E-13</v>
      </c>
      <c r="R75" s="70">
        <f t="shared" si="94"/>
        <v>1.4210854715202004E-13</v>
      </c>
      <c r="S75" s="70">
        <f t="shared" si="94"/>
        <v>1.4210854715202004E-13</v>
      </c>
      <c r="T75" s="70">
        <f t="shared" si="94"/>
        <v>1.4210854715202004E-13</v>
      </c>
      <c r="U75" s="70">
        <f t="shared" si="94"/>
        <v>1.4210854715202004E-13</v>
      </c>
      <c r="V75" s="70">
        <f t="shared" si="94"/>
        <v>1.4210854715202004E-13</v>
      </c>
      <c r="W75" s="70">
        <f t="shared" si="94"/>
        <v>1.4210854715202004E-13</v>
      </c>
      <c r="X75" s="70">
        <f t="shared" si="94"/>
        <v>1.4210854715202004E-13</v>
      </c>
      <c r="Y75" s="70">
        <f t="shared" si="94"/>
        <v>1.4210854715202004E-13</v>
      </c>
      <c r="Z75" s="70">
        <f t="shared" si="94"/>
        <v>1.4210854715202004E-13</v>
      </c>
      <c r="AA75" s="70">
        <f t="shared" si="94"/>
        <v>1.4210854715202004E-13</v>
      </c>
      <c r="AB75" s="70">
        <f t="shared" si="94"/>
        <v>1.4210854715202004E-13</v>
      </c>
      <c r="AC75" s="70">
        <f t="shared" si="94"/>
        <v>1.4210854715202004E-13</v>
      </c>
      <c r="AD75" s="70">
        <f t="shared" si="94"/>
        <v>1.4210854715202004E-13</v>
      </c>
      <c r="AE75" s="70">
        <f t="shared" si="94"/>
        <v>1.4210854715202004E-13</v>
      </c>
      <c r="AF75" s="70">
        <f t="shared" si="94"/>
        <v>1.4210854715202004E-13</v>
      </c>
      <c r="AG75" s="70">
        <f t="shared" si="94"/>
        <v>1.4210854715202004E-13</v>
      </c>
      <c r="AH75" s="70">
        <f t="shared" si="94"/>
        <v>1.4210854715202004E-13</v>
      </c>
      <c r="AI75" s="70">
        <f t="shared" si="94"/>
        <v>1.4210854715202004E-13</v>
      </c>
      <c r="AJ75" s="70">
        <f t="shared" si="94"/>
        <v>1.4210854715202004E-13</v>
      </c>
      <c r="AK75" s="70">
        <f t="shared" si="94"/>
        <v>1.4210854715202004E-13</v>
      </c>
      <c r="AL75" s="70">
        <f t="shared" si="94"/>
        <v>1.4210854715202004E-13</v>
      </c>
      <c r="AM75" s="70">
        <f t="shared" si="94"/>
        <v>1.4210854715202004E-13</v>
      </c>
      <c r="AN75" s="70">
        <f t="shared" si="94"/>
        <v>1.4210854715202004E-13</v>
      </c>
      <c r="AO75" s="70">
        <f t="shared" si="94"/>
        <v>1.4210854715202004E-13</v>
      </c>
      <c r="AP75" s="70">
        <f t="shared" si="94"/>
        <v>1.4210854715202004E-13</v>
      </c>
      <c r="AQ75" s="70">
        <f t="shared" si="94"/>
        <v>1.4210854715202004E-13</v>
      </c>
    </row>
    <row r="76" spans="2:43">
      <c r="B76" s="118" t="s">
        <v>272</v>
      </c>
      <c r="C76" s="118"/>
      <c r="D76" s="118"/>
      <c r="E76" s="118"/>
      <c r="F76" s="118"/>
      <c r="G76" s="118"/>
      <c r="H76" s="118"/>
      <c r="I76" s="122">
        <f>SUM(I61,I65,I73)</f>
        <v>1.6438356164383379</v>
      </c>
      <c r="J76" s="122">
        <f t="shared" ref="J76:AQ76" si="95">SUM(J61,J65,J73)</f>
        <v>3.2876712328771873E-2</v>
      </c>
      <c r="K76" s="122">
        <f t="shared" si="95"/>
        <v>3.3534246575356974E-2</v>
      </c>
      <c r="L76" s="122">
        <f t="shared" si="95"/>
        <v>3.4204931506820913E-2</v>
      </c>
      <c r="M76" s="122">
        <f t="shared" si="95"/>
        <v>21.933964782951136</v>
      </c>
      <c r="N76" s="122">
        <f t="shared" si="95"/>
        <v>-23.678416289800282</v>
      </c>
      <c r="O76" s="122">
        <f t="shared" si="95"/>
        <v>0</v>
      </c>
      <c r="P76" s="122">
        <f t="shared" si="95"/>
        <v>0</v>
      </c>
      <c r="Q76" s="122">
        <f t="shared" si="95"/>
        <v>0</v>
      </c>
      <c r="R76" s="122">
        <f t="shared" si="95"/>
        <v>0</v>
      </c>
      <c r="S76" s="122">
        <f t="shared" si="95"/>
        <v>0</v>
      </c>
      <c r="T76" s="122">
        <f t="shared" si="95"/>
        <v>0</v>
      </c>
      <c r="U76" s="122">
        <f t="shared" si="95"/>
        <v>0</v>
      </c>
      <c r="V76" s="122">
        <f t="shared" si="95"/>
        <v>0</v>
      </c>
      <c r="W76" s="122">
        <f t="shared" si="95"/>
        <v>0</v>
      </c>
      <c r="X76" s="122">
        <f t="shared" si="95"/>
        <v>0</v>
      </c>
      <c r="Y76" s="122">
        <f t="shared" si="95"/>
        <v>0</v>
      </c>
      <c r="Z76" s="122">
        <f t="shared" si="95"/>
        <v>0</v>
      </c>
      <c r="AA76" s="122">
        <f t="shared" si="95"/>
        <v>0</v>
      </c>
      <c r="AB76" s="122">
        <f t="shared" si="95"/>
        <v>0</v>
      </c>
      <c r="AC76" s="122">
        <f t="shared" si="95"/>
        <v>0</v>
      </c>
      <c r="AD76" s="122">
        <f t="shared" si="95"/>
        <v>0</v>
      </c>
      <c r="AE76" s="122">
        <f t="shared" si="95"/>
        <v>0</v>
      </c>
      <c r="AF76" s="122">
        <f t="shared" si="95"/>
        <v>0</v>
      </c>
      <c r="AG76" s="122">
        <f t="shared" si="95"/>
        <v>0</v>
      </c>
      <c r="AH76" s="122">
        <f t="shared" si="95"/>
        <v>0</v>
      </c>
      <c r="AI76" s="122">
        <f t="shared" si="95"/>
        <v>0</v>
      </c>
      <c r="AJ76" s="122">
        <f t="shared" si="95"/>
        <v>0</v>
      </c>
      <c r="AK76" s="122">
        <f t="shared" si="95"/>
        <v>0</v>
      </c>
      <c r="AL76" s="122">
        <f t="shared" si="95"/>
        <v>0</v>
      </c>
      <c r="AM76" s="122">
        <f t="shared" si="95"/>
        <v>0</v>
      </c>
      <c r="AN76" s="122">
        <f t="shared" si="95"/>
        <v>0</v>
      </c>
      <c r="AO76" s="122">
        <f t="shared" si="95"/>
        <v>0</v>
      </c>
      <c r="AP76" s="122">
        <f t="shared" si="95"/>
        <v>0</v>
      </c>
      <c r="AQ76" s="122">
        <f t="shared" si="95"/>
        <v>0</v>
      </c>
    </row>
    <row r="77" spans="2:43">
      <c r="B77" s="15" t="s">
        <v>273</v>
      </c>
      <c r="C77" s="15"/>
      <c r="D77" s="15"/>
      <c r="E77" s="15"/>
      <c r="F77" s="15"/>
      <c r="G77" s="15"/>
      <c r="H77" s="15"/>
      <c r="I77" s="58">
        <f>SUM(I75:I76)</f>
        <v>1.6438356164383379</v>
      </c>
      <c r="J77" s="58">
        <f t="shared" ref="J77:AQ77" si="96">SUM(J75:J76)</f>
        <v>1.6767123287671097</v>
      </c>
      <c r="K77" s="58">
        <f t="shared" si="96"/>
        <v>1.7102465753424667</v>
      </c>
      <c r="L77" s="58">
        <f t="shared" si="96"/>
        <v>1.7444515068492876</v>
      </c>
      <c r="M77" s="58">
        <f t="shared" si="96"/>
        <v>23.678416289800424</v>
      </c>
      <c r="N77" s="58">
        <f t="shared" si="96"/>
        <v>1.4210854715202004E-13</v>
      </c>
      <c r="O77" s="58">
        <f t="shared" si="96"/>
        <v>1.4210854715202004E-13</v>
      </c>
      <c r="P77" s="58">
        <f t="shared" si="96"/>
        <v>1.4210854715202004E-13</v>
      </c>
      <c r="Q77" s="58">
        <f t="shared" si="96"/>
        <v>1.4210854715202004E-13</v>
      </c>
      <c r="R77" s="58">
        <f t="shared" si="96"/>
        <v>1.4210854715202004E-13</v>
      </c>
      <c r="S77" s="58">
        <f t="shared" si="96"/>
        <v>1.4210854715202004E-13</v>
      </c>
      <c r="T77" s="58">
        <f t="shared" si="96"/>
        <v>1.4210854715202004E-13</v>
      </c>
      <c r="U77" s="58">
        <f t="shared" si="96"/>
        <v>1.4210854715202004E-13</v>
      </c>
      <c r="V77" s="58">
        <f t="shared" si="96"/>
        <v>1.4210854715202004E-13</v>
      </c>
      <c r="W77" s="58">
        <f t="shared" si="96"/>
        <v>1.4210854715202004E-13</v>
      </c>
      <c r="X77" s="58">
        <f t="shared" si="96"/>
        <v>1.4210854715202004E-13</v>
      </c>
      <c r="Y77" s="58">
        <f t="shared" si="96"/>
        <v>1.4210854715202004E-13</v>
      </c>
      <c r="Z77" s="58">
        <f t="shared" si="96"/>
        <v>1.4210854715202004E-13</v>
      </c>
      <c r="AA77" s="58">
        <f t="shared" si="96"/>
        <v>1.4210854715202004E-13</v>
      </c>
      <c r="AB77" s="58">
        <f t="shared" si="96"/>
        <v>1.4210854715202004E-13</v>
      </c>
      <c r="AC77" s="58">
        <f t="shared" si="96"/>
        <v>1.4210854715202004E-13</v>
      </c>
      <c r="AD77" s="58">
        <f t="shared" si="96"/>
        <v>1.4210854715202004E-13</v>
      </c>
      <c r="AE77" s="58">
        <f t="shared" si="96"/>
        <v>1.4210854715202004E-13</v>
      </c>
      <c r="AF77" s="58">
        <f t="shared" si="96"/>
        <v>1.4210854715202004E-13</v>
      </c>
      <c r="AG77" s="58">
        <f t="shared" si="96"/>
        <v>1.4210854715202004E-13</v>
      </c>
      <c r="AH77" s="58">
        <f t="shared" si="96"/>
        <v>1.4210854715202004E-13</v>
      </c>
      <c r="AI77" s="58">
        <f t="shared" si="96"/>
        <v>1.4210854715202004E-13</v>
      </c>
      <c r="AJ77" s="58">
        <f t="shared" si="96"/>
        <v>1.4210854715202004E-13</v>
      </c>
      <c r="AK77" s="58">
        <f t="shared" si="96"/>
        <v>1.4210854715202004E-13</v>
      </c>
      <c r="AL77" s="58">
        <f t="shared" si="96"/>
        <v>1.4210854715202004E-13</v>
      </c>
      <c r="AM77" s="58">
        <f t="shared" si="96"/>
        <v>1.4210854715202004E-13</v>
      </c>
      <c r="AN77" s="58">
        <f t="shared" si="96"/>
        <v>1.4210854715202004E-13</v>
      </c>
      <c r="AO77" s="58">
        <f t="shared" si="96"/>
        <v>1.4210854715202004E-13</v>
      </c>
      <c r="AP77" s="58">
        <f t="shared" si="96"/>
        <v>1.4210854715202004E-13</v>
      </c>
      <c r="AQ77" s="58">
        <f t="shared" si="96"/>
        <v>1.4210854715202004E-13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DN70"/>
  <sheetViews>
    <sheetView showGridLines="0"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"/>
    </sheetView>
  </sheetViews>
  <sheetFormatPr baseColWidth="10" defaultColWidth="9.1640625" defaultRowHeight="11"/>
  <cols>
    <col min="1" max="1" width="2.6640625" style="3" customWidth="1"/>
    <col min="2" max="16384" width="9.1640625" style="3"/>
  </cols>
  <sheetData>
    <row r="1" spans="1:118" customFormat="1" ht="19">
      <c r="A1" s="1"/>
      <c r="B1" s="2" t="str">
        <f>Summary!$B$1</f>
        <v>RNFC: Highway Integrated Financial Model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</row>
    <row r="2" spans="1:118" customFormat="1" ht="19">
      <c r="A2" s="1"/>
      <c r="B2" s="2" t="s">
        <v>139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</row>
    <row r="4" spans="1:118">
      <c r="A4" s="3" t="s">
        <v>0</v>
      </c>
      <c r="B4" s="4" t="s">
        <v>140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</row>
    <row r="5" spans="1:118">
      <c r="I5" s="133">
        <v>1</v>
      </c>
      <c r="J5" s="133">
        <f>IF(J6="","",I5+1)</f>
        <v>2</v>
      </c>
      <c r="K5" s="133">
        <f t="shared" ref="K5:AQ5" si="0">IF(K6="","",J5+1)</f>
        <v>3</v>
      </c>
      <c r="L5" s="133">
        <f t="shared" si="0"/>
        <v>4</v>
      </c>
      <c r="M5" s="133">
        <f t="shared" si="0"/>
        <v>5</v>
      </c>
      <c r="N5" s="133">
        <f t="shared" si="0"/>
        <v>6</v>
      </c>
      <c r="O5" s="133">
        <f t="shared" si="0"/>
        <v>7</v>
      </c>
      <c r="P5" s="133">
        <f t="shared" si="0"/>
        <v>8</v>
      </c>
      <c r="Q5" s="133">
        <f t="shared" si="0"/>
        <v>9</v>
      </c>
      <c r="R5" s="133">
        <f t="shared" si="0"/>
        <v>10</v>
      </c>
      <c r="S5" s="133">
        <f t="shared" si="0"/>
        <v>11</v>
      </c>
      <c r="T5" s="133">
        <f t="shared" si="0"/>
        <v>12</v>
      </c>
      <c r="U5" s="133">
        <f t="shared" si="0"/>
        <v>13</v>
      </c>
      <c r="V5" s="133">
        <f t="shared" si="0"/>
        <v>14</v>
      </c>
      <c r="W5" s="133">
        <f t="shared" si="0"/>
        <v>15</v>
      </c>
      <c r="X5" s="133">
        <f t="shared" si="0"/>
        <v>16</v>
      </c>
      <c r="Y5" s="133">
        <f t="shared" si="0"/>
        <v>17</v>
      </c>
      <c r="Z5" s="133">
        <f t="shared" si="0"/>
        <v>18</v>
      </c>
      <c r="AA5" s="133">
        <f t="shared" si="0"/>
        <v>19</v>
      </c>
      <c r="AB5" s="133">
        <f t="shared" si="0"/>
        <v>20</v>
      </c>
      <c r="AC5" s="133">
        <f t="shared" si="0"/>
        <v>21</v>
      </c>
      <c r="AD5" s="133">
        <f t="shared" si="0"/>
        <v>22</v>
      </c>
      <c r="AE5" s="133">
        <f t="shared" si="0"/>
        <v>23</v>
      </c>
      <c r="AF5" s="133">
        <f t="shared" si="0"/>
        <v>24</v>
      </c>
      <c r="AG5" s="133">
        <f t="shared" si="0"/>
        <v>25</v>
      </c>
      <c r="AH5" s="133">
        <f t="shared" si="0"/>
        <v>26</v>
      </c>
      <c r="AI5" s="133">
        <f t="shared" si="0"/>
        <v>27</v>
      </c>
      <c r="AJ5" s="133">
        <f t="shared" si="0"/>
        <v>28</v>
      </c>
      <c r="AK5" s="133">
        <f t="shared" si="0"/>
        <v>29</v>
      </c>
      <c r="AL5" s="133">
        <f t="shared" si="0"/>
        <v>30</v>
      </c>
      <c r="AM5" s="133">
        <f t="shared" si="0"/>
        <v>31</v>
      </c>
      <c r="AN5" s="133">
        <f t="shared" si="0"/>
        <v>32</v>
      </c>
      <c r="AO5" s="133">
        <f t="shared" si="0"/>
        <v>33</v>
      </c>
      <c r="AP5" s="133">
        <f t="shared" si="0"/>
        <v>34</v>
      </c>
      <c r="AQ5" s="133">
        <f t="shared" si="0"/>
        <v>35</v>
      </c>
    </row>
    <row r="6" spans="1:118" ht="12" thickBot="1">
      <c r="B6" s="9"/>
      <c r="C6" s="8"/>
      <c r="D6" s="8"/>
      <c r="E6" s="9" t="s">
        <v>48</v>
      </c>
      <c r="F6" s="9" t="s">
        <v>72</v>
      </c>
      <c r="G6" s="8"/>
      <c r="H6" s="8"/>
      <c r="I6" s="9">
        <f>YEAR(Now)</f>
        <v>2016</v>
      </c>
      <c r="J6" s="9">
        <f t="shared" ref="J6:AQ6" si="1">IFERROR(IF(I6+1&gt;End,"",I6+1),"")</f>
        <v>2017</v>
      </c>
      <c r="K6" s="9">
        <f t="shared" si="1"/>
        <v>2018</v>
      </c>
      <c r="L6" s="9">
        <f t="shared" si="1"/>
        <v>2019</v>
      </c>
      <c r="M6" s="9">
        <f t="shared" si="1"/>
        <v>2020</v>
      </c>
      <c r="N6" s="9">
        <f t="shared" si="1"/>
        <v>2021</v>
      </c>
      <c r="O6" s="9">
        <f t="shared" si="1"/>
        <v>2022</v>
      </c>
      <c r="P6" s="9">
        <f t="shared" si="1"/>
        <v>2023</v>
      </c>
      <c r="Q6" s="9">
        <f t="shared" si="1"/>
        <v>2024</v>
      </c>
      <c r="R6" s="9">
        <f t="shared" si="1"/>
        <v>2025</v>
      </c>
      <c r="S6" s="9">
        <f t="shared" si="1"/>
        <v>2026</v>
      </c>
      <c r="T6" s="9">
        <f t="shared" si="1"/>
        <v>2027</v>
      </c>
      <c r="U6" s="9">
        <f t="shared" si="1"/>
        <v>2028</v>
      </c>
      <c r="V6" s="9">
        <f t="shared" si="1"/>
        <v>2029</v>
      </c>
      <c r="W6" s="9">
        <f t="shared" si="1"/>
        <v>2030</v>
      </c>
      <c r="X6" s="9">
        <f t="shared" si="1"/>
        <v>2031</v>
      </c>
      <c r="Y6" s="9">
        <f t="shared" si="1"/>
        <v>2032</v>
      </c>
      <c r="Z6" s="9">
        <f t="shared" si="1"/>
        <v>2033</v>
      </c>
      <c r="AA6" s="9">
        <f t="shared" si="1"/>
        <v>2034</v>
      </c>
      <c r="AB6" s="9">
        <f t="shared" si="1"/>
        <v>2035</v>
      </c>
      <c r="AC6" s="9">
        <f t="shared" si="1"/>
        <v>2036</v>
      </c>
      <c r="AD6" s="9">
        <f t="shared" si="1"/>
        <v>2037</v>
      </c>
      <c r="AE6" s="9">
        <f t="shared" si="1"/>
        <v>2038</v>
      </c>
      <c r="AF6" s="9">
        <f t="shared" si="1"/>
        <v>2039</v>
      </c>
      <c r="AG6" s="9">
        <f t="shared" si="1"/>
        <v>2040</v>
      </c>
      <c r="AH6" s="9">
        <f t="shared" si="1"/>
        <v>2041</v>
      </c>
      <c r="AI6" s="9">
        <f t="shared" si="1"/>
        <v>2042</v>
      </c>
      <c r="AJ6" s="9">
        <f t="shared" si="1"/>
        <v>2043</v>
      </c>
      <c r="AK6" s="9">
        <f t="shared" si="1"/>
        <v>2044</v>
      </c>
      <c r="AL6" s="9">
        <f t="shared" si="1"/>
        <v>2045</v>
      </c>
      <c r="AM6" s="9">
        <f t="shared" si="1"/>
        <v>2046</v>
      </c>
      <c r="AN6" s="9">
        <f t="shared" si="1"/>
        <v>2047</v>
      </c>
      <c r="AO6" s="9">
        <f t="shared" si="1"/>
        <v>2048</v>
      </c>
      <c r="AP6" s="9">
        <f t="shared" si="1"/>
        <v>2049</v>
      </c>
      <c r="AQ6" s="9">
        <f t="shared" si="1"/>
        <v>2050</v>
      </c>
    </row>
    <row r="7" spans="1:118">
      <c r="B7" s="49"/>
      <c r="C7" s="50"/>
      <c r="D7" s="50"/>
      <c r="E7" s="49"/>
      <c r="F7" s="49"/>
      <c r="G7" s="50"/>
      <c r="H7" s="50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</row>
    <row r="8" spans="1:118">
      <c r="B8" s="128" t="s">
        <v>154</v>
      </c>
      <c r="C8" s="50"/>
      <c r="D8" s="50"/>
      <c r="E8" s="49"/>
      <c r="F8" s="49"/>
      <c r="G8" s="50"/>
      <c r="H8" s="50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</row>
    <row r="9" spans="1:118">
      <c r="B9" s="129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</row>
    <row r="10" spans="1:118">
      <c r="B10" s="39" t="str">
        <f>Model!B24</f>
        <v>Total Toll Revenues</v>
      </c>
      <c r="E10" s="3" t="str">
        <f>Currency&amp;"mm"</f>
        <v>CADmm</v>
      </c>
      <c r="F10" s="3" t="s">
        <v>57</v>
      </c>
      <c r="I10" s="70">
        <f>Model!I24</f>
        <v>0</v>
      </c>
      <c r="J10" s="70">
        <f>Model!J24</f>
        <v>0</v>
      </c>
      <c r="K10" s="70">
        <f>Model!K24</f>
        <v>0</v>
      </c>
      <c r="L10" s="70">
        <f>Model!L24</f>
        <v>0</v>
      </c>
      <c r="M10" s="70">
        <f>Model!M24</f>
        <v>912.5</v>
      </c>
      <c r="N10" s="70">
        <f>Model!N24</f>
        <v>912.5</v>
      </c>
      <c r="O10" s="70">
        <f>Model!O24</f>
        <v>912.5</v>
      </c>
      <c r="P10" s="70">
        <f>Model!P24</f>
        <v>912.50000000000011</v>
      </c>
      <c r="Q10" s="70">
        <f>Model!Q24</f>
        <v>912.5</v>
      </c>
      <c r="R10" s="70">
        <f>Model!R24</f>
        <v>912.50000000000023</v>
      </c>
      <c r="S10" s="70">
        <f>Model!S24</f>
        <v>912.5</v>
      </c>
      <c r="T10" s="70">
        <f>Model!T24</f>
        <v>912.50000000000034</v>
      </c>
      <c r="U10" s="70">
        <f>Model!U24</f>
        <v>912.50000000000045</v>
      </c>
      <c r="V10" s="70">
        <f>Model!V24</f>
        <v>912.50000000000045</v>
      </c>
      <c r="W10" s="70">
        <f>Model!W24</f>
        <v>912.50000000000023</v>
      </c>
      <c r="X10" s="70">
        <f>Model!X24</f>
        <v>912.50000000000045</v>
      </c>
      <c r="Y10" s="70">
        <f>Model!Y24</f>
        <v>912.50000000000045</v>
      </c>
      <c r="Z10" s="70">
        <f>Model!Z24</f>
        <v>912.50000000000045</v>
      </c>
      <c r="AA10" s="70">
        <f>Model!AA24</f>
        <v>912.50000000000045</v>
      </c>
      <c r="AB10" s="70">
        <f>Model!AB24</f>
        <v>912.50000000000045</v>
      </c>
      <c r="AC10" s="70">
        <f>Model!AC24</f>
        <v>912.50000000000045</v>
      </c>
      <c r="AD10" s="70">
        <f>Model!AD24</f>
        <v>912.50000000000045</v>
      </c>
      <c r="AE10" s="70">
        <f>Model!AE24</f>
        <v>912.50000000000045</v>
      </c>
      <c r="AF10" s="70">
        <f>Model!AF24</f>
        <v>912.50000000000045</v>
      </c>
      <c r="AG10" s="70">
        <f>Model!AG24</f>
        <v>912.50000000000045</v>
      </c>
      <c r="AH10" s="70">
        <f>Model!AH24</f>
        <v>912.50000000000045</v>
      </c>
      <c r="AI10" s="70">
        <f>Model!AI24</f>
        <v>912.50000000000034</v>
      </c>
      <c r="AJ10" s="70">
        <f>Model!AJ24</f>
        <v>912.50000000000068</v>
      </c>
      <c r="AK10" s="70">
        <f>Model!AK24</f>
        <v>912.50000000000057</v>
      </c>
      <c r="AL10" s="70">
        <f>Model!AL24</f>
        <v>912.50000000000068</v>
      </c>
      <c r="AM10" s="70">
        <f>Model!AM24</f>
        <v>912.50000000000057</v>
      </c>
      <c r="AN10" s="70">
        <f>Model!AN24</f>
        <v>912.50000000000091</v>
      </c>
      <c r="AO10" s="70">
        <f>Model!AO24</f>
        <v>912.50000000000068</v>
      </c>
      <c r="AP10" s="70">
        <f>Model!AP24</f>
        <v>912.50000000000068</v>
      </c>
      <c r="AQ10" s="70">
        <f>Model!AQ24</f>
        <v>912.50000000000068</v>
      </c>
    </row>
    <row r="11" spans="1:118">
      <c r="B11" s="121" t="str">
        <f>Model!B39</f>
        <v>Total Other Revenues</v>
      </c>
      <c r="C11" s="118"/>
      <c r="D11" s="118"/>
      <c r="E11" s="118" t="str">
        <f>Currency&amp;"mm"</f>
        <v>CADmm</v>
      </c>
      <c r="F11" s="118" t="s">
        <v>57</v>
      </c>
      <c r="G11" s="118"/>
      <c r="H11" s="118"/>
      <c r="I11" s="122">
        <f>Model!I39</f>
        <v>0</v>
      </c>
      <c r="J11" s="122">
        <f>Model!J39</f>
        <v>0</v>
      </c>
      <c r="K11" s="122">
        <f>Model!K39</f>
        <v>0</v>
      </c>
      <c r="L11" s="122">
        <f>Model!L39</f>
        <v>0</v>
      </c>
      <c r="M11" s="122">
        <f>Model!M39</f>
        <v>60</v>
      </c>
      <c r="N11" s="122">
        <f>Model!N39</f>
        <v>61.2</v>
      </c>
      <c r="O11" s="122">
        <f>Model!O39</f>
        <v>62.424000000000007</v>
      </c>
      <c r="P11" s="122">
        <f>Model!P39</f>
        <v>63.672480000000007</v>
      </c>
      <c r="Q11" s="122">
        <f>Model!Q39</f>
        <v>64.945929599999999</v>
      </c>
      <c r="R11" s="122">
        <f>Model!R39</f>
        <v>66.244848192000006</v>
      </c>
      <c r="S11" s="122">
        <f>Model!S39</f>
        <v>67.569745155840025</v>
      </c>
      <c r="T11" s="122">
        <f>Model!T39</f>
        <v>68.921140058956809</v>
      </c>
      <c r="U11" s="122">
        <f>Model!U39</f>
        <v>70.29956286013595</v>
      </c>
      <c r="V11" s="122">
        <f>Model!V39</f>
        <v>71.705554117338664</v>
      </c>
      <c r="W11" s="122">
        <f>Model!W39</f>
        <v>73.139665199685439</v>
      </c>
      <c r="X11" s="122">
        <f>Model!X39</f>
        <v>74.602458503679145</v>
      </c>
      <c r="Y11" s="122">
        <f>Model!Y39</f>
        <v>76.09450767375273</v>
      </c>
      <c r="Z11" s="122">
        <f>Model!Z39</f>
        <v>77.616397827227786</v>
      </c>
      <c r="AA11" s="122">
        <f>Model!AA39</f>
        <v>79.168725783772345</v>
      </c>
      <c r="AB11" s="122">
        <f>Model!AB39</f>
        <v>80.75210029944779</v>
      </c>
      <c r="AC11" s="122">
        <f>Model!AC39</f>
        <v>82.367142305436744</v>
      </c>
      <c r="AD11" s="122">
        <f>Model!AD39</f>
        <v>84.0144851515455</v>
      </c>
      <c r="AE11" s="122">
        <f>Model!AE39</f>
        <v>85.694774854576394</v>
      </c>
      <c r="AF11" s="122">
        <f>Model!AF39</f>
        <v>87.408670351667922</v>
      </c>
      <c r="AG11" s="122">
        <f>Model!AG39</f>
        <v>89.156843758701285</v>
      </c>
      <c r="AH11" s="122">
        <f>Model!AH39</f>
        <v>90.939980633875308</v>
      </c>
      <c r="AI11" s="122">
        <f>Model!AI39</f>
        <v>92.758780246552817</v>
      </c>
      <c r="AJ11" s="122">
        <f>Model!AJ39</f>
        <v>94.61395585148388</v>
      </c>
      <c r="AK11" s="122">
        <f>Model!AK39</f>
        <v>96.506234968513553</v>
      </c>
      <c r="AL11" s="122">
        <f>Model!AL39</f>
        <v>98.436359667883835</v>
      </c>
      <c r="AM11" s="122">
        <f>Model!AM39</f>
        <v>100.4050868612415</v>
      </c>
      <c r="AN11" s="122">
        <f>Model!AN39</f>
        <v>102.41318859846635</v>
      </c>
      <c r="AO11" s="122">
        <f>Model!AO39</f>
        <v>104.46145237043567</v>
      </c>
      <c r="AP11" s="122">
        <f>Model!AP39</f>
        <v>106.5506814178444</v>
      </c>
      <c r="AQ11" s="122">
        <f>Model!AQ39</f>
        <v>108.68169504620128</v>
      </c>
    </row>
    <row r="12" spans="1:118">
      <c r="B12" s="129" t="s">
        <v>141</v>
      </c>
      <c r="E12" s="124" t="str">
        <f>Currency&amp;"mm"</f>
        <v>CADmm</v>
      </c>
      <c r="F12" s="124" t="s">
        <v>57</v>
      </c>
      <c r="I12" s="70">
        <f>SUM(I10:I11)</f>
        <v>0</v>
      </c>
      <c r="J12" s="70">
        <f t="shared" ref="J12:AQ12" si="2">SUM(J10:J11)</f>
        <v>0</v>
      </c>
      <c r="K12" s="70">
        <f t="shared" si="2"/>
        <v>0</v>
      </c>
      <c r="L12" s="70">
        <f t="shared" si="2"/>
        <v>0</v>
      </c>
      <c r="M12" s="70">
        <f t="shared" si="2"/>
        <v>972.5</v>
      </c>
      <c r="N12" s="70">
        <f t="shared" si="2"/>
        <v>973.7</v>
      </c>
      <c r="O12" s="70">
        <f t="shared" si="2"/>
        <v>974.92399999999998</v>
      </c>
      <c r="P12" s="70">
        <f t="shared" si="2"/>
        <v>976.17248000000018</v>
      </c>
      <c r="Q12" s="70">
        <f t="shared" si="2"/>
        <v>977.4459296</v>
      </c>
      <c r="R12" s="70">
        <f t="shared" si="2"/>
        <v>978.74484819200029</v>
      </c>
      <c r="S12" s="70">
        <f t="shared" si="2"/>
        <v>980.06974515584</v>
      </c>
      <c r="T12" s="70">
        <f t="shared" si="2"/>
        <v>981.42114005895712</v>
      </c>
      <c r="U12" s="70">
        <f t="shared" si="2"/>
        <v>982.79956286013635</v>
      </c>
      <c r="V12" s="70">
        <f t="shared" si="2"/>
        <v>984.20555411733915</v>
      </c>
      <c r="W12" s="70">
        <f t="shared" si="2"/>
        <v>985.63966519968562</v>
      </c>
      <c r="X12" s="70">
        <f t="shared" si="2"/>
        <v>987.1024585036796</v>
      </c>
      <c r="Y12" s="70">
        <f t="shared" si="2"/>
        <v>988.59450767375324</v>
      </c>
      <c r="Z12" s="70">
        <f t="shared" si="2"/>
        <v>990.11639782722818</v>
      </c>
      <c r="AA12" s="70">
        <f t="shared" si="2"/>
        <v>991.66872578377274</v>
      </c>
      <c r="AB12" s="70">
        <f t="shared" si="2"/>
        <v>993.25210029944822</v>
      </c>
      <c r="AC12" s="70">
        <f t="shared" si="2"/>
        <v>994.86714230543726</v>
      </c>
      <c r="AD12" s="70">
        <f t="shared" si="2"/>
        <v>996.51448515154595</v>
      </c>
      <c r="AE12" s="70">
        <f t="shared" si="2"/>
        <v>998.19477485457685</v>
      </c>
      <c r="AF12" s="70">
        <f t="shared" si="2"/>
        <v>999.90867035166843</v>
      </c>
      <c r="AG12" s="70">
        <f t="shared" si="2"/>
        <v>1001.6568437587017</v>
      </c>
      <c r="AH12" s="70">
        <f t="shared" si="2"/>
        <v>1003.4399806338757</v>
      </c>
      <c r="AI12" s="70">
        <f t="shared" si="2"/>
        <v>1005.2587802465532</v>
      </c>
      <c r="AJ12" s="70">
        <f t="shared" si="2"/>
        <v>1007.1139558514845</v>
      </c>
      <c r="AK12" s="70">
        <f t="shared" si="2"/>
        <v>1009.0062349685141</v>
      </c>
      <c r="AL12" s="70">
        <f t="shared" si="2"/>
        <v>1010.9363596678845</v>
      </c>
      <c r="AM12" s="70">
        <f t="shared" si="2"/>
        <v>1012.9050868612421</v>
      </c>
      <c r="AN12" s="70">
        <f t="shared" si="2"/>
        <v>1014.9131885984673</v>
      </c>
      <c r="AO12" s="70">
        <f t="shared" si="2"/>
        <v>1016.9614523704363</v>
      </c>
      <c r="AP12" s="70">
        <f t="shared" si="2"/>
        <v>1019.0506814178451</v>
      </c>
      <c r="AQ12" s="70">
        <f t="shared" si="2"/>
        <v>1021.181695046202</v>
      </c>
    </row>
    <row r="13" spans="1:118">
      <c r="B13" s="39"/>
    </row>
    <row r="14" spans="1:118">
      <c r="B14" s="39" t="str">
        <f>Model!B47</f>
        <v>Total Fixed Operating Costs</v>
      </c>
      <c r="E14" s="3" t="str">
        <f>Currency&amp;"mm"</f>
        <v>CADmm</v>
      </c>
      <c r="F14" s="3" t="s">
        <v>57</v>
      </c>
      <c r="I14" s="70">
        <f>-Model!I47</f>
        <v>-20</v>
      </c>
      <c r="J14" s="70">
        <f>-Model!J47</f>
        <v>-20.399999999999999</v>
      </c>
      <c r="K14" s="70">
        <f>-Model!K47</f>
        <v>-20.808</v>
      </c>
      <c r="L14" s="70">
        <f>-Model!L47</f>
        <v>-21.224159999999998</v>
      </c>
      <c r="M14" s="70">
        <f>-Model!M47</f>
        <v>-91.648643199999995</v>
      </c>
      <c r="N14" s="70">
        <f>-Model!N47</f>
        <v>-93.481616064000008</v>
      </c>
      <c r="O14" s="70">
        <f>-Model!O47</f>
        <v>-95.351248385280002</v>
      </c>
      <c r="P14" s="70">
        <f>-Model!P47</f>
        <v>-97.258273352985597</v>
      </c>
      <c r="Q14" s="70">
        <f>-Model!Q47</f>
        <v>-99.203438820045307</v>
      </c>
      <c r="R14" s="70">
        <f>-Model!R47</f>
        <v>-101.18750759644622</v>
      </c>
      <c r="S14" s="70">
        <f>-Model!S47</f>
        <v>-103.21125774837515</v>
      </c>
      <c r="T14" s="70">
        <f>-Model!T47</f>
        <v>-105.27548290334263</v>
      </c>
      <c r="U14" s="70">
        <f>-Model!U47</f>
        <v>-107.38099256140949</v>
      </c>
      <c r="V14" s="70">
        <f>-Model!V47</f>
        <v>-109.52861241263767</v>
      </c>
      <c r="W14" s="70">
        <f>-Model!W47</f>
        <v>-111.71918466089045</v>
      </c>
      <c r="X14" s="70">
        <f>-Model!X47</f>
        <v>-113.95356835410823</v>
      </c>
      <c r="Y14" s="70">
        <f>-Model!Y47</f>
        <v>-116.23263972119042</v>
      </c>
      <c r="Z14" s="70">
        <f>-Model!Z47</f>
        <v>-118.55729251561422</v>
      </c>
      <c r="AA14" s="70">
        <f>-Model!AA47</f>
        <v>-120.92843836592651</v>
      </c>
      <c r="AB14" s="70">
        <f>-Model!AB47</f>
        <v>-123.347007133245</v>
      </c>
      <c r="AC14" s="70">
        <f>-Model!AC47</f>
        <v>-125.81394727590992</v>
      </c>
      <c r="AD14" s="70">
        <f>-Model!AD47</f>
        <v>-128.33022622142812</v>
      </c>
      <c r="AE14" s="70">
        <f>-Model!AE47</f>
        <v>-130.89683074585668</v>
      </c>
      <c r="AF14" s="70">
        <f>-Model!AF47</f>
        <v>-133.51476736077382</v>
      </c>
      <c r="AG14" s="70">
        <f>-Model!AG47</f>
        <v>-136.18506270798929</v>
      </c>
      <c r="AH14" s="70">
        <f>-Model!AH47</f>
        <v>-138.90876396214907</v>
      </c>
      <c r="AI14" s="70">
        <f>-Model!AI47</f>
        <v>-141.68693924139208</v>
      </c>
      <c r="AJ14" s="70">
        <f>-Model!AJ47</f>
        <v>-144.52067802621988</v>
      </c>
      <c r="AK14" s="70">
        <f>-Model!AK47</f>
        <v>-147.41109158674431</v>
      </c>
      <c r="AL14" s="70">
        <f>-Model!AL47</f>
        <v>-150.35931341847919</v>
      </c>
      <c r="AM14" s="70">
        <f>-Model!AM47</f>
        <v>-153.36649968684878</v>
      </c>
      <c r="AN14" s="70">
        <f>-Model!AN47</f>
        <v>-156.43382968058572</v>
      </c>
      <c r="AO14" s="70">
        <f>-Model!AO47</f>
        <v>-159.56250627419746</v>
      </c>
      <c r="AP14" s="70">
        <f>-Model!AP47</f>
        <v>-162.75375639968138</v>
      </c>
      <c r="AQ14" s="70">
        <f>-Model!AQ47</f>
        <v>-166.00883152767503</v>
      </c>
    </row>
    <row r="15" spans="1:118">
      <c r="B15" s="121" t="str">
        <f>Model!B52</f>
        <v>Total Variable Operating Costs</v>
      </c>
      <c r="C15" s="118"/>
      <c r="D15" s="118"/>
      <c r="E15" s="118" t="str">
        <f>Currency&amp;"mm"</f>
        <v>CADmm</v>
      </c>
      <c r="F15" s="118" t="s">
        <v>57</v>
      </c>
      <c r="G15" s="118"/>
      <c r="H15" s="118"/>
      <c r="I15" s="122">
        <f>-Model!I52</f>
        <v>0</v>
      </c>
      <c r="J15" s="122">
        <f>-Model!J52</f>
        <v>0</v>
      </c>
      <c r="K15" s="122">
        <f>-Model!K52</f>
        <v>0</v>
      </c>
      <c r="L15" s="122">
        <f>-Model!L52</f>
        <v>0</v>
      </c>
      <c r="M15" s="122">
        <f>-Model!M52</f>
        <v>0</v>
      </c>
      <c r="N15" s="122">
        <f>-Model!N52</f>
        <v>0</v>
      </c>
      <c r="O15" s="122">
        <f>-Model!O52</f>
        <v>0</v>
      </c>
      <c r="P15" s="122">
        <f>-Model!P52</f>
        <v>0</v>
      </c>
      <c r="Q15" s="122">
        <f>-Model!Q52</f>
        <v>0</v>
      </c>
      <c r="R15" s="122">
        <f>-Model!R52</f>
        <v>0</v>
      </c>
      <c r="S15" s="122">
        <f>-Model!S52</f>
        <v>0</v>
      </c>
      <c r="T15" s="122">
        <f>-Model!T52</f>
        <v>0</v>
      </c>
      <c r="U15" s="122">
        <f>-Model!U52</f>
        <v>0</v>
      </c>
      <c r="V15" s="122">
        <f>-Model!V52</f>
        <v>0</v>
      </c>
      <c r="W15" s="122">
        <f>-Model!W52</f>
        <v>0</v>
      </c>
      <c r="X15" s="122">
        <f>-Model!X52</f>
        <v>0</v>
      </c>
      <c r="Y15" s="122">
        <f>-Model!Y52</f>
        <v>0</v>
      </c>
      <c r="Z15" s="122">
        <f>-Model!Z52</f>
        <v>0</v>
      </c>
      <c r="AA15" s="122">
        <f>-Model!AA52</f>
        <v>0</v>
      </c>
      <c r="AB15" s="122">
        <f>-Model!AB52</f>
        <v>0</v>
      </c>
      <c r="AC15" s="122">
        <f>-Model!AC52</f>
        <v>0</v>
      </c>
      <c r="AD15" s="122">
        <f>-Model!AD52</f>
        <v>0</v>
      </c>
      <c r="AE15" s="122">
        <f>-Model!AE52</f>
        <v>0</v>
      </c>
      <c r="AF15" s="122">
        <f>-Model!AF52</f>
        <v>0</v>
      </c>
      <c r="AG15" s="122">
        <f>-Model!AG52</f>
        <v>0</v>
      </c>
      <c r="AH15" s="122">
        <f>-Model!AH52</f>
        <v>0</v>
      </c>
      <c r="AI15" s="122">
        <f>-Model!AI52</f>
        <v>0</v>
      </c>
      <c r="AJ15" s="122">
        <f>-Model!AJ52</f>
        <v>0</v>
      </c>
      <c r="AK15" s="122">
        <f>-Model!AK52</f>
        <v>0</v>
      </c>
      <c r="AL15" s="122">
        <f>-Model!AL52</f>
        <v>0</v>
      </c>
      <c r="AM15" s="122">
        <f>-Model!AM52</f>
        <v>-2.1988714022611893</v>
      </c>
      <c r="AN15" s="122">
        <f>-Model!AN52</f>
        <v>-2.2428488303064134</v>
      </c>
      <c r="AO15" s="122">
        <f>-Model!AO52</f>
        <v>-2.2877058069125416</v>
      </c>
      <c r="AP15" s="122">
        <f>-Model!AP52</f>
        <v>-2.3334599230507922</v>
      </c>
      <c r="AQ15" s="122">
        <f>-Model!AQ52</f>
        <v>-2.3801291215118083</v>
      </c>
    </row>
    <row r="16" spans="1:118">
      <c r="B16" s="129" t="s">
        <v>142</v>
      </c>
      <c r="C16" s="11"/>
      <c r="D16" s="11"/>
      <c r="E16" s="124" t="str">
        <f>Currency&amp;"mm"</f>
        <v>CADmm</v>
      </c>
      <c r="F16" s="124" t="s">
        <v>57</v>
      </c>
      <c r="G16" s="11"/>
      <c r="H16" s="11"/>
      <c r="I16" s="123">
        <f>SUM(I14:I15)</f>
        <v>-20</v>
      </c>
      <c r="J16" s="123">
        <f t="shared" ref="J16:AQ16" si="3">SUM(J14:J15)</f>
        <v>-20.399999999999999</v>
      </c>
      <c r="K16" s="123">
        <f t="shared" si="3"/>
        <v>-20.808</v>
      </c>
      <c r="L16" s="123">
        <f t="shared" si="3"/>
        <v>-21.224159999999998</v>
      </c>
      <c r="M16" s="123">
        <f t="shared" si="3"/>
        <v>-91.648643199999995</v>
      </c>
      <c r="N16" s="123">
        <f t="shared" si="3"/>
        <v>-93.481616064000008</v>
      </c>
      <c r="O16" s="123">
        <f t="shared" si="3"/>
        <v>-95.351248385280002</v>
      </c>
      <c r="P16" s="123">
        <f t="shared" si="3"/>
        <v>-97.258273352985597</v>
      </c>
      <c r="Q16" s="123">
        <f t="shared" si="3"/>
        <v>-99.203438820045307</v>
      </c>
      <c r="R16" s="123">
        <f t="shared" si="3"/>
        <v>-101.18750759644622</v>
      </c>
      <c r="S16" s="123">
        <f t="shared" si="3"/>
        <v>-103.21125774837515</v>
      </c>
      <c r="T16" s="123">
        <f t="shared" si="3"/>
        <v>-105.27548290334263</v>
      </c>
      <c r="U16" s="123">
        <f t="shared" si="3"/>
        <v>-107.38099256140949</v>
      </c>
      <c r="V16" s="123">
        <f t="shared" si="3"/>
        <v>-109.52861241263767</v>
      </c>
      <c r="W16" s="123">
        <f t="shared" si="3"/>
        <v>-111.71918466089045</v>
      </c>
      <c r="X16" s="123">
        <f t="shared" si="3"/>
        <v>-113.95356835410823</v>
      </c>
      <c r="Y16" s="123">
        <f t="shared" si="3"/>
        <v>-116.23263972119042</v>
      </c>
      <c r="Z16" s="123">
        <f t="shared" si="3"/>
        <v>-118.55729251561422</v>
      </c>
      <c r="AA16" s="123">
        <f t="shared" si="3"/>
        <v>-120.92843836592651</v>
      </c>
      <c r="AB16" s="123">
        <f t="shared" si="3"/>
        <v>-123.347007133245</v>
      </c>
      <c r="AC16" s="123">
        <f t="shared" si="3"/>
        <v>-125.81394727590992</v>
      </c>
      <c r="AD16" s="123">
        <f t="shared" si="3"/>
        <v>-128.33022622142812</v>
      </c>
      <c r="AE16" s="123">
        <f t="shared" si="3"/>
        <v>-130.89683074585668</v>
      </c>
      <c r="AF16" s="123">
        <f t="shared" si="3"/>
        <v>-133.51476736077382</v>
      </c>
      <c r="AG16" s="123">
        <f t="shared" si="3"/>
        <v>-136.18506270798929</v>
      </c>
      <c r="AH16" s="123">
        <f t="shared" si="3"/>
        <v>-138.90876396214907</v>
      </c>
      <c r="AI16" s="123">
        <f t="shared" si="3"/>
        <v>-141.68693924139208</v>
      </c>
      <c r="AJ16" s="123">
        <f t="shared" si="3"/>
        <v>-144.52067802621988</v>
      </c>
      <c r="AK16" s="123">
        <f t="shared" si="3"/>
        <v>-147.41109158674431</v>
      </c>
      <c r="AL16" s="123">
        <f t="shared" si="3"/>
        <v>-150.35931341847919</v>
      </c>
      <c r="AM16" s="123">
        <f t="shared" si="3"/>
        <v>-155.56537108910996</v>
      </c>
      <c r="AN16" s="123">
        <f t="shared" si="3"/>
        <v>-158.67667851089212</v>
      </c>
      <c r="AO16" s="123">
        <f t="shared" si="3"/>
        <v>-161.85021208111002</v>
      </c>
      <c r="AP16" s="123">
        <f t="shared" si="3"/>
        <v>-165.08721632273216</v>
      </c>
      <c r="AQ16" s="123">
        <f t="shared" si="3"/>
        <v>-168.38896064918683</v>
      </c>
    </row>
    <row r="17" spans="2:43">
      <c r="B17" s="121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</row>
    <row r="18" spans="2:43">
      <c r="B18" s="129" t="s">
        <v>143</v>
      </c>
      <c r="C18" s="11"/>
      <c r="D18" s="11"/>
      <c r="E18" s="124" t="str">
        <f>Currency&amp;"mm"</f>
        <v>CADmm</v>
      </c>
      <c r="F18" s="124" t="s">
        <v>57</v>
      </c>
      <c r="G18" s="11"/>
      <c r="H18" s="11"/>
      <c r="I18" s="123">
        <f t="shared" ref="I18:AQ18" si="4">SUM(I12,I16)</f>
        <v>-20</v>
      </c>
      <c r="J18" s="123">
        <f t="shared" si="4"/>
        <v>-20.399999999999999</v>
      </c>
      <c r="K18" s="123">
        <f t="shared" si="4"/>
        <v>-20.808</v>
      </c>
      <c r="L18" s="123">
        <f t="shared" si="4"/>
        <v>-21.224159999999998</v>
      </c>
      <c r="M18" s="123">
        <f t="shared" si="4"/>
        <v>880.85135679999996</v>
      </c>
      <c r="N18" s="123">
        <f t="shared" si="4"/>
        <v>880.21838393600001</v>
      </c>
      <c r="O18" s="123">
        <f t="shared" si="4"/>
        <v>879.57275161472</v>
      </c>
      <c r="P18" s="123">
        <f t="shared" si="4"/>
        <v>878.91420664701457</v>
      </c>
      <c r="Q18" s="123">
        <f t="shared" si="4"/>
        <v>878.24249077995466</v>
      </c>
      <c r="R18" s="123">
        <f t="shared" si="4"/>
        <v>877.55734059555402</v>
      </c>
      <c r="S18" s="123">
        <f t="shared" si="4"/>
        <v>876.85848740746485</v>
      </c>
      <c r="T18" s="123">
        <f t="shared" si="4"/>
        <v>876.14565715561446</v>
      </c>
      <c r="U18" s="123">
        <f t="shared" si="4"/>
        <v>875.41857029872688</v>
      </c>
      <c r="V18" s="123">
        <f t="shared" si="4"/>
        <v>874.67694170470145</v>
      </c>
      <c r="W18" s="123">
        <f t="shared" si="4"/>
        <v>873.92048053879512</v>
      </c>
      <c r="X18" s="123">
        <f t="shared" si="4"/>
        <v>873.14889014957134</v>
      </c>
      <c r="Y18" s="123">
        <f t="shared" si="4"/>
        <v>872.36186795256276</v>
      </c>
      <c r="Z18" s="123">
        <f t="shared" si="4"/>
        <v>871.55910531161396</v>
      </c>
      <c r="AA18" s="123">
        <f t="shared" si="4"/>
        <v>870.74028741784628</v>
      </c>
      <c r="AB18" s="123">
        <f t="shared" si="4"/>
        <v>869.90509316620319</v>
      </c>
      <c r="AC18" s="123">
        <f t="shared" si="4"/>
        <v>869.05319502952739</v>
      </c>
      <c r="AD18" s="123">
        <f t="shared" si="4"/>
        <v>868.18425893011784</v>
      </c>
      <c r="AE18" s="123">
        <f t="shared" si="4"/>
        <v>867.29794410872023</v>
      </c>
      <c r="AF18" s="123">
        <f t="shared" si="4"/>
        <v>866.39390299089462</v>
      </c>
      <c r="AG18" s="123">
        <f t="shared" si="4"/>
        <v>865.47178105071248</v>
      </c>
      <c r="AH18" s="123">
        <f t="shared" si="4"/>
        <v>864.53121667172672</v>
      </c>
      <c r="AI18" s="123">
        <f t="shared" si="4"/>
        <v>863.5718410051611</v>
      </c>
      <c r="AJ18" s="123">
        <f t="shared" si="4"/>
        <v>862.59327782526464</v>
      </c>
      <c r="AK18" s="123">
        <f t="shared" si="4"/>
        <v>861.59514338176984</v>
      </c>
      <c r="AL18" s="123">
        <f t="shared" si="4"/>
        <v>860.57704624940538</v>
      </c>
      <c r="AM18" s="123">
        <f t="shared" si="4"/>
        <v>857.33971577213219</v>
      </c>
      <c r="AN18" s="123">
        <f t="shared" si="4"/>
        <v>856.2365100875752</v>
      </c>
      <c r="AO18" s="123">
        <f t="shared" si="4"/>
        <v>855.11124028932625</v>
      </c>
      <c r="AP18" s="123">
        <f t="shared" si="4"/>
        <v>853.96346509511295</v>
      </c>
      <c r="AQ18" s="123">
        <f t="shared" si="4"/>
        <v>852.79273439701512</v>
      </c>
    </row>
    <row r="19" spans="2:43">
      <c r="B19" s="53" t="s">
        <v>144</v>
      </c>
      <c r="E19" s="3" t="s">
        <v>51</v>
      </c>
      <c r="F19" s="3" t="s">
        <v>57</v>
      </c>
      <c r="I19" s="125" t="str">
        <f t="shared" ref="I19:AQ19" si="5">IFERROR(I18/I12,"n/a")</f>
        <v>n/a</v>
      </c>
      <c r="J19" s="125" t="str">
        <f t="shared" si="5"/>
        <v>n/a</v>
      </c>
      <c r="K19" s="125" t="str">
        <f t="shared" si="5"/>
        <v>n/a</v>
      </c>
      <c r="L19" s="125" t="str">
        <f t="shared" si="5"/>
        <v>n/a</v>
      </c>
      <c r="M19" s="125">
        <f t="shared" si="5"/>
        <v>0.90575974992287911</v>
      </c>
      <c r="N19" s="125">
        <f t="shared" si="5"/>
        <v>0.90399341063571936</v>
      </c>
      <c r="O19" s="125">
        <f t="shared" si="5"/>
        <v>0.90219622413102973</v>
      </c>
      <c r="P19" s="125">
        <f t="shared" si="5"/>
        <v>0.90036773690548455</v>
      </c>
      <c r="Q19" s="125">
        <f t="shared" si="5"/>
        <v>0.89850749200966817</v>
      </c>
      <c r="R19" s="125">
        <f t="shared" si="5"/>
        <v>0.89661502915354674</v>
      </c>
      <c r="S19" s="125">
        <f t="shared" si="5"/>
        <v>0.89468988481838752</v>
      </c>
      <c r="T19" s="125">
        <f t="shared" si="5"/>
        <v>0.89273159237529931</v>
      </c>
      <c r="U19" s="125">
        <f t="shared" si="5"/>
        <v>0.89073968221057198</v>
      </c>
      <c r="V19" s="125">
        <f t="shared" si="5"/>
        <v>0.88871368185798771</v>
      </c>
      <c r="W19" s="125">
        <f t="shared" si="5"/>
        <v>0.8866531161382829</v>
      </c>
      <c r="X19" s="125">
        <f t="shared" si="5"/>
        <v>0.8845575073059313</v>
      </c>
      <c r="Y19" s="125">
        <f t="shared" si="5"/>
        <v>0.88242637520342315</v>
      </c>
      <c r="Z19" s="125">
        <f t="shared" si="5"/>
        <v>0.88025923742321244</v>
      </c>
      <c r="AA19" s="125">
        <f t="shared" si="5"/>
        <v>0.87805560947749983</v>
      </c>
      <c r="AB19" s="125">
        <f t="shared" si="5"/>
        <v>0.87581500497601961</v>
      </c>
      <c r="AC19" s="125">
        <f t="shared" si="5"/>
        <v>0.87353693581199476</v>
      </c>
      <c r="AD19" s="125">
        <f t="shared" si="5"/>
        <v>0.87122091235641985</v>
      </c>
      <c r="AE19" s="125">
        <f t="shared" si="5"/>
        <v>0.8688664436608311</v>
      </c>
      <c r="AF19" s="125">
        <f t="shared" si="5"/>
        <v>0.86647303766871364</v>
      </c>
      <c r="AG19" s="125">
        <f t="shared" si="5"/>
        <v>0.86404020143569638</v>
      </c>
      <c r="AH19" s="125">
        <f t="shared" si="5"/>
        <v>0.86156744135867502</v>
      </c>
      <c r="AI19" s="125">
        <f t="shared" si="5"/>
        <v>0.85905426341400226</v>
      </c>
      <c r="AJ19" s="125">
        <f t="shared" si="5"/>
        <v>0.8565001734048735</v>
      </c>
      <c r="AK19" s="125">
        <f t="shared" si="5"/>
        <v>0.85390467721803098</v>
      </c>
      <c r="AL19" s="125">
        <f t="shared" si="5"/>
        <v>0.85126728108990402</v>
      </c>
      <c r="AM19" s="125">
        <f t="shared" si="5"/>
        <v>0.84641663556930991</v>
      </c>
      <c r="AN19" s="125">
        <f t="shared" si="5"/>
        <v>0.84365492507786322</v>
      </c>
      <c r="AO19" s="125">
        <f t="shared" si="5"/>
        <v>0.84084921635539556</v>
      </c>
      <c r="AP19" s="125">
        <f t="shared" si="5"/>
        <v>0.83799901287241196</v>
      </c>
      <c r="AQ19" s="125">
        <f t="shared" si="5"/>
        <v>0.83510381995089689</v>
      </c>
    </row>
    <row r="20" spans="2:43">
      <c r="B20" s="53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25"/>
      <c r="AD20" s="125"/>
      <c r="AE20" s="125"/>
      <c r="AF20" s="125"/>
      <c r="AG20" s="125"/>
      <c r="AH20" s="125"/>
      <c r="AI20" s="125"/>
      <c r="AJ20" s="125"/>
      <c r="AK20" s="125"/>
      <c r="AL20" s="125"/>
      <c r="AM20" s="125"/>
      <c r="AN20" s="125"/>
      <c r="AO20" s="125"/>
      <c r="AP20" s="125"/>
      <c r="AQ20" s="125"/>
    </row>
    <row r="21" spans="2:43">
      <c r="B21" s="121" t="s">
        <v>155</v>
      </c>
      <c r="C21" s="118"/>
      <c r="D21" s="118"/>
      <c r="E21" s="118" t="str">
        <f>Currency&amp;"mm"</f>
        <v>CADmm</v>
      </c>
      <c r="F21" s="118" t="s">
        <v>57</v>
      </c>
      <c r="G21" s="118"/>
      <c r="H21" s="118"/>
      <c r="I21" s="122">
        <f>-(Model!I61-Model!I67)</f>
        <v>1.6438356164383561</v>
      </c>
      <c r="J21" s="122">
        <f>-(Model!J61-Model!J67)</f>
        <v>3.2876712328766988E-2</v>
      </c>
      <c r="K21" s="122">
        <f>-(Model!K61-Model!K67)</f>
        <v>3.3534246575342763E-2</v>
      </c>
      <c r="L21" s="122">
        <f>-(Model!L61-Model!L67)</f>
        <v>3.420493150684889E-2</v>
      </c>
      <c r="M21" s="122">
        <f>-(Model!M61-Model!M67)</f>
        <v>-74.143193161643836</v>
      </c>
      <c r="N21" s="122">
        <f>-(Model!N61-Model!N67)</f>
        <v>5.2025166904109632E-2</v>
      </c>
      <c r="O21" s="122">
        <f>-(Model!O61-Model!O67)</f>
        <v>5.3065670242190777E-2</v>
      </c>
      <c r="P21" s="122">
        <f>-(Model!P61-Model!P67)</f>
        <v>5.4126983647020843E-2</v>
      </c>
      <c r="Q21" s="122">
        <f>-(Model!Q61-Model!Q67)</f>
        <v>5.5209523319993181E-2</v>
      </c>
      <c r="R21" s="122">
        <f>-(Model!R61-Model!R67)</f>
        <v>5.6313713786350306E-2</v>
      </c>
      <c r="S21" s="122">
        <f>-(Model!S61-Model!S67)</f>
        <v>5.7439988062128577E-2</v>
      </c>
      <c r="T21" s="122">
        <f>-(Model!T61-Model!T67)</f>
        <v>5.8588787823323329E-2</v>
      </c>
      <c r="U21" s="122">
        <f>-(Model!U61-Model!U67)</f>
        <v>5.9760563579796866E-2</v>
      </c>
      <c r="V21" s="122">
        <f>-(Model!V61-Model!V67)</f>
        <v>6.0955774851407796E-2</v>
      </c>
      <c r="W21" s="122">
        <f>-(Model!W61-Model!W67)</f>
        <v>6.2174890348458689E-2</v>
      </c>
      <c r="X21" s="122">
        <f>-(Model!X61-Model!X67)</f>
        <v>6.3418388155389138E-2</v>
      </c>
      <c r="Y21" s="122">
        <f>-(Model!Y61-Model!Y67)</f>
        <v>6.4686755918508254E-2</v>
      </c>
      <c r="Z21" s="122">
        <f>-(Model!Z61-Model!Z67)</f>
        <v>6.598049103689263E-2</v>
      </c>
      <c r="AA21" s="122">
        <f>-(Model!AA61-Model!AA67)</f>
        <v>6.7300100857618617E-2</v>
      </c>
      <c r="AB21" s="122">
        <f>-(Model!AB61-Model!AB67)</f>
        <v>6.8646102874778236E-2</v>
      </c>
      <c r="AC21" s="122">
        <f>-(Model!AC61-Model!AC67)</f>
        <v>7.0019024932248541E-2</v>
      </c>
      <c r="AD21" s="122">
        <f>-(Model!AD61-Model!AD67)</f>
        <v>7.1419405430930283E-2</v>
      </c>
      <c r="AE21" s="122">
        <f>-(Model!AE61-Model!AE67)</f>
        <v>7.2847793539525085E-2</v>
      </c>
      <c r="AF21" s="122">
        <f>-(Model!AF61-Model!AF67)</f>
        <v>7.4304749410309512E-2</v>
      </c>
      <c r="AG21" s="122">
        <f>-(Model!AG61-Model!AG67)</f>
        <v>7.579084439855599E-2</v>
      </c>
      <c r="AH21" s="122">
        <f>-(Model!AH61-Model!AH67)</f>
        <v>7.7306661286488776E-2</v>
      </c>
      <c r="AI21" s="122">
        <f>-(Model!AI61-Model!AI67)</f>
        <v>7.8852794512238589E-2</v>
      </c>
      <c r="AJ21" s="122">
        <f>-(Model!AJ61-Model!AJ67)</f>
        <v>8.0429850402451208E-2</v>
      </c>
      <c r="AK21" s="122">
        <f>-(Model!AK61-Model!AK67)</f>
        <v>8.2038447410527127E-2</v>
      </c>
      <c r="AL21" s="122">
        <f>-(Model!AL61-Model!AL67)</f>
        <v>8.3679216358731878E-2</v>
      </c>
      <c r="AM21" s="122">
        <f>-(Model!AM61-Model!AM67)</f>
        <v>0.26608195703615145</v>
      </c>
      <c r="AN21" s="122">
        <f>-(Model!AN61-Model!AN67)</f>
        <v>9.0674439826601727E-2</v>
      </c>
      <c r="AO21" s="122">
        <f>-(Model!AO61-Model!AO67)</f>
        <v>9.2487928623199878E-2</v>
      </c>
      <c r="AP21" s="122">
        <f>-(Model!AP61-Model!AP67)</f>
        <v>9.4337687195615416E-2</v>
      </c>
      <c r="AQ21" s="122">
        <f>-(Model!AQ61-Model!AQ67)</f>
        <v>9.6224440939529643E-2</v>
      </c>
    </row>
    <row r="22" spans="2:43">
      <c r="B22" s="82" t="s">
        <v>154</v>
      </c>
      <c r="C22" s="48"/>
      <c r="D22" s="48"/>
      <c r="E22" s="136" t="str">
        <f>Currency&amp;"mm"</f>
        <v>CADmm</v>
      </c>
      <c r="F22" s="136" t="s">
        <v>57</v>
      </c>
      <c r="G22" s="48"/>
      <c r="H22" s="48"/>
      <c r="I22" s="140">
        <f>SUM(I18+I21)</f>
        <v>-18.356164383561644</v>
      </c>
      <c r="J22" s="140">
        <f t="shared" ref="J22:AQ22" si="6">SUM(J18+J21)</f>
        <v>-20.36712328767123</v>
      </c>
      <c r="K22" s="140">
        <f t="shared" si="6"/>
        <v>-20.774465753424657</v>
      </c>
      <c r="L22" s="140">
        <f t="shared" si="6"/>
        <v>-21.189955068493148</v>
      </c>
      <c r="M22" s="140">
        <f t="shared" si="6"/>
        <v>806.70816363835615</v>
      </c>
      <c r="N22" s="140">
        <f t="shared" si="6"/>
        <v>880.27040910290407</v>
      </c>
      <c r="O22" s="140">
        <f t="shared" si="6"/>
        <v>879.62581728496218</v>
      </c>
      <c r="P22" s="140">
        <f t="shared" si="6"/>
        <v>878.96833363066162</v>
      </c>
      <c r="Q22" s="140">
        <f t="shared" si="6"/>
        <v>878.29770030327461</v>
      </c>
      <c r="R22" s="140">
        <f t="shared" si="6"/>
        <v>877.6136543093404</v>
      </c>
      <c r="S22" s="140">
        <f t="shared" si="6"/>
        <v>876.91592739552698</v>
      </c>
      <c r="T22" s="140">
        <f t="shared" si="6"/>
        <v>876.20424594343774</v>
      </c>
      <c r="U22" s="140">
        <f t="shared" si="6"/>
        <v>875.47833086230662</v>
      </c>
      <c r="V22" s="140">
        <f t="shared" si="6"/>
        <v>874.73789747955288</v>
      </c>
      <c r="W22" s="140">
        <f t="shared" si="6"/>
        <v>873.98265542914362</v>
      </c>
      <c r="X22" s="140">
        <f t="shared" si="6"/>
        <v>873.2123085377267</v>
      </c>
      <c r="Y22" s="140">
        <f t="shared" si="6"/>
        <v>872.42655470848126</v>
      </c>
      <c r="Z22" s="140">
        <f t="shared" si="6"/>
        <v>871.6250858026508</v>
      </c>
      <c r="AA22" s="140">
        <f t="shared" si="6"/>
        <v>870.80758751870394</v>
      </c>
      <c r="AB22" s="140">
        <f t="shared" si="6"/>
        <v>869.97373926907801</v>
      </c>
      <c r="AC22" s="140">
        <f t="shared" si="6"/>
        <v>869.12321405445959</v>
      </c>
      <c r="AD22" s="140">
        <f t="shared" si="6"/>
        <v>868.25567833554874</v>
      </c>
      <c r="AE22" s="140">
        <f t="shared" si="6"/>
        <v>867.37079190225973</v>
      </c>
      <c r="AF22" s="140">
        <f t="shared" si="6"/>
        <v>866.46820774030493</v>
      </c>
      <c r="AG22" s="140">
        <f t="shared" si="6"/>
        <v>865.54757189511099</v>
      </c>
      <c r="AH22" s="140">
        <f t="shared" si="6"/>
        <v>864.60852333301318</v>
      </c>
      <c r="AI22" s="140">
        <f t="shared" si="6"/>
        <v>863.65069379967338</v>
      </c>
      <c r="AJ22" s="140">
        <f t="shared" si="6"/>
        <v>862.67370767566706</v>
      </c>
      <c r="AK22" s="140">
        <f t="shared" si="6"/>
        <v>861.67718182918043</v>
      </c>
      <c r="AL22" s="140">
        <f t="shared" si="6"/>
        <v>860.66072546576413</v>
      </c>
      <c r="AM22" s="140">
        <f t="shared" si="6"/>
        <v>857.60579772916833</v>
      </c>
      <c r="AN22" s="140">
        <f t="shared" si="6"/>
        <v>856.32718452740176</v>
      </c>
      <c r="AO22" s="140">
        <f t="shared" si="6"/>
        <v>855.20372821794945</v>
      </c>
      <c r="AP22" s="140">
        <f t="shared" si="6"/>
        <v>854.05780278230861</v>
      </c>
      <c r="AQ22" s="140">
        <f t="shared" si="6"/>
        <v>852.88895883795465</v>
      </c>
    </row>
    <row r="23" spans="2:43">
      <c r="B23" s="39"/>
    </row>
    <row r="24" spans="2:43">
      <c r="B24" s="139" t="s">
        <v>167</v>
      </c>
    </row>
    <row r="25" spans="2:43">
      <c r="B25" s="139"/>
    </row>
    <row r="26" spans="2:43">
      <c r="B26" s="39" t="s">
        <v>153</v>
      </c>
      <c r="E26" s="3" t="str">
        <f>Currency&amp;"mm"</f>
        <v>CADmm</v>
      </c>
      <c r="F26" s="3" t="s">
        <v>57</v>
      </c>
      <c r="I26" s="70">
        <f>-Model!I73</f>
        <v>-218.75</v>
      </c>
      <c r="J26" s="70">
        <f>-Model!J73</f>
        <v>-125.00000000000004</v>
      </c>
      <c r="K26" s="70">
        <f>-Model!K73</f>
        <v>-124.99999999999997</v>
      </c>
      <c r="L26" s="70">
        <f>-Model!L73</f>
        <v>-156.25</v>
      </c>
      <c r="M26" s="70">
        <f>-Model!M73</f>
        <v>0</v>
      </c>
      <c r="N26" s="70">
        <f>-Model!N73</f>
        <v>0</v>
      </c>
      <c r="O26" s="70">
        <f>-Model!O73</f>
        <v>0</v>
      </c>
      <c r="P26" s="70">
        <f>-Model!P73</f>
        <v>0</v>
      </c>
      <c r="Q26" s="70">
        <f>-Model!Q73</f>
        <v>0</v>
      </c>
      <c r="R26" s="70">
        <f>-Model!R73</f>
        <v>0</v>
      </c>
      <c r="S26" s="70">
        <f>-Model!S73</f>
        <v>0</v>
      </c>
      <c r="T26" s="70">
        <f>-Model!T73</f>
        <v>0</v>
      </c>
      <c r="U26" s="70">
        <f>-Model!U73</f>
        <v>0</v>
      </c>
      <c r="V26" s="70">
        <f>-Model!V73</f>
        <v>0</v>
      </c>
      <c r="W26" s="70">
        <f>-Model!W73</f>
        <v>0</v>
      </c>
      <c r="X26" s="70">
        <f>-Model!X73</f>
        <v>0</v>
      </c>
      <c r="Y26" s="70">
        <f>-Model!Y73</f>
        <v>0</v>
      </c>
      <c r="Z26" s="70">
        <f>-Model!Z73</f>
        <v>0</v>
      </c>
      <c r="AA26" s="70">
        <f>-Model!AA73</f>
        <v>0</v>
      </c>
      <c r="AB26" s="70">
        <f>-Model!AB73</f>
        <v>0</v>
      </c>
      <c r="AC26" s="70">
        <f>-Model!AC73</f>
        <v>0</v>
      </c>
      <c r="AD26" s="70">
        <f>-Model!AD73</f>
        <v>0</v>
      </c>
      <c r="AE26" s="70">
        <f>-Model!AE73</f>
        <v>0</v>
      </c>
      <c r="AF26" s="70">
        <f>-Model!AF73</f>
        <v>0</v>
      </c>
      <c r="AG26" s="70">
        <f>-Model!AG73</f>
        <v>0</v>
      </c>
      <c r="AH26" s="70">
        <f>-Model!AH73</f>
        <v>0</v>
      </c>
      <c r="AI26" s="70">
        <f>-Model!AI73</f>
        <v>0</v>
      </c>
      <c r="AJ26" s="70">
        <f>-Model!AJ73</f>
        <v>0</v>
      </c>
      <c r="AK26" s="70">
        <f>-Model!AK73</f>
        <v>0</v>
      </c>
      <c r="AL26" s="70">
        <f>-Model!AL73</f>
        <v>0</v>
      </c>
      <c r="AM26" s="70">
        <f>-Model!AM73</f>
        <v>0</v>
      </c>
      <c r="AN26" s="70">
        <f>-Model!AN73</f>
        <v>0</v>
      </c>
      <c r="AO26" s="70">
        <f>-Model!AO73</f>
        <v>0</v>
      </c>
      <c r="AP26" s="70">
        <f>-Model!AP73</f>
        <v>0</v>
      </c>
      <c r="AQ26" s="70">
        <f>-Model!AQ73</f>
        <v>0</v>
      </c>
    </row>
    <row r="27" spans="2:43">
      <c r="B27" s="39" t="s">
        <v>168</v>
      </c>
      <c r="E27" s="3" t="str">
        <f>Currency&amp;"mm"</f>
        <v>CADmm</v>
      </c>
      <c r="F27" s="3" t="s">
        <v>57</v>
      </c>
      <c r="I27" s="70">
        <f>IF('Cash Flow Waterfall'!I6&lt;COD,-('Debt Schedule'!I11),0)</f>
        <v>-4.3685045273572687</v>
      </c>
      <c r="J27" s="70">
        <f>IF('Cash Flow Waterfall'!J6&lt;COD,-('Debt Schedule'!J11),0)</f>
        <v>-7.1235277862805324</v>
      </c>
      <c r="K27" s="70">
        <f>IF('Cash Flow Waterfall'!K6&lt;COD,-('Debt Schedule'!K11),0)</f>
        <v>-9.9786220714497684</v>
      </c>
      <c r="L27" s="70">
        <f>IF('Cash Flow Waterfall'!L6&lt;COD,-('Debt Schedule'!L11),0)</f>
        <v>-13.497821240238666</v>
      </c>
      <c r="M27" s="70">
        <f>IF('Cash Flow Waterfall'!M6&lt;COD,-('Debt Schedule'!M11),0)</f>
        <v>0</v>
      </c>
      <c r="N27" s="70">
        <f>IF('Cash Flow Waterfall'!N6&lt;COD,-('Debt Schedule'!N11),0)</f>
        <v>0</v>
      </c>
      <c r="O27" s="70">
        <f>IF('Cash Flow Waterfall'!O6&lt;COD,-('Debt Schedule'!O11),0)</f>
        <v>0</v>
      </c>
      <c r="P27" s="70">
        <f>IF('Cash Flow Waterfall'!P6&lt;COD,-('Debt Schedule'!P11),0)</f>
        <v>0</v>
      </c>
      <c r="Q27" s="70">
        <f>IF('Cash Flow Waterfall'!Q6&lt;COD,-('Debt Schedule'!Q11),0)</f>
        <v>0</v>
      </c>
      <c r="R27" s="70">
        <f>IF('Cash Flow Waterfall'!R6&lt;COD,-('Debt Schedule'!R11),0)</f>
        <v>0</v>
      </c>
      <c r="S27" s="70">
        <f>IF('Cash Flow Waterfall'!S6&lt;COD,-('Debt Schedule'!S11),0)</f>
        <v>0</v>
      </c>
      <c r="T27" s="70">
        <f>IF('Cash Flow Waterfall'!T6&lt;COD,-('Debt Schedule'!T11),0)</f>
        <v>0</v>
      </c>
      <c r="U27" s="70">
        <f>IF('Cash Flow Waterfall'!U6&lt;COD,-('Debt Schedule'!U11),0)</f>
        <v>0</v>
      </c>
      <c r="V27" s="70">
        <f>IF('Cash Flow Waterfall'!V6&lt;COD,-('Debt Schedule'!V11),0)</f>
        <v>0</v>
      </c>
      <c r="W27" s="70">
        <f>IF('Cash Flow Waterfall'!W6&lt;COD,-('Debt Schedule'!W11),0)</f>
        <v>0</v>
      </c>
      <c r="X27" s="70">
        <f>IF('Cash Flow Waterfall'!X6&lt;COD,-('Debt Schedule'!X11),0)</f>
        <v>0</v>
      </c>
      <c r="Y27" s="70">
        <f>IF('Cash Flow Waterfall'!Y6&lt;COD,-('Debt Schedule'!Y11),0)</f>
        <v>0</v>
      </c>
      <c r="Z27" s="70">
        <f>IF('Cash Flow Waterfall'!Z6&lt;COD,-('Debt Schedule'!Z11),0)</f>
        <v>0</v>
      </c>
      <c r="AA27" s="70">
        <f>IF('Cash Flow Waterfall'!AA6&lt;COD,-('Debt Schedule'!AA11),0)</f>
        <v>0</v>
      </c>
      <c r="AB27" s="70">
        <f>IF('Cash Flow Waterfall'!AB6&lt;COD,-('Debt Schedule'!AB11),0)</f>
        <v>0</v>
      </c>
      <c r="AC27" s="70">
        <f>IF('Cash Flow Waterfall'!AC6&lt;COD,-('Debt Schedule'!AC11),0)</f>
        <v>0</v>
      </c>
      <c r="AD27" s="70">
        <f>IF('Cash Flow Waterfall'!AD6&lt;COD,-('Debt Schedule'!AD11),0)</f>
        <v>0</v>
      </c>
      <c r="AE27" s="70">
        <f>IF('Cash Flow Waterfall'!AE6&lt;COD,-('Debt Schedule'!AE11),0)</f>
        <v>0</v>
      </c>
      <c r="AF27" s="70">
        <f>IF('Cash Flow Waterfall'!AF6&lt;COD,-('Debt Schedule'!AF11),0)</f>
        <v>0</v>
      </c>
      <c r="AG27" s="70">
        <f>IF('Cash Flow Waterfall'!AG6&lt;COD,-('Debt Schedule'!AG11),0)</f>
        <v>0</v>
      </c>
      <c r="AH27" s="70">
        <f>IF('Cash Flow Waterfall'!AH6&lt;COD,-('Debt Schedule'!AH11),0)</f>
        <v>0</v>
      </c>
      <c r="AI27" s="70">
        <f>IF('Cash Flow Waterfall'!AI6&lt;COD,-('Debt Schedule'!AI11),0)</f>
        <v>0</v>
      </c>
      <c r="AJ27" s="70">
        <f>IF('Cash Flow Waterfall'!AJ6&lt;COD,-('Debt Schedule'!AJ11),0)</f>
        <v>0</v>
      </c>
      <c r="AK27" s="70">
        <f>IF('Cash Flow Waterfall'!AK6&lt;COD,-('Debt Schedule'!AK11),0)</f>
        <v>0</v>
      </c>
      <c r="AL27" s="70">
        <f>IF('Cash Flow Waterfall'!AL6&lt;COD,-('Debt Schedule'!AL11),0)</f>
        <v>0</v>
      </c>
      <c r="AM27" s="70">
        <f>IF('Cash Flow Waterfall'!AM6&lt;COD,-('Debt Schedule'!AM11),0)</f>
        <v>0</v>
      </c>
      <c r="AN27" s="70">
        <f>IF('Cash Flow Waterfall'!AN6&lt;COD,-('Debt Schedule'!AN11),0)</f>
        <v>0</v>
      </c>
      <c r="AO27" s="70">
        <f>IF('Cash Flow Waterfall'!AO6&lt;COD,-('Debt Schedule'!AO11),0)</f>
        <v>0</v>
      </c>
      <c r="AP27" s="70">
        <f>IF('Cash Flow Waterfall'!AP6&lt;COD,-('Debt Schedule'!AP11),0)</f>
        <v>0</v>
      </c>
      <c r="AQ27" s="70">
        <f>IF('Cash Flow Waterfall'!AQ6&lt;COD,-('Debt Schedule'!AQ11),0)</f>
        <v>0</v>
      </c>
    </row>
    <row r="28" spans="2:43">
      <c r="B28" s="121" t="s">
        <v>129</v>
      </c>
      <c r="C28" s="118"/>
      <c r="D28" s="118"/>
      <c r="E28" s="118" t="str">
        <f>Currency&amp;"mm"</f>
        <v>CADmm</v>
      </c>
      <c r="F28" s="118" t="s">
        <v>57</v>
      </c>
      <c r="G28" s="118"/>
      <c r="H28" s="118"/>
      <c r="I28" s="135">
        <f>-'Financing Assumptions'!I38</f>
        <v>-4.8045399999999994</v>
      </c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151"/>
      <c r="AN28" s="151"/>
      <c r="AO28" s="151"/>
      <c r="AP28" s="151"/>
      <c r="AQ28" s="151"/>
    </row>
    <row r="29" spans="2:43">
      <c r="B29" s="82" t="s">
        <v>170</v>
      </c>
      <c r="C29" s="48"/>
      <c r="D29" s="48"/>
      <c r="E29" s="136" t="str">
        <f>Currency&amp;"mm"</f>
        <v>CADmm</v>
      </c>
      <c r="F29" s="136" t="s">
        <v>57</v>
      </c>
      <c r="G29" s="48"/>
      <c r="H29" s="48"/>
      <c r="I29" s="103">
        <f>SUM(I22:I28)</f>
        <v>-246.2792089109189</v>
      </c>
      <c r="J29" s="103">
        <f t="shared" ref="J29:AQ29" si="7">SUM(J22:J28)</f>
        <v>-152.4906510739518</v>
      </c>
      <c r="K29" s="103">
        <f t="shared" si="7"/>
        <v>-155.7530878248744</v>
      </c>
      <c r="L29" s="103">
        <f t="shared" si="7"/>
        <v>-190.9377763087318</v>
      </c>
      <c r="M29" s="103">
        <f t="shared" si="7"/>
        <v>806.70816363835615</v>
      </c>
      <c r="N29" s="103">
        <f t="shared" si="7"/>
        <v>880.27040910290407</v>
      </c>
      <c r="O29" s="103">
        <f t="shared" si="7"/>
        <v>879.62581728496218</v>
      </c>
      <c r="P29" s="103">
        <f t="shared" si="7"/>
        <v>878.96833363066162</v>
      </c>
      <c r="Q29" s="103">
        <f t="shared" si="7"/>
        <v>878.29770030327461</v>
      </c>
      <c r="R29" s="103">
        <f t="shared" si="7"/>
        <v>877.6136543093404</v>
      </c>
      <c r="S29" s="103">
        <f t="shared" si="7"/>
        <v>876.91592739552698</v>
      </c>
      <c r="T29" s="103">
        <f t="shared" si="7"/>
        <v>876.20424594343774</v>
      </c>
      <c r="U29" s="103">
        <f t="shared" si="7"/>
        <v>875.47833086230662</v>
      </c>
      <c r="V29" s="103">
        <f t="shared" si="7"/>
        <v>874.73789747955288</v>
      </c>
      <c r="W29" s="103">
        <f t="shared" si="7"/>
        <v>873.98265542914362</v>
      </c>
      <c r="X29" s="103">
        <f t="shared" si="7"/>
        <v>873.2123085377267</v>
      </c>
      <c r="Y29" s="103">
        <f t="shared" si="7"/>
        <v>872.42655470848126</v>
      </c>
      <c r="Z29" s="103">
        <f t="shared" si="7"/>
        <v>871.6250858026508</v>
      </c>
      <c r="AA29" s="103">
        <f t="shared" si="7"/>
        <v>870.80758751870394</v>
      </c>
      <c r="AB29" s="103">
        <f t="shared" si="7"/>
        <v>869.97373926907801</v>
      </c>
      <c r="AC29" s="103">
        <f t="shared" si="7"/>
        <v>869.12321405445959</v>
      </c>
      <c r="AD29" s="103">
        <f t="shared" si="7"/>
        <v>868.25567833554874</v>
      </c>
      <c r="AE29" s="103">
        <f t="shared" si="7"/>
        <v>867.37079190225973</v>
      </c>
      <c r="AF29" s="103">
        <f t="shared" si="7"/>
        <v>866.46820774030493</v>
      </c>
      <c r="AG29" s="103">
        <f t="shared" si="7"/>
        <v>865.54757189511099</v>
      </c>
      <c r="AH29" s="103">
        <f t="shared" si="7"/>
        <v>864.60852333301318</v>
      </c>
      <c r="AI29" s="103">
        <f t="shared" si="7"/>
        <v>863.65069379967338</v>
      </c>
      <c r="AJ29" s="103">
        <f t="shared" si="7"/>
        <v>862.67370767566706</v>
      </c>
      <c r="AK29" s="103">
        <f t="shared" si="7"/>
        <v>861.67718182918043</v>
      </c>
      <c r="AL29" s="103">
        <f t="shared" si="7"/>
        <v>860.66072546576413</v>
      </c>
      <c r="AM29" s="103">
        <f t="shared" si="7"/>
        <v>857.60579772916833</v>
      </c>
      <c r="AN29" s="103">
        <f t="shared" si="7"/>
        <v>856.32718452740176</v>
      </c>
      <c r="AO29" s="103">
        <f t="shared" si="7"/>
        <v>855.20372821794945</v>
      </c>
      <c r="AP29" s="103">
        <f t="shared" si="7"/>
        <v>854.05780278230861</v>
      </c>
      <c r="AQ29" s="103">
        <f t="shared" si="7"/>
        <v>852.88895883795465</v>
      </c>
    </row>
    <row r="30" spans="2:43">
      <c r="B30" s="39"/>
    </row>
    <row r="31" spans="2:43">
      <c r="B31" s="139" t="s">
        <v>169</v>
      </c>
    </row>
    <row r="32" spans="2:43">
      <c r="B32" s="139"/>
      <c r="I32" s="70"/>
    </row>
    <row r="33" spans="1:43" s="70" customFormat="1">
      <c r="A33" s="3"/>
      <c r="B33" s="39" t="s">
        <v>178</v>
      </c>
      <c r="C33" s="3"/>
      <c r="D33" s="3"/>
      <c r="E33" s="3" t="str">
        <f>Currency&amp;"mm"</f>
        <v>CADmm</v>
      </c>
      <c r="F33" s="3" t="s">
        <v>57</v>
      </c>
      <c r="G33" s="3"/>
      <c r="H33" s="3"/>
      <c r="I33" s="70">
        <f>IF(I6&lt;COD,SUM('Financing Assumptions'!I26:I29),0)</f>
        <v>129.94377459066629</v>
      </c>
      <c r="J33" s="70">
        <f>IF(J6&lt;COD,SUM('Financing Assumptions'!J26:J29),0)</f>
        <v>77.575334155063913</v>
      </c>
      <c r="K33" s="70">
        <f>IF(K6&lt;COD,SUM('Financing Assumptions'!K26:K29),0)</f>
        <v>77.793014597534778</v>
      </c>
      <c r="L33" s="70">
        <f>IF(L6&lt;COD,SUM('Financing Assumptions'!L26:L29),0)</f>
        <v>94.687876656735043</v>
      </c>
      <c r="M33" s="70">
        <f>IF(M6&lt;COD,SUM('Financing Assumptions'!M26:M29),0)</f>
        <v>0</v>
      </c>
      <c r="N33" s="70">
        <f>IF(N6&lt;COD,SUM('Financing Assumptions'!N26:N29),0)</f>
        <v>0</v>
      </c>
      <c r="O33" s="70">
        <f>IF(O6&lt;COD,SUM('Financing Assumptions'!O26:O29),0)</f>
        <v>0</v>
      </c>
      <c r="P33" s="70">
        <f>IF(P6&lt;COD,SUM('Financing Assumptions'!P26:P29),0)</f>
        <v>0</v>
      </c>
      <c r="Q33" s="70">
        <f>IF(Q6&lt;COD,SUM('Financing Assumptions'!Q26:Q29),0)</f>
        <v>0</v>
      </c>
      <c r="R33" s="70">
        <f>IF(R6&lt;COD,SUM('Financing Assumptions'!R26:R29),0)</f>
        <v>0</v>
      </c>
      <c r="S33" s="70">
        <f>IF(S6&lt;COD,SUM('Financing Assumptions'!S26:S29),0)</f>
        <v>0</v>
      </c>
      <c r="T33" s="70">
        <f>IF(T6&lt;COD,SUM('Financing Assumptions'!T26:T29),0)</f>
        <v>0</v>
      </c>
      <c r="U33" s="70">
        <f>IF(U6&lt;COD,SUM('Financing Assumptions'!U26:U29),0)</f>
        <v>0</v>
      </c>
      <c r="V33" s="70">
        <f>IF(V6&lt;COD,SUM('Financing Assumptions'!V26:V29),0)</f>
        <v>0</v>
      </c>
      <c r="W33" s="70">
        <f>IF(W6&lt;COD,SUM('Financing Assumptions'!W26:W29),0)</f>
        <v>0</v>
      </c>
      <c r="X33" s="70">
        <f>IF(X6&lt;COD,SUM('Financing Assumptions'!X26:X29),0)</f>
        <v>0</v>
      </c>
      <c r="Y33" s="70">
        <f>IF(Y6&lt;COD,SUM('Financing Assumptions'!Y26:Y29),0)</f>
        <v>0</v>
      </c>
      <c r="Z33" s="70">
        <f>IF(Z6&lt;COD,SUM('Financing Assumptions'!Z26:Z29),0)</f>
        <v>0</v>
      </c>
      <c r="AA33" s="70">
        <f>IF(AA6&lt;COD,SUM('Financing Assumptions'!AA26:AA29),0)</f>
        <v>0</v>
      </c>
      <c r="AB33" s="70">
        <f>IF(AB6&lt;COD,SUM('Financing Assumptions'!AB26:AB29),0)</f>
        <v>0</v>
      </c>
      <c r="AC33" s="70">
        <f>IF(AC6&lt;COD,SUM('Financing Assumptions'!AC26:AC29),0)</f>
        <v>0</v>
      </c>
      <c r="AD33" s="70">
        <f>IF(AD6&lt;COD,SUM('Financing Assumptions'!AD26:AD29),0)</f>
        <v>0</v>
      </c>
      <c r="AE33" s="70">
        <f>IF(AE6&lt;COD,SUM('Financing Assumptions'!AE26:AE29),0)</f>
        <v>0</v>
      </c>
      <c r="AF33" s="70">
        <f>IF(AF6&lt;COD,SUM('Financing Assumptions'!AF26:AF29),0)</f>
        <v>0</v>
      </c>
      <c r="AG33" s="70">
        <f>IF(AG6&lt;COD,SUM('Financing Assumptions'!AG26:AG29),0)</f>
        <v>0</v>
      </c>
      <c r="AH33" s="70">
        <f>IF(AH6&lt;COD,SUM('Financing Assumptions'!AH26:AH29),0)</f>
        <v>0</v>
      </c>
      <c r="AI33" s="70">
        <f>IF(AI6&lt;COD,SUM('Financing Assumptions'!AI26:AI29),0)</f>
        <v>0</v>
      </c>
      <c r="AJ33" s="70">
        <f>IF(AJ6&lt;COD,SUM('Financing Assumptions'!AJ26:AJ29),0)</f>
        <v>0</v>
      </c>
      <c r="AK33" s="70">
        <f>IF(AK6&lt;COD,SUM('Financing Assumptions'!AK26:AK29),0)</f>
        <v>0</v>
      </c>
      <c r="AL33" s="70">
        <f>IF(AL6&lt;COD,SUM('Financing Assumptions'!AL26:AL29),0)</f>
        <v>0</v>
      </c>
      <c r="AM33" s="70">
        <f>IF(AM6&lt;COD,SUM('Financing Assumptions'!AM26:AM29),0)</f>
        <v>0</v>
      </c>
      <c r="AN33" s="70">
        <f>IF(AN6&lt;COD,SUM('Financing Assumptions'!AN26:AN29),0)</f>
        <v>0</v>
      </c>
      <c r="AO33" s="70">
        <f>IF(AO6&lt;COD,SUM('Financing Assumptions'!AO26:AO29),0)</f>
        <v>0</v>
      </c>
      <c r="AP33" s="70">
        <f>IF(AP6&lt;COD,SUM('Financing Assumptions'!AP26:AP29),0)</f>
        <v>0</v>
      </c>
      <c r="AQ33" s="70">
        <f>IF(AQ6&lt;COD,SUM('Financing Assumptions'!AQ26:AQ29),0)</f>
        <v>0</v>
      </c>
    </row>
    <row r="34" spans="1:43" s="70" customFormat="1">
      <c r="A34" s="3"/>
      <c r="B34" s="39" t="s">
        <v>202</v>
      </c>
      <c r="C34" s="3"/>
      <c r="D34" s="3"/>
      <c r="E34" s="3" t="str">
        <f>Currency&amp;"mm"</f>
        <v>CADmm</v>
      </c>
      <c r="F34" s="3" t="s">
        <v>57</v>
      </c>
      <c r="G34" s="3"/>
      <c r="H34" s="3"/>
      <c r="I34" s="70">
        <f>-I27</f>
        <v>4.3685045273572687</v>
      </c>
      <c r="J34" s="70">
        <f t="shared" ref="J34:AQ34" si="8">-J27</f>
        <v>7.1235277862805324</v>
      </c>
      <c r="K34" s="70">
        <f t="shared" si="8"/>
        <v>9.9786220714497684</v>
      </c>
      <c r="L34" s="70">
        <f t="shared" si="8"/>
        <v>13.497821240238666</v>
      </c>
      <c r="M34" s="70">
        <f t="shared" si="8"/>
        <v>0</v>
      </c>
      <c r="N34" s="70">
        <f t="shared" si="8"/>
        <v>0</v>
      </c>
      <c r="O34" s="70">
        <f t="shared" si="8"/>
        <v>0</v>
      </c>
      <c r="P34" s="70">
        <f t="shared" si="8"/>
        <v>0</v>
      </c>
      <c r="Q34" s="70">
        <f t="shared" si="8"/>
        <v>0</v>
      </c>
      <c r="R34" s="70">
        <f t="shared" si="8"/>
        <v>0</v>
      </c>
      <c r="S34" s="70">
        <f t="shared" si="8"/>
        <v>0</v>
      </c>
      <c r="T34" s="70">
        <f t="shared" si="8"/>
        <v>0</v>
      </c>
      <c r="U34" s="70">
        <f t="shared" si="8"/>
        <v>0</v>
      </c>
      <c r="V34" s="70">
        <f t="shared" si="8"/>
        <v>0</v>
      </c>
      <c r="W34" s="70">
        <f t="shared" si="8"/>
        <v>0</v>
      </c>
      <c r="X34" s="70">
        <f t="shared" si="8"/>
        <v>0</v>
      </c>
      <c r="Y34" s="70">
        <f t="shared" si="8"/>
        <v>0</v>
      </c>
      <c r="Z34" s="70">
        <f t="shared" si="8"/>
        <v>0</v>
      </c>
      <c r="AA34" s="70">
        <f t="shared" si="8"/>
        <v>0</v>
      </c>
      <c r="AB34" s="70">
        <f t="shared" si="8"/>
        <v>0</v>
      </c>
      <c r="AC34" s="70">
        <f t="shared" si="8"/>
        <v>0</v>
      </c>
      <c r="AD34" s="70">
        <f t="shared" si="8"/>
        <v>0</v>
      </c>
      <c r="AE34" s="70">
        <f t="shared" si="8"/>
        <v>0</v>
      </c>
      <c r="AF34" s="70">
        <f t="shared" si="8"/>
        <v>0</v>
      </c>
      <c r="AG34" s="70">
        <f t="shared" si="8"/>
        <v>0</v>
      </c>
      <c r="AH34" s="70">
        <f t="shared" si="8"/>
        <v>0</v>
      </c>
      <c r="AI34" s="70">
        <f t="shared" si="8"/>
        <v>0</v>
      </c>
      <c r="AJ34" s="70">
        <f t="shared" si="8"/>
        <v>0</v>
      </c>
      <c r="AK34" s="70">
        <f t="shared" si="8"/>
        <v>0</v>
      </c>
      <c r="AL34" s="70">
        <f t="shared" si="8"/>
        <v>0</v>
      </c>
      <c r="AM34" s="70">
        <f t="shared" si="8"/>
        <v>0</v>
      </c>
      <c r="AN34" s="70">
        <f t="shared" si="8"/>
        <v>0</v>
      </c>
      <c r="AO34" s="70">
        <f t="shared" si="8"/>
        <v>0</v>
      </c>
      <c r="AP34" s="70">
        <f t="shared" si="8"/>
        <v>0</v>
      </c>
      <c r="AQ34" s="70">
        <f t="shared" si="8"/>
        <v>0</v>
      </c>
    </row>
    <row r="35" spans="1:43" s="70" customFormat="1">
      <c r="A35" s="3"/>
      <c r="B35" s="39" t="s">
        <v>179</v>
      </c>
      <c r="C35" s="3"/>
      <c r="D35" s="3"/>
      <c r="E35" s="3" t="str">
        <f>Currency&amp;"mm"</f>
        <v>CADmm</v>
      </c>
      <c r="F35" s="3" t="s">
        <v>57</v>
      </c>
      <c r="G35" s="3"/>
      <c r="H35" s="3"/>
      <c r="I35" s="70">
        <f>'Financing Assumptions'!I25</f>
        <v>79.415035253895212</v>
      </c>
      <c r="J35" s="70">
        <f>'Financing Assumptions'!J25</f>
        <v>47.41010422518243</v>
      </c>
      <c r="K35" s="70">
        <f>'Financing Assumptions'!K25</f>
        <v>47.543139455745525</v>
      </c>
      <c r="L35" s="70">
        <f>'Financing Assumptions'!L25</f>
        <v>57.868421065176769</v>
      </c>
      <c r="M35" s="70">
        <f>'Financing Assumptions'!M25</f>
        <v>0</v>
      </c>
      <c r="N35" s="70">
        <f>'Financing Assumptions'!N25</f>
        <v>0</v>
      </c>
      <c r="O35" s="70">
        <f>'Financing Assumptions'!O25</f>
        <v>0</v>
      </c>
      <c r="P35" s="70">
        <f>'Financing Assumptions'!P25</f>
        <v>0</v>
      </c>
      <c r="Q35" s="70">
        <f>'Financing Assumptions'!Q25</f>
        <v>0</v>
      </c>
      <c r="R35" s="70">
        <f>'Financing Assumptions'!R25</f>
        <v>0</v>
      </c>
      <c r="S35" s="70">
        <f>'Financing Assumptions'!S25</f>
        <v>0</v>
      </c>
      <c r="T35" s="70">
        <f>'Financing Assumptions'!T25</f>
        <v>0</v>
      </c>
      <c r="U35" s="70">
        <f>'Financing Assumptions'!U25</f>
        <v>0</v>
      </c>
      <c r="V35" s="70">
        <f>'Financing Assumptions'!V25</f>
        <v>0</v>
      </c>
      <c r="W35" s="70">
        <f>'Financing Assumptions'!W25</f>
        <v>0</v>
      </c>
      <c r="X35" s="70">
        <f>'Financing Assumptions'!X25</f>
        <v>0</v>
      </c>
      <c r="Y35" s="70">
        <f>'Financing Assumptions'!Y25</f>
        <v>0</v>
      </c>
      <c r="Z35" s="70">
        <f>'Financing Assumptions'!Z25</f>
        <v>0</v>
      </c>
      <c r="AA35" s="70">
        <f>'Financing Assumptions'!AA25</f>
        <v>0</v>
      </c>
      <c r="AB35" s="70">
        <f>'Financing Assumptions'!AB25</f>
        <v>0</v>
      </c>
      <c r="AC35" s="70">
        <f>'Financing Assumptions'!AC25</f>
        <v>0</v>
      </c>
      <c r="AD35" s="70">
        <f>'Financing Assumptions'!AD25</f>
        <v>0</v>
      </c>
      <c r="AE35" s="70">
        <f>'Financing Assumptions'!AE25</f>
        <v>0</v>
      </c>
      <c r="AF35" s="70">
        <f>'Financing Assumptions'!AF25</f>
        <v>0</v>
      </c>
      <c r="AG35" s="70">
        <f>'Financing Assumptions'!AG25</f>
        <v>0</v>
      </c>
      <c r="AH35" s="70">
        <f>'Financing Assumptions'!AH25</f>
        <v>0</v>
      </c>
      <c r="AI35" s="70">
        <f>'Financing Assumptions'!AI25</f>
        <v>0</v>
      </c>
      <c r="AJ35" s="70">
        <f>'Financing Assumptions'!AJ25</f>
        <v>0</v>
      </c>
      <c r="AK35" s="70">
        <f>'Financing Assumptions'!AK25</f>
        <v>0</v>
      </c>
      <c r="AL35" s="70">
        <f>'Financing Assumptions'!AL25</f>
        <v>0</v>
      </c>
      <c r="AM35" s="70">
        <f>'Financing Assumptions'!AM25</f>
        <v>0</v>
      </c>
      <c r="AN35" s="70">
        <f>'Financing Assumptions'!AN25</f>
        <v>0</v>
      </c>
      <c r="AO35" s="70">
        <f>'Financing Assumptions'!AO25</f>
        <v>0</v>
      </c>
      <c r="AP35" s="70">
        <f>'Financing Assumptions'!AP25</f>
        <v>0</v>
      </c>
      <c r="AQ35" s="70">
        <f>'Financing Assumptions'!AQ25</f>
        <v>0</v>
      </c>
    </row>
    <row r="36" spans="1:43" s="70" customFormat="1">
      <c r="A36" s="3"/>
      <c r="B36" s="121" t="s">
        <v>96</v>
      </c>
      <c r="C36" s="118"/>
      <c r="D36" s="118"/>
      <c r="E36" s="118" t="str">
        <f>Currency&amp;"mm"</f>
        <v>CADmm</v>
      </c>
      <c r="F36" s="118" t="s">
        <v>57</v>
      </c>
      <c r="G36" s="118"/>
      <c r="H36" s="118"/>
      <c r="I36" s="122">
        <f>'Financing Assumptions'!I24</f>
        <v>34.195730155438497</v>
      </c>
      <c r="J36" s="122">
        <f>'Financing Assumptions'!J24</f>
        <v>20.414561619753659</v>
      </c>
      <c r="K36" s="122">
        <f>'Financing Assumptions'!K24</f>
        <v>20.471845946719679</v>
      </c>
      <c r="L36" s="122">
        <f>'Financing Assumptions'!L24</f>
        <v>24.917862278088169</v>
      </c>
      <c r="M36" s="122">
        <f>'Financing Assumptions'!M24</f>
        <v>0</v>
      </c>
      <c r="N36" s="122">
        <f>'Financing Assumptions'!N24</f>
        <v>0</v>
      </c>
      <c r="O36" s="122">
        <f>'Financing Assumptions'!O24</f>
        <v>0</v>
      </c>
      <c r="P36" s="122">
        <f>'Financing Assumptions'!P24</f>
        <v>0</v>
      </c>
      <c r="Q36" s="122">
        <f>'Financing Assumptions'!Q24</f>
        <v>0</v>
      </c>
      <c r="R36" s="122">
        <f>'Financing Assumptions'!R24</f>
        <v>0</v>
      </c>
      <c r="S36" s="122">
        <f>'Financing Assumptions'!S24</f>
        <v>0</v>
      </c>
      <c r="T36" s="122">
        <f>'Financing Assumptions'!T24</f>
        <v>0</v>
      </c>
      <c r="U36" s="122">
        <f>'Financing Assumptions'!U24</f>
        <v>0</v>
      </c>
      <c r="V36" s="122">
        <f>'Financing Assumptions'!V24</f>
        <v>0</v>
      </c>
      <c r="W36" s="122">
        <f>'Financing Assumptions'!W24</f>
        <v>0</v>
      </c>
      <c r="X36" s="122">
        <f>'Financing Assumptions'!X24</f>
        <v>0</v>
      </c>
      <c r="Y36" s="122">
        <f>'Financing Assumptions'!Y24</f>
        <v>0</v>
      </c>
      <c r="Z36" s="122">
        <f>'Financing Assumptions'!Z24</f>
        <v>0</v>
      </c>
      <c r="AA36" s="122">
        <f>'Financing Assumptions'!AA24</f>
        <v>0</v>
      </c>
      <c r="AB36" s="122">
        <f>'Financing Assumptions'!AB24</f>
        <v>0</v>
      </c>
      <c r="AC36" s="122">
        <f>'Financing Assumptions'!AC24</f>
        <v>0</v>
      </c>
      <c r="AD36" s="122">
        <f>'Financing Assumptions'!AD24</f>
        <v>0</v>
      </c>
      <c r="AE36" s="122">
        <f>'Financing Assumptions'!AE24</f>
        <v>0</v>
      </c>
      <c r="AF36" s="122">
        <f>'Financing Assumptions'!AF24</f>
        <v>0</v>
      </c>
      <c r="AG36" s="122">
        <f>'Financing Assumptions'!AG24</f>
        <v>0</v>
      </c>
      <c r="AH36" s="122">
        <f>'Financing Assumptions'!AH24</f>
        <v>0</v>
      </c>
      <c r="AI36" s="122">
        <f>'Financing Assumptions'!AI24</f>
        <v>0</v>
      </c>
      <c r="AJ36" s="122">
        <f>'Financing Assumptions'!AJ24</f>
        <v>0</v>
      </c>
      <c r="AK36" s="122">
        <f>'Financing Assumptions'!AK24</f>
        <v>0</v>
      </c>
      <c r="AL36" s="122">
        <f>'Financing Assumptions'!AL24</f>
        <v>0</v>
      </c>
      <c r="AM36" s="122">
        <f>'Financing Assumptions'!AM24</f>
        <v>0</v>
      </c>
      <c r="AN36" s="122">
        <f>'Financing Assumptions'!AN24</f>
        <v>0</v>
      </c>
      <c r="AO36" s="122">
        <f>'Financing Assumptions'!AO24</f>
        <v>0</v>
      </c>
      <c r="AP36" s="122">
        <f>'Financing Assumptions'!AP24</f>
        <v>0</v>
      </c>
      <c r="AQ36" s="122">
        <f>'Financing Assumptions'!AQ24</f>
        <v>0</v>
      </c>
    </row>
    <row r="37" spans="1:43">
      <c r="B37" s="82" t="s">
        <v>180</v>
      </c>
      <c r="C37" s="15"/>
      <c r="D37" s="15"/>
      <c r="E37" s="136" t="str">
        <f>Currency&amp;"mm"</f>
        <v>CADmm</v>
      </c>
      <c r="F37" s="136" t="s">
        <v>57</v>
      </c>
      <c r="G37" s="15"/>
      <c r="H37" s="15"/>
      <c r="I37" s="58">
        <f>SUM(I33:I36)</f>
        <v>247.92304452735726</v>
      </c>
      <c r="J37" s="58">
        <f t="shared" ref="J37:AQ37" si="9">SUM(J33:J36)</f>
        <v>152.52352778628054</v>
      </c>
      <c r="K37" s="58">
        <f t="shared" si="9"/>
        <v>155.78662207144973</v>
      </c>
      <c r="L37" s="58">
        <f t="shared" si="9"/>
        <v>190.97198124023865</v>
      </c>
      <c r="M37" s="58">
        <f t="shared" si="9"/>
        <v>0</v>
      </c>
      <c r="N37" s="58">
        <f t="shared" si="9"/>
        <v>0</v>
      </c>
      <c r="O37" s="58">
        <f t="shared" si="9"/>
        <v>0</v>
      </c>
      <c r="P37" s="58">
        <f t="shared" si="9"/>
        <v>0</v>
      </c>
      <c r="Q37" s="58">
        <f t="shared" si="9"/>
        <v>0</v>
      </c>
      <c r="R37" s="58">
        <f t="shared" si="9"/>
        <v>0</v>
      </c>
      <c r="S37" s="58">
        <f t="shared" si="9"/>
        <v>0</v>
      </c>
      <c r="T37" s="58">
        <f t="shared" si="9"/>
        <v>0</v>
      </c>
      <c r="U37" s="58">
        <f t="shared" si="9"/>
        <v>0</v>
      </c>
      <c r="V37" s="58">
        <f t="shared" si="9"/>
        <v>0</v>
      </c>
      <c r="W37" s="58">
        <f t="shared" si="9"/>
        <v>0</v>
      </c>
      <c r="X37" s="58">
        <f t="shared" si="9"/>
        <v>0</v>
      </c>
      <c r="Y37" s="58">
        <f t="shared" si="9"/>
        <v>0</v>
      </c>
      <c r="Z37" s="58">
        <f t="shared" si="9"/>
        <v>0</v>
      </c>
      <c r="AA37" s="58">
        <f t="shared" si="9"/>
        <v>0</v>
      </c>
      <c r="AB37" s="58">
        <f t="shared" si="9"/>
        <v>0</v>
      </c>
      <c r="AC37" s="58">
        <f t="shared" si="9"/>
        <v>0</v>
      </c>
      <c r="AD37" s="58">
        <f t="shared" si="9"/>
        <v>0</v>
      </c>
      <c r="AE37" s="58">
        <f t="shared" si="9"/>
        <v>0</v>
      </c>
      <c r="AF37" s="58">
        <f t="shared" si="9"/>
        <v>0</v>
      </c>
      <c r="AG37" s="58">
        <f t="shared" si="9"/>
        <v>0</v>
      </c>
      <c r="AH37" s="58">
        <f t="shared" si="9"/>
        <v>0</v>
      </c>
      <c r="AI37" s="58">
        <f t="shared" si="9"/>
        <v>0</v>
      </c>
      <c r="AJ37" s="58">
        <f t="shared" si="9"/>
        <v>0</v>
      </c>
      <c r="AK37" s="58">
        <f t="shared" si="9"/>
        <v>0</v>
      </c>
      <c r="AL37" s="58">
        <f t="shared" si="9"/>
        <v>0</v>
      </c>
      <c r="AM37" s="58">
        <f t="shared" si="9"/>
        <v>0</v>
      </c>
      <c r="AN37" s="58">
        <f t="shared" si="9"/>
        <v>0</v>
      </c>
      <c r="AO37" s="58">
        <f t="shared" si="9"/>
        <v>0</v>
      </c>
      <c r="AP37" s="58">
        <f t="shared" si="9"/>
        <v>0</v>
      </c>
      <c r="AQ37" s="58">
        <f t="shared" si="9"/>
        <v>0</v>
      </c>
    </row>
    <row r="38" spans="1:43">
      <c r="B38" s="39"/>
    </row>
    <row r="39" spans="1:43">
      <c r="B39" s="121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</row>
    <row r="40" spans="1:43">
      <c r="B40" s="82" t="s">
        <v>203</v>
      </c>
      <c r="C40" s="48"/>
      <c r="D40" s="48"/>
      <c r="E40" s="136" t="str">
        <f>Currency&amp;"mm"</f>
        <v>CADmm</v>
      </c>
      <c r="F40" s="136" t="s">
        <v>57</v>
      </c>
      <c r="G40" s="48"/>
      <c r="H40" s="48"/>
      <c r="I40" s="58">
        <f>I29+I37</f>
        <v>1.6438356164383663</v>
      </c>
      <c r="J40" s="58">
        <f>J29+J37</f>
        <v>3.2876712328743452E-2</v>
      </c>
      <c r="K40" s="58">
        <f t="shared" ref="K40:AQ40" si="10">K29+K37</f>
        <v>3.3534246575328552E-2</v>
      </c>
      <c r="L40" s="58">
        <f t="shared" si="10"/>
        <v>3.4204931506849334E-2</v>
      </c>
      <c r="M40" s="58">
        <f t="shared" si="10"/>
        <v>806.70816363835615</v>
      </c>
      <c r="N40" s="58">
        <f t="shared" si="10"/>
        <v>880.27040910290407</v>
      </c>
      <c r="O40" s="58">
        <f t="shared" si="10"/>
        <v>879.62581728496218</v>
      </c>
      <c r="P40" s="58">
        <f t="shared" si="10"/>
        <v>878.96833363066162</v>
      </c>
      <c r="Q40" s="58">
        <f t="shared" si="10"/>
        <v>878.29770030327461</v>
      </c>
      <c r="R40" s="58">
        <f t="shared" si="10"/>
        <v>877.6136543093404</v>
      </c>
      <c r="S40" s="58">
        <f t="shared" si="10"/>
        <v>876.91592739552698</v>
      </c>
      <c r="T40" s="58">
        <f t="shared" si="10"/>
        <v>876.20424594343774</v>
      </c>
      <c r="U40" s="58">
        <f t="shared" si="10"/>
        <v>875.47833086230662</v>
      </c>
      <c r="V40" s="58">
        <f t="shared" si="10"/>
        <v>874.73789747955288</v>
      </c>
      <c r="W40" s="58">
        <f t="shared" si="10"/>
        <v>873.98265542914362</v>
      </c>
      <c r="X40" s="58">
        <f t="shared" si="10"/>
        <v>873.2123085377267</v>
      </c>
      <c r="Y40" s="58">
        <f t="shared" si="10"/>
        <v>872.42655470848126</v>
      </c>
      <c r="Z40" s="58">
        <f t="shared" si="10"/>
        <v>871.6250858026508</v>
      </c>
      <c r="AA40" s="58">
        <f t="shared" si="10"/>
        <v>870.80758751870394</v>
      </c>
      <c r="AB40" s="58">
        <f t="shared" si="10"/>
        <v>869.97373926907801</v>
      </c>
      <c r="AC40" s="58">
        <f t="shared" si="10"/>
        <v>869.12321405445959</v>
      </c>
      <c r="AD40" s="58">
        <f t="shared" si="10"/>
        <v>868.25567833554874</v>
      </c>
      <c r="AE40" s="58">
        <f t="shared" si="10"/>
        <v>867.37079190225973</v>
      </c>
      <c r="AF40" s="58">
        <f t="shared" si="10"/>
        <v>866.46820774030493</v>
      </c>
      <c r="AG40" s="58">
        <f t="shared" si="10"/>
        <v>865.54757189511099</v>
      </c>
      <c r="AH40" s="58">
        <f t="shared" si="10"/>
        <v>864.60852333301318</v>
      </c>
      <c r="AI40" s="58">
        <f t="shared" si="10"/>
        <v>863.65069379967338</v>
      </c>
      <c r="AJ40" s="58">
        <f t="shared" si="10"/>
        <v>862.67370767566706</v>
      </c>
      <c r="AK40" s="58">
        <f t="shared" si="10"/>
        <v>861.67718182918043</v>
      </c>
      <c r="AL40" s="58">
        <f t="shared" si="10"/>
        <v>860.66072546576413</v>
      </c>
      <c r="AM40" s="58">
        <f t="shared" si="10"/>
        <v>857.60579772916833</v>
      </c>
      <c r="AN40" s="58">
        <f t="shared" si="10"/>
        <v>856.32718452740176</v>
      </c>
      <c r="AO40" s="58">
        <f t="shared" si="10"/>
        <v>855.20372821794945</v>
      </c>
      <c r="AP40" s="58">
        <f t="shared" si="10"/>
        <v>854.05780278230861</v>
      </c>
      <c r="AQ40" s="58">
        <f t="shared" si="10"/>
        <v>852.88895883795465</v>
      </c>
    </row>
    <row r="41" spans="1:43">
      <c r="B41" s="39"/>
    </row>
    <row r="42" spans="1:43">
      <c r="B42" s="39"/>
    </row>
    <row r="43" spans="1:43">
      <c r="B43" s="39" t="s">
        <v>204</v>
      </c>
      <c r="I43" s="70">
        <f>'Financial Statements'!I23</f>
        <v>0</v>
      </c>
      <c r="J43" s="70">
        <f>'Financial Statements'!J23</f>
        <v>0</v>
      </c>
      <c r="K43" s="70">
        <f>'Financial Statements'!K23</f>
        <v>0</v>
      </c>
      <c r="L43" s="70">
        <f>'Financial Statements'!L23</f>
        <v>0</v>
      </c>
      <c r="M43" s="70">
        <f>'Financial Statements'!M23</f>
        <v>-291.39166163426984</v>
      </c>
      <c r="N43" s="70">
        <f>'Financial Statements'!N23</f>
        <v>-288.71740834274681</v>
      </c>
      <c r="O43" s="70">
        <f>'Financial Statements'!O23</f>
        <v>-286.03872424117577</v>
      </c>
      <c r="P43" s="70">
        <f>'Financial Statements'!P23</f>
        <v>-283.35552071335587</v>
      </c>
      <c r="Q43" s="70">
        <f>'Financial Statements'!Q23</f>
        <v>-280.66770737076189</v>
      </c>
      <c r="R43" s="70">
        <f>'Financial Statements'!R23</f>
        <v>-277.97519201709855</v>
      </c>
      <c r="S43" s="70">
        <f>'Financial Statements'!S23</f>
        <v>-275.27788061214432</v>
      </c>
      <c r="T43" s="70">
        <f>'Financial Statements'!T23</f>
        <v>-272.57567723487364</v>
      </c>
      <c r="U43" s="70">
        <f>'Financial Statements'!U23</f>
        <v>-268.93879654583992</v>
      </c>
      <c r="V43" s="70">
        <f>'Financial Statements'!V23</f>
        <v>-265.29682624880803</v>
      </c>
      <c r="W43" s="70">
        <f>'Financial Statements'!W23</f>
        <v>-262.57935205161778</v>
      </c>
      <c r="X43" s="70">
        <f>'Financial Statements'!X23</f>
        <v>-259.8565826262664</v>
      </c>
      <c r="Y43" s="70">
        <f>'Financial Statements'!Y23</f>
        <v>-257.12841206819041</v>
      </c>
      <c r="Z43" s="70">
        <f>'Financial Statements'!Z23</f>
        <v>-254.39473235473525</v>
      </c>
      <c r="AA43" s="70">
        <f>'Financial Statements'!AA23</f>
        <v>-251.65543330279354</v>
      </c>
      <c r="AB43" s="70">
        <f>'Financial Statements'!AB23</f>
        <v>-248.91040252559546</v>
      </c>
      <c r="AC43" s="70">
        <f>'Financial Statements'!AC23</f>
        <v>-247.05874905118986</v>
      </c>
      <c r="AD43" s="70">
        <f>'Financial Statements'!AD23</f>
        <v>-246.22202553051542</v>
      </c>
      <c r="AE43" s="70">
        <f>'Financial Statements'!AE23</f>
        <v>-245.42146793805202</v>
      </c>
      <c r="AF43" s="70">
        <f>'Financial Statements'!AF23</f>
        <v>-244.83161604681311</v>
      </c>
      <c r="AG43" s="70">
        <f>'Financial Statements'!AG23</f>
        <v>-244.50887336774935</v>
      </c>
      <c r="AH43" s="70">
        <f>'Financial Statements'!AH23</f>
        <v>-244.17967583510429</v>
      </c>
      <c r="AI43" s="70">
        <f>'Financial Statements'!AI23</f>
        <v>-243.84389435180637</v>
      </c>
      <c r="AJ43" s="70">
        <f>'Financial Statements'!AJ23</f>
        <v>-243.50139723884266</v>
      </c>
      <c r="AK43" s="70">
        <f>'Financial Statements'!AK23</f>
        <v>-242.22236268361942</v>
      </c>
      <c r="AL43" s="70">
        <f>'Financial Statements'!AL23</f>
        <v>-240.93634118729182</v>
      </c>
      <c r="AM43" s="70">
        <f>'Financial Statements'!AM23</f>
        <v>-239.80327552024625</v>
      </c>
      <c r="AN43" s="70">
        <f>'Financial Statements'!AN23</f>
        <v>-239.41715353065126</v>
      </c>
      <c r="AO43" s="70">
        <f>'Financial Statements'!AO23</f>
        <v>-239.9529966012642</v>
      </c>
      <c r="AP43" s="70">
        <f>'Financial Statements'!AP23</f>
        <v>-240.48096278328953</v>
      </c>
      <c r="AQ43" s="70">
        <f>'Financial Statements'!AQ23</f>
        <v>-240.07120703895527</v>
      </c>
    </row>
    <row r="44" spans="1:43">
      <c r="B44" s="121" t="s">
        <v>145</v>
      </c>
      <c r="C44" s="118"/>
      <c r="D44" s="118"/>
      <c r="E44" s="118" t="str">
        <f>Currency&amp;"mm"</f>
        <v>CADmm</v>
      </c>
      <c r="F44" s="118" t="s">
        <v>57</v>
      </c>
      <c r="G44" s="118"/>
      <c r="H44" s="118"/>
      <c r="I44" s="122">
        <f>-SUM(Model!I75,Model!I77)</f>
        <v>0</v>
      </c>
      <c r="J44" s="122">
        <f>-SUM(Model!J75,Model!J77)</f>
        <v>0</v>
      </c>
      <c r="K44" s="122">
        <f>-SUM(Model!K75,Model!K77)</f>
        <v>0</v>
      </c>
      <c r="L44" s="122">
        <f>-SUM(Model!L75,Model!L77)</f>
        <v>0</v>
      </c>
      <c r="M44" s="122">
        <f>-SUM(Model!M75,Model!M77)</f>
        <v>-156.25</v>
      </c>
      <c r="N44" s="122">
        <f>-SUM(Model!N75,Model!N77)</f>
        <v>-156.25</v>
      </c>
      <c r="O44" s="122">
        <f>-SUM(Model!O75,Model!O77)</f>
        <v>-156.25</v>
      </c>
      <c r="P44" s="122">
        <f>-SUM(Model!P75,Model!P77)</f>
        <v>-156.25</v>
      </c>
      <c r="Q44" s="122">
        <f>-SUM(Model!Q75,Model!Q77)</f>
        <v>-156.25</v>
      </c>
      <c r="R44" s="122">
        <f>-SUM(Model!R75,Model!R77)</f>
        <v>-156.25</v>
      </c>
      <c r="S44" s="122">
        <f>-SUM(Model!S75,Model!S77)</f>
        <v>-156.25</v>
      </c>
      <c r="T44" s="122">
        <f>-SUM(Model!T75,Model!T77)</f>
        <v>-156.25</v>
      </c>
      <c r="U44" s="122">
        <f>-SUM(Model!U75,Model!U77)</f>
        <v>-262.5</v>
      </c>
      <c r="V44" s="122">
        <f>-SUM(Model!V75,Model!V77)</f>
        <v>-156.25</v>
      </c>
      <c r="W44" s="122">
        <f>-SUM(Model!W75,Model!W77)</f>
        <v>-156.25</v>
      </c>
      <c r="X44" s="122">
        <f>-SUM(Model!X75,Model!X77)</f>
        <v>-156.25</v>
      </c>
      <c r="Y44" s="122">
        <f>-SUM(Model!Y75,Model!Y77)</f>
        <v>-156.25</v>
      </c>
      <c r="Z44" s="122">
        <f>-SUM(Model!Z75,Model!Z77)</f>
        <v>-156.25</v>
      </c>
      <c r="AA44" s="122">
        <f>-SUM(Model!AA75,Model!AA77)</f>
        <v>-156.25</v>
      </c>
      <c r="AB44" s="122">
        <f>-SUM(Model!AB75,Model!AB77)</f>
        <v>-156.25</v>
      </c>
      <c r="AC44" s="122">
        <f>-SUM(Model!AC75,Model!AC77)</f>
        <v>-262.5</v>
      </c>
      <c r="AD44" s="122">
        <f>-SUM(Model!AD75,Model!AD77)</f>
        <v>-156.25</v>
      </c>
      <c r="AE44" s="122">
        <f>-SUM(Model!AE75,Model!AE77)</f>
        <v>-156.25</v>
      </c>
      <c r="AF44" s="122">
        <f>-SUM(Model!AF75,Model!AF77)</f>
        <v>-156.25</v>
      </c>
      <c r="AG44" s="122">
        <f>-SUM(Model!AG75,Model!AG77)</f>
        <v>-156.25</v>
      </c>
      <c r="AH44" s="122">
        <f>-SUM(Model!AH75,Model!AH77)</f>
        <v>-156.25</v>
      </c>
      <c r="AI44" s="122">
        <f>-SUM(Model!AI75,Model!AI77)</f>
        <v>-156.25</v>
      </c>
      <c r="AJ44" s="122">
        <f>-SUM(Model!AJ75,Model!AJ77)</f>
        <v>-156.25</v>
      </c>
      <c r="AK44" s="122">
        <f>-SUM(Model!AK75,Model!AK77)</f>
        <v>-262.5</v>
      </c>
      <c r="AL44" s="122">
        <f>-SUM(Model!AL75,Model!AL77)</f>
        <v>-156.25</v>
      </c>
      <c r="AM44" s="122">
        <f>-SUM(Model!AM75,Model!AM77)</f>
        <v>-156.25</v>
      </c>
      <c r="AN44" s="122">
        <f>-SUM(Model!AN75,Model!AN77)</f>
        <v>-156.25</v>
      </c>
      <c r="AO44" s="122">
        <f>-SUM(Model!AO75,Model!AO77)</f>
        <v>-156.25</v>
      </c>
      <c r="AP44" s="122">
        <f>-SUM(Model!AP75,Model!AP77)</f>
        <v>-156.25</v>
      </c>
      <c r="AQ44" s="122">
        <f>-SUM(Model!AQ75,Model!AQ77)</f>
        <v>-156.25</v>
      </c>
    </row>
    <row r="45" spans="1:43">
      <c r="B45" s="82" t="s">
        <v>205</v>
      </c>
      <c r="C45" s="15"/>
      <c r="D45" s="15"/>
      <c r="E45" s="145" t="str">
        <f>Currency&amp;"mm"</f>
        <v>CADmm</v>
      </c>
      <c r="F45" s="145" t="s">
        <v>57</v>
      </c>
      <c r="G45" s="15"/>
      <c r="H45" s="15"/>
      <c r="I45" s="58">
        <f>SUM(I40:I44)</f>
        <v>1.6438356164383663</v>
      </c>
      <c r="J45" s="58">
        <f t="shared" ref="J45:AQ45" si="11">SUM(J40:J44)</f>
        <v>3.2876712328743452E-2</v>
      </c>
      <c r="K45" s="58">
        <f t="shared" si="11"/>
        <v>3.3534246575328552E-2</v>
      </c>
      <c r="L45" s="58">
        <f t="shared" si="11"/>
        <v>3.4204931506849334E-2</v>
      </c>
      <c r="M45" s="58">
        <f t="shared" si="11"/>
        <v>359.06650200408626</v>
      </c>
      <c r="N45" s="58">
        <f t="shared" si="11"/>
        <v>435.30300076015726</v>
      </c>
      <c r="O45" s="58">
        <f t="shared" si="11"/>
        <v>437.33709304378635</v>
      </c>
      <c r="P45" s="58">
        <f t="shared" si="11"/>
        <v>439.36281291730575</v>
      </c>
      <c r="Q45" s="58">
        <f t="shared" si="11"/>
        <v>441.37999293251278</v>
      </c>
      <c r="R45" s="58">
        <f t="shared" si="11"/>
        <v>443.38846229224191</v>
      </c>
      <c r="S45" s="58">
        <f t="shared" si="11"/>
        <v>445.38804678338261</v>
      </c>
      <c r="T45" s="58">
        <f t="shared" si="11"/>
        <v>447.3785687085641</v>
      </c>
      <c r="U45" s="58">
        <f t="shared" si="11"/>
        <v>344.03953431646664</v>
      </c>
      <c r="V45" s="58">
        <f t="shared" si="11"/>
        <v>453.19107123074491</v>
      </c>
      <c r="W45" s="58">
        <f t="shared" si="11"/>
        <v>455.15330337752584</v>
      </c>
      <c r="X45" s="58">
        <f t="shared" si="11"/>
        <v>457.10572591146024</v>
      </c>
      <c r="Y45" s="58">
        <f t="shared" si="11"/>
        <v>459.04814264029085</v>
      </c>
      <c r="Z45" s="58">
        <f t="shared" si="11"/>
        <v>460.9803534479156</v>
      </c>
      <c r="AA45" s="58">
        <f t="shared" si="11"/>
        <v>462.9021542159104</v>
      </c>
      <c r="AB45" s="58">
        <f t="shared" si="11"/>
        <v>464.81333674348252</v>
      </c>
      <c r="AC45" s="58">
        <f t="shared" si="11"/>
        <v>359.56446500326979</v>
      </c>
      <c r="AD45" s="58">
        <f t="shared" si="11"/>
        <v>465.78365280503328</v>
      </c>
      <c r="AE45" s="58">
        <f t="shared" si="11"/>
        <v>465.69932396420768</v>
      </c>
      <c r="AF45" s="58">
        <f t="shared" si="11"/>
        <v>465.38659169349182</v>
      </c>
      <c r="AG45" s="58">
        <f t="shared" si="11"/>
        <v>464.7886985273617</v>
      </c>
      <c r="AH45" s="58">
        <f t="shared" si="11"/>
        <v>464.17884749790892</v>
      </c>
      <c r="AI45" s="58">
        <f t="shared" si="11"/>
        <v>463.55679944786698</v>
      </c>
      <c r="AJ45" s="58">
        <f t="shared" si="11"/>
        <v>462.92231043682443</v>
      </c>
      <c r="AK45" s="58">
        <f t="shared" si="11"/>
        <v>356.95481914556103</v>
      </c>
      <c r="AL45" s="58">
        <f t="shared" si="11"/>
        <v>463.47438427847237</v>
      </c>
      <c r="AM45" s="58">
        <f t="shared" si="11"/>
        <v>461.55252220892203</v>
      </c>
      <c r="AN45" s="58">
        <f t="shared" si="11"/>
        <v>460.66003099675049</v>
      </c>
      <c r="AO45" s="58">
        <f t="shared" si="11"/>
        <v>459.00073161668524</v>
      </c>
      <c r="AP45" s="58">
        <f t="shared" si="11"/>
        <v>457.32683999901906</v>
      </c>
      <c r="AQ45" s="58">
        <f t="shared" si="11"/>
        <v>456.56775179899932</v>
      </c>
    </row>
    <row r="47" spans="1:43">
      <c r="B47" s="182" t="s">
        <v>274</v>
      </c>
    </row>
    <row r="48" spans="1:43">
      <c r="B48" s="11"/>
    </row>
    <row r="49" spans="2:43">
      <c r="B49" s="39" t="s">
        <v>276</v>
      </c>
      <c r="I49" s="134">
        <f>IF(I6&lt;COD,0,-'Debt Schedule'!I17)</f>
        <v>0</v>
      </c>
      <c r="J49" s="134">
        <f>IF(J6&lt;COD,0,-'Debt Schedule'!J17)</f>
        <v>0</v>
      </c>
      <c r="K49" s="134">
        <f>IF(K6&lt;COD,0,-'Debt Schedule'!K17)</f>
        <v>0</v>
      </c>
      <c r="L49" s="134">
        <f>IF(L6&lt;COD,0,-'Debt Schedule'!L17)</f>
        <v>0</v>
      </c>
      <c r="M49" s="134">
        <f>IF(M6&lt;COD,0,-'Debt Schedule'!M17)</f>
        <v>-13.147502130657557</v>
      </c>
      <c r="N49" s="134">
        <f>IF(N6&lt;COD,0,-'Debt Schedule'!N17)</f>
        <v>-12.342752956723377</v>
      </c>
      <c r="O49" s="134">
        <f>IF(O6&lt;COD,0,-'Debt Schedule'!O17)</f>
        <v>-11.538003782789193</v>
      </c>
      <c r="P49" s="134">
        <f>IF(P6&lt;COD,0,-'Debt Schedule'!P17)</f>
        <v>-10.733254608855013</v>
      </c>
      <c r="Q49" s="134">
        <f>IF(Q6&lt;COD,0,-'Debt Schedule'!Q17)</f>
        <v>-9.9285054349208313</v>
      </c>
      <c r="R49" s="134">
        <f>IF(R6&lt;COD,0,-'Debt Schedule'!R17)</f>
        <v>-9.1237562609866512</v>
      </c>
      <c r="S49" s="134">
        <f>IF(S6&lt;COD,0,-'Debt Schedule'!S17)</f>
        <v>-8.3190070870524711</v>
      </c>
      <c r="T49" s="134">
        <f>IF(T6&lt;COD,0,-'Debt Schedule'!T17)</f>
        <v>-7.5142579131182892</v>
      </c>
      <c r="U49" s="134">
        <f>IF(U6&lt;COD,0,-'Debt Schedule'!U17)</f>
        <v>-6.7095087391841082</v>
      </c>
      <c r="V49" s="134">
        <f>IF(V6&lt;COD,0,-'Debt Schedule'!V17)</f>
        <v>-5.9047595652499254</v>
      </c>
      <c r="W49" s="134">
        <f>IF(W6&lt;COD,0,-'Debt Schedule'!W17)</f>
        <v>-5.1000103913157453</v>
      </c>
      <c r="X49" s="134">
        <f>IF(X6&lt;COD,0,-'Debt Schedule'!X17)</f>
        <v>-4.2952612173815634</v>
      </c>
      <c r="Y49" s="134">
        <f>IF(Y6&lt;COD,0,-'Debt Schedule'!Y17)</f>
        <v>-3.4905120434473824</v>
      </c>
      <c r="Z49" s="134">
        <f>IF(Z6&lt;COD,0,-'Debt Schedule'!Z17)</f>
        <v>-2.685762869513201</v>
      </c>
      <c r="AA49" s="134">
        <f>IF(AA6&lt;COD,0,-'Debt Schedule'!AA17)</f>
        <v>-1.8810136955790202</v>
      </c>
      <c r="AB49" s="134">
        <f>IF(AB6&lt;COD,0,-'Debt Schedule'!AB17)</f>
        <v>-1.076264521644839</v>
      </c>
      <c r="AC49" s="134">
        <f>IF(AC6&lt;COD,0,-'Debt Schedule'!AC17)</f>
        <v>-0.51480488327059648</v>
      </c>
      <c r="AD49" s="134">
        <f>IF(AD6&lt;COD,0,-'Debt Schedule'!AD17)</f>
        <v>-0.16150741435940336</v>
      </c>
      <c r="AE49" s="134">
        <f>IF(AE6&lt;COD,0,-'Debt Schedule'!AE17)</f>
        <v>-7.8159700933611021E-16</v>
      </c>
      <c r="AF49" s="134">
        <f>IF(AF6&lt;COD,0,-'Debt Schedule'!AF17)</f>
        <v>-7.8159700933611021E-16</v>
      </c>
      <c r="AG49" s="134">
        <f>IF(AG6&lt;COD,0,-'Debt Schedule'!AG17)</f>
        <v>-7.8159700933611021E-16</v>
      </c>
      <c r="AH49" s="134">
        <f>IF(AH6&lt;COD,0,-'Debt Schedule'!AH17)</f>
        <v>-7.8159700933611021E-16</v>
      </c>
      <c r="AI49" s="134">
        <f>IF(AI6&lt;COD,0,-'Debt Schedule'!AI17)</f>
        <v>-7.8159700933611021E-16</v>
      </c>
      <c r="AJ49" s="134">
        <f>IF(AJ6&lt;COD,0,-'Debt Schedule'!AJ17)</f>
        <v>-7.8159700933611021E-16</v>
      </c>
      <c r="AK49" s="134">
        <f>IF(AK6&lt;COD,0,-'Debt Schedule'!AK17)</f>
        <v>-7.8159700933611021E-16</v>
      </c>
      <c r="AL49" s="134">
        <f>IF(AL6&lt;COD,0,-'Debt Schedule'!AL17)</f>
        <v>-7.8159700933611021E-16</v>
      </c>
      <c r="AM49" s="134">
        <f>IF(AM6&lt;COD,0,-'Debt Schedule'!AM17)</f>
        <v>-7.8159700933611021E-16</v>
      </c>
      <c r="AN49" s="134">
        <f>IF(AN6&lt;COD,0,-'Debt Schedule'!AN17)</f>
        <v>-7.8159700933611021E-16</v>
      </c>
      <c r="AO49" s="134">
        <f>IF(AO6&lt;COD,0,-'Debt Schedule'!AO17)</f>
        <v>-7.8159700933611021E-16</v>
      </c>
      <c r="AP49" s="134">
        <f>IF(AP6&lt;COD,0,-'Debt Schedule'!AP17)</f>
        <v>-7.8159700933611021E-16</v>
      </c>
      <c r="AQ49" s="134">
        <f>IF(AQ6&lt;COD,0,-'Debt Schedule'!AQ17)</f>
        <v>-7.8159700933611021E-16</v>
      </c>
    </row>
    <row r="50" spans="2:43">
      <c r="B50" s="121" t="s">
        <v>277</v>
      </c>
      <c r="C50" s="118"/>
      <c r="D50" s="118"/>
      <c r="E50" s="118"/>
      <c r="F50" s="118"/>
      <c r="G50" s="118"/>
      <c r="H50" s="118"/>
      <c r="I50" s="122">
        <f>IF(I6&lt;COD,0,'Debt Schedule'!I12)</f>
        <v>0</v>
      </c>
      <c r="J50" s="122">
        <f>IF(J6&lt;COD,0,'Debt Schedule'!J12)</f>
        <v>0</v>
      </c>
      <c r="K50" s="122">
        <f>IF(K6&lt;COD,0,'Debt Schedule'!K12)</f>
        <v>0</v>
      </c>
      <c r="L50" s="122">
        <f>IF(L6&lt;COD,0,'Debt Schedule'!L12)</f>
        <v>0</v>
      </c>
      <c r="M50" s="122">
        <f>IF(M6&lt;COD,0,'Debt Schedule'!M12)</f>
        <v>-23.985035090477677</v>
      </c>
      <c r="N50" s="122">
        <f>IF(N6&lt;COD,0,'Debt Schedule'!N12)</f>
        <v>-23.985035090477677</v>
      </c>
      <c r="O50" s="122">
        <f>IF(O6&lt;COD,0,'Debt Schedule'!O12)</f>
        <v>-23.985035090477677</v>
      </c>
      <c r="P50" s="122">
        <f>IF(P6&lt;COD,0,'Debt Schedule'!P12)</f>
        <v>-23.985035090477677</v>
      </c>
      <c r="Q50" s="122">
        <f>IF(Q6&lt;COD,0,'Debt Schedule'!Q12)</f>
        <v>-23.985035090477677</v>
      </c>
      <c r="R50" s="122">
        <f>IF(R6&lt;COD,0,'Debt Schedule'!R12)</f>
        <v>-23.985035090477677</v>
      </c>
      <c r="S50" s="122">
        <f>IF(S6&lt;COD,0,'Debt Schedule'!S12)</f>
        <v>-23.985035090477677</v>
      </c>
      <c r="T50" s="122">
        <f>IF(T6&lt;COD,0,'Debt Schedule'!T12)</f>
        <v>-23.985035090477677</v>
      </c>
      <c r="U50" s="122">
        <f>IF(U6&lt;COD,0,'Debt Schedule'!U12)</f>
        <v>-23.985035090477677</v>
      </c>
      <c r="V50" s="122">
        <f>IF(V6&lt;COD,0,'Debt Schedule'!V12)</f>
        <v>-23.985035090477677</v>
      </c>
      <c r="W50" s="122">
        <f>IF(W6&lt;COD,0,'Debt Schedule'!W12)</f>
        <v>-23.985035090477677</v>
      </c>
      <c r="X50" s="122">
        <f>IF(X6&lt;COD,0,'Debt Schedule'!X12)</f>
        <v>-23.985035090477677</v>
      </c>
      <c r="Y50" s="122">
        <f>IF(Y6&lt;COD,0,'Debt Schedule'!Y12)</f>
        <v>-23.985035090477677</v>
      </c>
      <c r="Z50" s="122">
        <f>IF(Z6&lt;COD,0,'Debt Schedule'!Z12)</f>
        <v>-23.985035090477677</v>
      </c>
      <c r="AA50" s="122">
        <f>IF(AA6&lt;COD,0,'Debt Schedule'!AA12)</f>
        <v>-23.985035090477677</v>
      </c>
      <c r="AB50" s="122">
        <f>IF(AB6&lt;COD,0,'Debt Schedule'!AB12)</f>
        <v>-23.985035090477677</v>
      </c>
      <c r="AC50" s="122">
        <f>IF(AC6&lt;COD,0,'Debt Schedule'!AC12)</f>
        <v>-16.499203227094945</v>
      </c>
      <c r="AD50" s="122">
        <f>IF(AD6&lt;COD,0,'Debt Schedule'!AD12)</f>
        <v>-10.09421339746266</v>
      </c>
      <c r="AE50" s="122">
        <f>IF(AE6&lt;COD,0,'Debt Schedule'!AE12)</f>
        <v>-4.6144975531257879</v>
      </c>
      <c r="AF50" s="122">
        <f>IF(AF6&lt;COD,0,'Debt Schedule'!AF12)</f>
        <v>0</v>
      </c>
      <c r="AG50" s="122">
        <f>IF(AG6&lt;COD,0,'Debt Schedule'!AG12)</f>
        <v>0</v>
      </c>
      <c r="AH50" s="122">
        <f>IF(AH6&lt;COD,0,'Debt Schedule'!AH12)</f>
        <v>0</v>
      </c>
      <c r="AI50" s="122">
        <f>IF(AI6&lt;COD,0,'Debt Schedule'!AI12)</f>
        <v>0</v>
      </c>
      <c r="AJ50" s="122">
        <f>IF(AJ6&lt;COD,0,'Debt Schedule'!AJ12)</f>
        <v>0</v>
      </c>
      <c r="AK50" s="122">
        <f>IF(AK6&lt;COD,0,'Debt Schedule'!AK12)</f>
        <v>0</v>
      </c>
      <c r="AL50" s="122">
        <f>IF(AL6&lt;COD,0,'Debt Schedule'!AL12)</f>
        <v>0</v>
      </c>
      <c r="AM50" s="122">
        <f>IF(AM6&lt;COD,0,'Debt Schedule'!AM12)</f>
        <v>0</v>
      </c>
      <c r="AN50" s="122">
        <f>IF(AN6&lt;COD,0,'Debt Schedule'!AN12)</f>
        <v>0</v>
      </c>
      <c r="AO50" s="122">
        <f>IF(AO6&lt;COD,0,'Debt Schedule'!AO12)</f>
        <v>0</v>
      </c>
      <c r="AP50" s="122">
        <f>IF(AP6&lt;COD,0,'Debt Schedule'!AP12)</f>
        <v>0</v>
      </c>
      <c r="AQ50" s="122">
        <f>IF(AQ6&lt;COD,0,'Debt Schedule'!AQ12)</f>
        <v>0</v>
      </c>
    </row>
    <row r="51" spans="2:43">
      <c r="B51" s="15" t="s">
        <v>275</v>
      </c>
      <c r="C51" s="15"/>
      <c r="D51" s="15"/>
      <c r="E51" s="15"/>
      <c r="F51" s="15"/>
      <c r="G51" s="15"/>
      <c r="H51" s="15"/>
      <c r="I51" s="58">
        <f>SUM(I45:I50)</f>
        <v>1.6438356164383663</v>
      </c>
      <c r="J51" s="58">
        <f t="shared" ref="J51:AQ51" si="12">SUM(J45:J50)</f>
        <v>3.2876712328743452E-2</v>
      </c>
      <c r="K51" s="58">
        <f t="shared" si="12"/>
        <v>3.3534246575328552E-2</v>
      </c>
      <c r="L51" s="58">
        <f t="shared" si="12"/>
        <v>3.4204931506849334E-2</v>
      </c>
      <c r="M51" s="58">
        <f t="shared" si="12"/>
        <v>321.93396478295102</v>
      </c>
      <c r="N51" s="58">
        <f t="shared" si="12"/>
        <v>398.97521271295625</v>
      </c>
      <c r="O51" s="58">
        <f t="shared" si="12"/>
        <v>401.81405417051951</v>
      </c>
      <c r="P51" s="58">
        <f t="shared" si="12"/>
        <v>404.64452321797307</v>
      </c>
      <c r="Q51" s="58">
        <f t="shared" si="12"/>
        <v>407.46645240711428</v>
      </c>
      <c r="R51" s="58">
        <f t="shared" si="12"/>
        <v>410.27967094077763</v>
      </c>
      <c r="S51" s="58">
        <f t="shared" si="12"/>
        <v>413.0840046058525</v>
      </c>
      <c r="T51" s="58">
        <f t="shared" si="12"/>
        <v>415.87927570496817</v>
      </c>
      <c r="U51" s="58">
        <f t="shared" si="12"/>
        <v>313.34499048680487</v>
      </c>
      <c r="V51" s="58">
        <f t="shared" si="12"/>
        <v>423.30127657501731</v>
      </c>
      <c r="W51" s="58">
        <f t="shared" si="12"/>
        <v>426.06825789573247</v>
      </c>
      <c r="X51" s="58">
        <f t="shared" si="12"/>
        <v>428.82542960360104</v>
      </c>
      <c r="Y51" s="58">
        <f t="shared" si="12"/>
        <v>431.57259550636581</v>
      </c>
      <c r="Z51" s="58">
        <f t="shared" si="12"/>
        <v>434.30955548792474</v>
      </c>
      <c r="AA51" s="58">
        <f t="shared" si="12"/>
        <v>437.03610542985371</v>
      </c>
      <c r="AB51" s="58">
        <f t="shared" si="12"/>
        <v>439.75203713136005</v>
      </c>
      <c r="AC51" s="58">
        <f t="shared" si="12"/>
        <v>342.55045689290426</v>
      </c>
      <c r="AD51" s="58">
        <f t="shared" si="12"/>
        <v>455.52793199321121</v>
      </c>
      <c r="AE51" s="58">
        <f t="shared" si="12"/>
        <v>461.08482641108191</v>
      </c>
      <c r="AF51" s="58">
        <f t="shared" si="12"/>
        <v>465.38659169349182</v>
      </c>
      <c r="AG51" s="58">
        <f t="shared" si="12"/>
        <v>464.7886985273617</v>
      </c>
      <c r="AH51" s="58">
        <f t="shared" si="12"/>
        <v>464.17884749790892</v>
      </c>
      <c r="AI51" s="58">
        <f t="shared" si="12"/>
        <v>463.55679944786698</v>
      </c>
      <c r="AJ51" s="58">
        <f t="shared" si="12"/>
        <v>462.92231043682443</v>
      </c>
      <c r="AK51" s="58">
        <f t="shared" si="12"/>
        <v>356.95481914556103</v>
      </c>
      <c r="AL51" s="58">
        <f t="shared" si="12"/>
        <v>463.47438427847237</v>
      </c>
      <c r="AM51" s="58">
        <f t="shared" si="12"/>
        <v>461.55252220892203</v>
      </c>
      <c r="AN51" s="58">
        <f t="shared" si="12"/>
        <v>460.66003099675049</v>
      </c>
      <c r="AO51" s="58">
        <f t="shared" si="12"/>
        <v>459.00073161668524</v>
      </c>
      <c r="AP51" s="58">
        <f t="shared" si="12"/>
        <v>457.32683999901906</v>
      </c>
      <c r="AQ51" s="58">
        <f t="shared" si="12"/>
        <v>456.56775179899932</v>
      </c>
    </row>
    <row r="53" spans="2:43">
      <c r="B53" s="182" t="s">
        <v>254</v>
      </c>
    </row>
    <row r="55" spans="2:43">
      <c r="B55" s="39" t="s">
        <v>233</v>
      </c>
      <c r="I55" s="70">
        <f>-SUM('Debt Schedule'!I31:I32)</f>
        <v>0</v>
      </c>
      <c r="J55" s="70">
        <f>-SUM('Debt Schedule'!J31:J32)</f>
        <v>0</v>
      </c>
      <c r="K55" s="70">
        <f>-SUM('Debt Schedule'!K31:K32)</f>
        <v>0</v>
      </c>
      <c r="L55" s="70">
        <f>-SUM('Debt Schedule'!L31:L32)</f>
        <v>0</v>
      </c>
      <c r="M55" s="70">
        <f>-SUM('Debt Schedule'!M31:M32)</f>
        <v>-300</v>
      </c>
      <c r="N55" s="70">
        <f>-SUM('Debt Schedule'!N31:N32)</f>
        <v>0</v>
      </c>
      <c r="O55" s="70">
        <f>-SUM('Debt Schedule'!O31:O32)</f>
        <v>0</v>
      </c>
      <c r="P55" s="70">
        <f>-SUM('Debt Schedule'!P31:P32)</f>
        <v>0</v>
      </c>
      <c r="Q55" s="70">
        <f>-SUM('Debt Schedule'!Q31:Q32)</f>
        <v>0</v>
      </c>
      <c r="R55" s="70">
        <f>-SUM('Debt Schedule'!R31:R32)</f>
        <v>0</v>
      </c>
      <c r="S55" s="70">
        <f>-SUM('Debt Schedule'!S31:S32)</f>
        <v>0</v>
      </c>
      <c r="T55" s="70">
        <f>-SUM('Debt Schedule'!T31:T32)</f>
        <v>0</v>
      </c>
      <c r="U55" s="70">
        <f>-SUM('Debt Schedule'!U31:U32)</f>
        <v>0</v>
      </c>
      <c r="V55" s="70">
        <f>-SUM('Debt Schedule'!V31:V32)</f>
        <v>0</v>
      </c>
      <c r="W55" s="70">
        <f>-SUM('Debt Schedule'!W31:W32)</f>
        <v>0</v>
      </c>
      <c r="X55" s="70">
        <f>-SUM('Debt Schedule'!X31:X32)</f>
        <v>0</v>
      </c>
      <c r="Y55" s="70">
        <f>-SUM('Debt Schedule'!Y31:Y32)</f>
        <v>0</v>
      </c>
      <c r="Z55" s="70">
        <f>-SUM('Debt Schedule'!Z31:Z32)</f>
        <v>0</v>
      </c>
      <c r="AA55" s="70">
        <f>-SUM('Debt Schedule'!AA31:AA32)</f>
        <v>0</v>
      </c>
      <c r="AB55" s="70">
        <f>-SUM('Debt Schedule'!AB31:AB32)</f>
        <v>0</v>
      </c>
      <c r="AC55" s="70">
        <f>-SUM('Debt Schedule'!AC31:AC32)</f>
        <v>0</v>
      </c>
      <c r="AD55" s="70">
        <f>-SUM('Debt Schedule'!AD31:AD32)</f>
        <v>0</v>
      </c>
      <c r="AE55" s="70">
        <f>-SUM('Debt Schedule'!AE31:AE32)</f>
        <v>0</v>
      </c>
      <c r="AF55" s="70">
        <f>-SUM('Debt Schedule'!AF31:AF32)</f>
        <v>0</v>
      </c>
      <c r="AG55" s="70">
        <f>-SUM('Debt Schedule'!AG31:AG32)</f>
        <v>0</v>
      </c>
      <c r="AH55" s="70">
        <f>-SUM('Debt Schedule'!AH31:AH32)</f>
        <v>0</v>
      </c>
      <c r="AI55" s="70">
        <f>-SUM('Debt Schedule'!AI31:AI32)</f>
        <v>0</v>
      </c>
      <c r="AJ55" s="70">
        <f>-SUM('Debt Schedule'!AJ31:AJ32)</f>
        <v>0</v>
      </c>
      <c r="AK55" s="70">
        <f>-SUM('Debt Schedule'!AK31:AK32)</f>
        <v>0</v>
      </c>
      <c r="AL55" s="70">
        <f>-SUM('Debt Schedule'!AL31:AL32)</f>
        <v>0</v>
      </c>
      <c r="AM55" s="70">
        <f>-SUM('Debt Schedule'!AM31:AM32)</f>
        <v>0</v>
      </c>
      <c r="AN55" s="70">
        <f>-SUM('Debt Schedule'!AN31:AN32)</f>
        <v>0</v>
      </c>
      <c r="AO55" s="70">
        <f>-SUM('Debt Schedule'!AO31:AO32)</f>
        <v>0</v>
      </c>
      <c r="AP55" s="70">
        <f>-SUM('Debt Schedule'!AP31:AP32)</f>
        <v>0</v>
      </c>
      <c r="AQ55" s="70">
        <f>-SUM('Debt Schedule'!AQ31:AQ32)</f>
        <v>0</v>
      </c>
    </row>
    <row r="56" spans="2:43">
      <c r="B56" s="121" t="s">
        <v>255</v>
      </c>
      <c r="C56" s="118"/>
      <c r="D56" s="118"/>
      <c r="E56" s="118"/>
      <c r="F56" s="118"/>
      <c r="G56" s="118"/>
      <c r="H56" s="118"/>
      <c r="I56" s="122">
        <f>-SUM('Debt Schedule'!I38:I39)</f>
        <v>0</v>
      </c>
      <c r="J56" s="122">
        <f>-SUM('Debt Schedule'!J38:J39)</f>
        <v>0</v>
      </c>
      <c r="K56" s="122">
        <f>-SUM('Debt Schedule'!K38:K39)</f>
        <v>0</v>
      </c>
      <c r="L56" s="122">
        <f>-SUM('Debt Schedule'!L38:L39)</f>
        <v>0</v>
      </c>
      <c r="M56" s="122">
        <f>-SUM('Debt Schedule'!M38:M39)</f>
        <v>0</v>
      </c>
      <c r="N56" s="122">
        <f>-SUM('Debt Schedule'!N38:N39)</f>
        <v>-300</v>
      </c>
      <c r="O56" s="122">
        <f>-SUM('Debt Schedule'!O38:O39)</f>
        <v>0</v>
      </c>
      <c r="P56" s="122">
        <f>-SUM('Debt Schedule'!P38:P39)</f>
        <v>0</v>
      </c>
      <c r="Q56" s="122">
        <f>-SUM('Debt Schedule'!Q38:Q39)</f>
        <v>0</v>
      </c>
      <c r="R56" s="122">
        <f>-SUM('Debt Schedule'!R38:R39)</f>
        <v>0</v>
      </c>
      <c r="S56" s="122">
        <f>-SUM('Debt Schedule'!S38:S39)</f>
        <v>0</v>
      </c>
      <c r="T56" s="122">
        <f>-SUM('Debt Schedule'!T38:T39)</f>
        <v>0</v>
      </c>
      <c r="U56" s="122">
        <f>-SUM('Debt Schedule'!U38:U39)</f>
        <v>0</v>
      </c>
      <c r="V56" s="122">
        <f>-SUM('Debt Schedule'!V38:V39)</f>
        <v>0</v>
      </c>
      <c r="W56" s="122">
        <f>-SUM('Debt Schedule'!W38:W39)</f>
        <v>0</v>
      </c>
      <c r="X56" s="122">
        <f>-SUM('Debt Schedule'!X38:X39)</f>
        <v>0</v>
      </c>
      <c r="Y56" s="122">
        <f>-SUM('Debt Schedule'!Y38:Y39)</f>
        <v>0</v>
      </c>
      <c r="Z56" s="122">
        <f>-SUM('Debt Schedule'!Z38:Z39)</f>
        <v>0</v>
      </c>
      <c r="AA56" s="122">
        <f>-SUM('Debt Schedule'!AA38:AA39)</f>
        <v>0</v>
      </c>
      <c r="AB56" s="122">
        <f>-SUM('Debt Schedule'!AB38:AB39)</f>
        <v>0</v>
      </c>
      <c r="AC56" s="122">
        <f>-SUM('Debt Schedule'!AC38:AC39)</f>
        <v>0</v>
      </c>
      <c r="AD56" s="122">
        <f>-SUM('Debt Schedule'!AD38:AD39)</f>
        <v>0</v>
      </c>
      <c r="AE56" s="122">
        <f>-SUM('Debt Schedule'!AE38:AE39)</f>
        <v>0</v>
      </c>
      <c r="AF56" s="122">
        <f>-SUM('Debt Schedule'!AF38:AF39)</f>
        <v>0</v>
      </c>
      <c r="AG56" s="122">
        <f>-SUM('Debt Schedule'!AG38:AG39)</f>
        <v>0</v>
      </c>
      <c r="AH56" s="122">
        <f>-SUM('Debt Schedule'!AH38:AH39)</f>
        <v>0</v>
      </c>
      <c r="AI56" s="122">
        <f>-SUM('Debt Schedule'!AI38:AI39)</f>
        <v>0</v>
      </c>
      <c r="AJ56" s="122">
        <f>-SUM('Debt Schedule'!AJ38:AJ39)</f>
        <v>0</v>
      </c>
      <c r="AK56" s="122">
        <f>-SUM('Debt Schedule'!AK38:AK39)</f>
        <v>0</v>
      </c>
      <c r="AL56" s="122">
        <f>-SUM('Debt Schedule'!AL38:AL39)</f>
        <v>0</v>
      </c>
      <c r="AM56" s="122">
        <f>-SUM('Debt Schedule'!AM38:AM39)</f>
        <v>0</v>
      </c>
      <c r="AN56" s="122">
        <f>-SUM('Debt Schedule'!AN38:AN39)</f>
        <v>0</v>
      </c>
      <c r="AO56" s="122">
        <f>-SUM('Debt Schedule'!AO38:AO39)</f>
        <v>0</v>
      </c>
      <c r="AP56" s="122">
        <f>-SUM('Debt Schedule'!AP38:AP39)</f>
        <v>0</v>
      </c>
      <c r="AQ56" s="122">
        <f>-SUM('Debt Schedule'!AQ38:AQ39)</f>
        <v>0</v>
      </c>
    </row>
    <row r="57" spans="2:43">
      <c r="B57" s="15" t="s">
        <v>258</v>
      </c>
      <c r="C57" s="15"/>
      <c r="D57" s="15"/>
      <c r="E57" s="15"/>
      <c r="F57" s="15"/>
      <c r="G57" s="15"/>
      <c r="H57" s="15"/>
      <c r="I57" s="58">
        <f>SUM(I51:I56)</f>
        <v>1.6438356164383663</v>
      </c>
      <c r="J57" s="58">
        <f t="shared" ref="J57:AQ57" si="13">SUM(J51:J56)</f>
        <v>3.2876712328743452E-2</v>
      </c>
      <c r="K57" s="58">
        <f t="shared" si="13"/>
        <v>3.3534246575328552E-2</v>
      </c>
      <c r="L57" s="58">
        <f t="shared" si="13"/>
        <v>3.4204931506849334E-2</v>
      </c>
      <c r="M57" s="58">
        <f t="shared" si="13"/>
        <v>21.933964782951023</v>
      </c>
      <c r="N57" s="58">
        <f t="shared" si="13"/>
        <v>98.97521271295625</v>
      </c>
      <c r="O57" s="58">
        <f t="shared" si="13"/>
        <v>401.81405417051951</v>
      </c>
      <c r="P57" s="58">
        <f t="shared" si="13"/>
        <v>404.64452321797307</v>
      </c>
      <c r="Q57" s="58">
        <f t="shared" si="13"/>
        <v>407.46645240711428</v>
      </c>
      <c r="R57" s="58">
        <f t="shared" si="13"/>
        <v>410.27967094077763</v>
      </c>
      <c r="S57" s="58">
        <f t="shared" si="13"/>
        <v>413.0840046058525</v>
      </c>
      <c r="T57" s="58">
        <f t="shared" si="13"/>
        <v>415.87927570496817</v>
      </c>
      <c r="U57" s="58">
        <f t="shared" si="13"/>
        <v>313.34499048680487</v>
      </c>
      <c r="V57" s="58">
        <f t="shared" si="13"/>
        <v>423.30127657501731</v>
      </c>
      <c r="W57" s="58">
        <f t="shared" si="13"/>
        <v>426.06825789573247</v>
      </c>
      <c r="X57" s="58">
        <f t="shared" si="13"/>
        <v>428.82542960360104</v>
      </c>
      <c r="Y57" s="58">
        <f t="shared" si="13"/>
        <v>431.57259550636581</v>
      </c>
      <c r="Z57" s="58">
        <f t="shared" si="13"/>
        <v>434.30955548792474</v>
      </c>
      <c r="AA57" s="58">
        <f t="shared" si="13"/>
        <v>437.03610542985371</v>
      </c>
      <c r="AB57" s="58">
        <f t="shared" si="13"/>
        <v>439.75203713136005</v>
      </c>
      <c r="AC57" s="58">
        <f t="shared" si="13"/>
        <v>342.55045689290426</v>
      </c>
      <c r="AD57" s="58">
        <f t="shared" si="13"/>
        <v>455.52793199321121</v>
      </c>
      <c r="AE57" s="58">
        <f t="shared" si="13"/>
        <v>461.08482641108191</v>
      </c>
      <c r="AF57" s="58">
        <f t="shared" si="13"/>
        <v>465.38659169349182</v>
      </c>
      <c r="AG57" s="58">
        <f t="shared" si="13"/>
        <v>464.7886985273617</v>
      </c>
      <c r="AH57" s="58">
        <f t="shared" si="13"/>
        <v>464.17884749790892</v>
      </c>
      <c r="AI57" s="58">
        <f t="shared" si="13"/>
        <v>463.55679944786698</v>
      </c>
      <c r="AJ57" s="58">
        <f t="shared" si="13"/>
        <v>462.92231043682443</v>
      </c>
      <c r="AK57" s="58">
        <f t="shared" si="13"/>
        <v>356.95481914556103</v>
      </c>
      <c r="AL57" s="58">
        <f t="shared" si="13"/>
        <v>463.47438427847237</v>
      </c>
      <c r="AM57" s="58">
        <f t="shared" si="13"/>
        <v>461.55252220892203</v>
      </c>
      <c r="AN57" s="58">
        <f t="shared" si="13"/>
        <v>460.66003099675049</v>
      </c>
      <c r="AO57" s="58">
        <f t="shared" si="13"/>
        <v>459.00073161668524</v>
      </c>
      <c r="AP57" s="58">
        <f t="shared" si="13"/>
        <v>457.32683999901906</v>
      </c>
      <c r="AQ57" s="58">
        <f t="shared" si="13"/>
        <v>456.56775179899932</v>
      </c>
    </row>
    <row r="59" spans="2:43">
      <c r="B59" s="182" t="s">
        <v>256</v>
      </c>
    </row>
    <row r="61" spans="2:43">
      <c r="B61" s="39" t="s">
        <v>208</v>
      </c>
      <c r="G61" s="184">
        <f>'Financing Assumptions'!Q34</f>
        <v>1.2</v>
      </c>
      <c r="I61" s="3">
        <f>IF(I$6&lt;COD,0,IF('Debt Schedule'!I24&gt;'Cash Flow Waterfall'!$G61,1,0))</f>
        <v>0</v>
      </c>
      <c r="J61" s="3">
        <f>IF(J$6&lt;COD,0,IF('Debt Schedule'!J24&gt;'Cash Flow Waterfall'!$G61,1,0))</f>
        <v>0</v>
      </c>
      <c r="K61" s="3">
        <f>IF(K$6&lt;COD,0,IF('Debt Schedule'!K24&gt;'Cash Flow Waterfall'!$G61,1,0))</f>
        <v>0</v>
      </c>
      <c r="L61" s="3">
        <f>IF(L$6&lt;COD,0,IF('Debt Schedule'!L24&gt;'Cash Flow Waterfall'!$G61,1,0))</f>
        <v>0</v>
      </c>
      <c r="M61" s="3">
        <f>IF(M$6&lt;COD,0,IF('Debt Schedule'!M24&gt;'Cash Flow Waterfall'!$G61,1,0))</f>
        <v>1</v>
      </c>
      <c r="N61" s="3">
        <f>IF(N$6&lt;COD,0,IF('Debt Schedule'!N24&gt;'Cash Flow Waterfall'!$G61,1,0))</f>
        <v>1</v>
      </c>
      <c r="O61" s="3">
        <f>IF(O$6&lt;COD,0,IF('Debt Schedule'!O24&gt;'Cash Flow Waterfall'!$G61,1,0))</f>
        <v>1</v>
      </c>
      <c r="P61" s="3">
        <f>IF(P$6&lt;COD,0,IF('Debt Schedule'!P24&gt;'Cash Flow Waterfall'!$G61,1,0))</f>
        <v>1</v>
      </c>
      <c r="Q61" s="3">
        <f>IF(Q$6&lt;COD,0,IF('Debt Schedule'!Q24&gt;'Cash Flow Waterfall'!$G61,1,0))</f>
        <v>1</v>
      </c>
      <c r="R61" s="3">
        <f>IF(R$6&lt;COD,0,IF('Debt Schedule'!R24&gt;'Cash Flow Waterfall'!$G61,1,0))</f>
        <v>1</v>
      </c>
      <c r="S61" s="3">
        <f>IF(S$6&lt;COD,0,IF('Debt Schedule'!S24&gt;'Cash Flow Waterfall'!$G61,1,0))</f>
        <v>1</v>
      </c>
      <c r="T61" s="3">
        <f>IF(T$6&lt;COD,0,IF('Debt Schedule'!T24&gt;'Cash Flow Waterfall'!$G61,1,0))</f>
        <v>1</v>
      </c>
      <c r="U61" s="3">
        <f>IF(U$6&lt;COD,0,IF('Debt Schedule'!U24&gt;'Cash Flow Waterfall'!$G61,1,0))</f>
        <v>1</v>
      </c>
      <c r="V61" s="3">
        <f>IF(V$6&lt;COD,0,IF('Debt Schedule'!V24&gt;'Cash Flow Waterfall'!$G61,1,0))</f>
        <v>1</v>
      </c>
      <c r="W61" s="3">
        <f>IF(W$6&lt;COD,0,IF('Debt Schedule'!W24&gt;'Cash Flow Waterfall'!$G61,1,0))</f>
        <v>1</v>
      </c>
      <c r="X61" s="3">
        <f>IF(X$6&lt;COD,0,IF('Debt Schedule'!X24&gt;'Cash Flow Waterfall'!$G61,1,0))</f>
        <v>1</v>
      </c>
      <c r="Y61" s="3">
        <f>IF(Y$6&lt;COD,0,IF('Debt Schedule'!Y24&gt;'Cash Flow Waterfall'!$G61,1,0))</f>
        <v>1</v>
      </c>
      <c r="Z61" s="3">
        <f>IF(Z$6&lt;COD,0,IF('Debt Schedule'!Z24&gt;'Cash Flow Waterfall'!$G61,1,0))</f>
        <v>1</v>
      </c>
      <c r="AA61" s="3">
        <f>IF(AA$6&lt;COD,0,IF('Debt Schedule'!AA24&gt;'Cash Flow Waterfall'!$G61,1,0))</f>
        <v>1</v>
      </c>
      <c r="AB61" s="3">
        <f>IF(AB$6&lt;COD,0,IF('Debt Schedule'!AB24&gt;'Cash Flow Waterfall'!$G61,1,0))</f>
        <v>1</v>
      </c>
      <c r="AC61" s="3">
        <f>IF(AC$6&lt;COD,0,IF('Debt Schedule'!AC24&gt;'Cash Flow Waterfall'!$G61,1,0))</f>
        <v>1</v>
      </c>
      <c r="AD61" s="3">
        <f>IF(AD$6&lt;COD,0,IF('Debt Schedule'!AD24&gt;'Cash Flow Waterfall'!$G61,1,0))</f>
        <v>1</v>
      </c>
      <c r="AE61" s="3">
        <f>IF(AE$6&lt;COD,0,IF('Debt Schedule'!AE24&gt;'Cash Flow Waterfall'!$G61,1,0))</f>
        <v>1</v>
      </c>
      <c r="AF61" s="3">
        <f>IF(AF$6&lt;COD,0,IF('Debt Schedule'!AF24&gt;'Cash Flow Waterfall'!$G61,1,0))</f>
        <v>1</v>
      </c>
      <c r="AG61" s="3">
        <f>IF(AG$6&lt;COD,0,IF('Debt Schedule'!AG24&gt;'Cash Flow Waterfall'!$G61,1,0))</f>
        <v>1</v>
      </c>
      <c r="AH61" s="3">
        <f>IF(AH$6&lt;COD,0,IF('Debt Schedule'!AH24&gt;'Cash Flow Waterfall'!$G61,1,0))</f>
        <v>1</v>
      </c>
      <c r="AI61" s="3">
        <f>IF(AI$6&lt;COD,0,IF('Debt Schedule'!AI24&gt;'Cash Flow Waterfall'!$G61,1,0))</f>
        <v>1</v>
      </c>
      <c r="AJ61" s="3">
        <f>IF(AJ$6&lt;COD,0,IF('Debt Schedule'!AJ24&gt;'Cash Flow Waterfall'!$G61,1,0))</f>
        <v>1</v>
      </c>
      <c r="AK61" s="3">
        <f>IF(AK$6&lt;COD,0,IF('Debt Schedule'!AK24&gt;'Cash Flow Waterfall'!$G61,1,0))</f>
        <v>1</v>
      </c>
      <c r="AL61" s="3">
        <f>IF(AL$6&lt;COD,0,IF('Debt Schedule'!AL24&gt;'Cash Flow Waterfall'!$G61,1,0))</f>
        <v>1</v>
      </c>
      <c r="AM61" s="3">
        <f>IF(AM$6&lt;COD,0,IF('Debt Schedule'!AM24&gt;'Cash Flow Waterfall'!$G61,1,0))</f>
        <v>1</v>
      </c>
      <c r="AN61" s="3">
        <f>IF(AN$6&lt;COD,0,IF('Debt Schedule'!AN24&gt;'Cash Flow Waterfall'!$G61,1,0))</f>
        <v>1</v>
      </c>
      <c r="AO61" s="3">
        <f>IF(AO$6&lt;COD,0,IF('Debt Schedule'!AO24&gt;'Cash Flow Waterfall'!$G61,1,0))</f>
        <v>1</v>
      </c>
      <c r="AP61" s="3">
        <f>IF(AP$6&lt;COD,0,IF('Debt Schedule'!AP24&gt;'Cash Flow Waterfall'!$G61,1,0))</f>
        <v>1</v>
      </c>
      <c r="AQ61" s="3">
        <f>IF(AQ$6&lt;COD,0,IF('Debt Schedule'!AQ24&gt;'Cash Flow Waterfall'!$G61,1,0))</f>
        <v>1</v>
      </c>
    </row>
    <row r="62" spans="2:43">
      <c r="B62" s="39" t="s">
        <v>209</v>
      </c>
      <c r="G62" s="184">
        <f>'Financing Assumptions'!Q35</f>
        <v>1.2</v>
      </c>
      <c r="I62" s="3">
        <f>IF(I$6&lt;COD,0,IF('Debt Schedule'!I26&gt;'Cash Flow Waterfall'!$G62,1,0))</f>
        <v>0</v>
      </c>
      <c r="J62" s="3">
        <f>IF(J$6&lt;COD,0,IF('Debt Schedule'!J26&gt;'Cash Flow Waterfall'!$G62,1,0))</f>
        <v>0</v>
      </c>
      <c r="K62" s="3">
        <f>IF(K$6&lt;COD,0,IF('Debt Schedule'!K26&gt;'Cash Flow Waterfall'!$G62,1,0))</f>
        <v>0</v>
      </c>
      <c r="L62" s="3">
        <f>IF(L$6&lt;COD,0,IF('Debt Schedule'!L26&gt;'Cash Flow Waterfall'!$G62,1,0))</f>
        <v>0</v>
      </c>
      <c r="M62" s="3">
        <f>IF(M$6&lt;COD,0,IF('Debt Schedule'!M26&gt;'Cash Flow Waterfall'!$G62,1,0))</f>
        <v>1</v>
      </c>
      <c r="N62" s="3">
        <f>IF(N$6&lt;COD,0,IF('Debt Schedule'!N26&gt;'Cash Flow Waterfall'!$G62,1,0))</f>
        <v>1</v>
      </c>
      <c r="O62" s="3">
        <f>IF(O$6&lt;COD,0,IF('Debt Schedule'!O26&gt;'Cash Flow Waterfall'!$G62,1,0))</f>
        <v>1</v>
      </c>
      <c r="P62" s="3">
        <f>IF(P$6&lt;COD,0,IF('Debt Schedule'!P26&gt;'Cash Flow Waterfall'!$G62,1,0))</f>
        <v>1</v>
      </c>
      <c r="Q62" s="3">
        <f>IF(Q$6&lt;COD,0,IF('Debt Schedule'!Q26&gt;'Cash Flow Waterfall'!$G62,1,0))</f>
        <v>1</v>
      </c>
      <c r="R62" s="3">
        <f>IF(R$6&lt;COD,0,IF('Debt Schedule'!R26&gt;'Cash Flow Waterfall'!$G62,1,0))</f>
        <v>1</v>
      </c>
      <c r="S62" s="3">
        <f>IF(S$6&lt;COD,0,IF('Debt Schedule'!S26&gt;'Cash Flow Waterfall'!$G62,1,0))</f>
        <v>1</v>
      </c>
      <c r="T62" s="3">
        <f>IF(T$6&lt;COD,0,IF('Debt Schedule'!T26&gt;'Cash Flow Waterfall'!$G62,1,0))</f>
        <v>1</v>
      </c>
      <c r="U62" s="3">
        <f>IF(U$6&lt;COD,0,IF('Debt Schedule'!U26&gt;'Cash Flow Waterfall'!$G62,1,0))</f>
        <v>1</v>
      </c>
      <c r="V62" s="3">
        <f>IF(V$6&lt;COD,0,IF('Debt Schedule'!V26&gt;'Cash Flow Waterfall'!$G62,1,0))</f>
        <v>1</v>
      </c>
      <c r="W62" s="3">
        <f>IF(W$6&lt;COD,0,IF('Debt Schedule'!W26&gt;'Cash Flow Waterfall'!$G62,1,0))</f>
        <v>1</v>
      </c>
      <c r="X62" s="3">
        <f>IF(X$6&lt;COD,0,IF('Debt Schedule'!X26&gt;'Cash Flow Waterfall'!$G62,1,0))</f>
        <v>1</v>
      </c>
      <c r="Y62" s="3">
        <f>IF(Y$6&lt;COD,0,IF('Debt Schedule'!Y26&gt;'Cash Flow Waterfall'!$G62,1,0))</f>
        <v>1</v>
      </c>
      <c r="Z62" s="3">
        <f>IF(Z$6&lt;COD,0,IF('Debt Schedule'!Z26&gt;'Cash Flow Waterfall'!$G62,1,0))</f>
        <v>1</v>
      </c>
      <c r="AA62" s="3">
        <f>IF(AA$6&lt;COD,0,IF('Debt Schedule'!AA26&gt;'Cash Flow Waterfall'!$G62,1,0))</f>
        <v>1</v>
      </c>
      <c r="AB62" s="3">
        <f>IF(AB$6&lt;COD,0,IF('Debt Schedule'!AB26&gt;'Cash Flow Waterfall'!$G62,1,0))</f>
        <v>1</v>
      </c>
      <c r="AC62" s="3">
        <f>IF(AC$6&lt;COD,0,IF('Debt Schedule'!AC26&gt;'Cash Flow Waterfall'!$G62,1,0))</f>
        <v>1</v>
      </c>
      <c r="AD62" s="3">
        <f>IF(AD$6&lt;COD,0,IF('Debt Schedule'!AD26&gt;'Cash Flow Waterfall'!$G62,1,0))</f>
        <v>1</v>
      </c>
      <c r="AE62" s="3">
        <f>IF(AE$6&lt;COD,0,IF('Debt Schedule'!AE26&gt;'Cash Flow Waterfall'!$G62,1,0))</f>
        <v>1</v>
      </c>
      <c r="AF62" s="3">
        <f>IF(AF$6&lt;COD,0,IF('Debt Schedule'!AF26&gt;'Cash Flow Waterfall'!$G62,1,0))</f>
        <v>1</v>
      </c>
      <c r="AG62" s="3">
        <f>IF(AG$6&lt;COD,0,IF('Debt Schedule'!AG26&gt;'Cash Flow Waterfall'!$G62,1,0))</f>
        <v>1</v>
      </c>
      <c r="AH62" s="3">
        <f>IF(AH$6&lt;COD,0,IF('Debt Schedule'!AH26&gt;'Cash Flow Waterfall'!$G62,1,0))</f>
        <v>1</v>
      </c>
      <c r="AI62" s="3">
        <f>IF(AI$6&lt;COD,0,IF('Debt Schedule'!AI26&gt;'Cash Flow Waterfall'!$G62,1,0))</f>
        <v>1</v>
      </c>
      <c r="AJ62" s="3">
        <f>IF(AJ$6&lt;COD,0,IF('Debt Schedule'!AJ26&gt;'Cash Flow Waterfall'!$G62,1,0))</f>
        <v>1</v>
      </c>
      <c r="AK62" s="3">
        <f>IF(AK$6&lt;COD,0,IF('Debt Schedule'!AK26&gt;'Cash Flow Waterfall'!$G62,1,0))</f>
        <v>1</v>
      </c>
      <c r="AL62" s="3">
        <f>IF(AL$6&lt;COD,0,IF('Debt Schedule'!AL26&gt;'Cash Flow Waterfall'!$G62,1,0))</f>
        <v>1</v>
      </c>
      <c r="AM62" s="3">
        <f>IF(AM$6&lt;COD,0,IF('Debt Schedule'!AM26&gt;'Cash Flow Waterfall'!$G62,1,0))</f>
        <v>1</v>
      </c>
      <c r="AN62" s="3">
        <f>IF(AN$6&lt;COD,0,IF('Debt Schedule'!AN26&gt;'Cash Flow Waterfall'!$G62,1,0))</f>
        <v>1</v>
      </c>
      <c r="AO62" s="3">
        <f>IF(AO$6&lt;COD,0,IF('Debt Schedule'!AO26&gt;'Cash Flow Waterfall'!$G62,1,0))</f>
        <v>1</v>
      </c>
      <c r="AP62" s="3">
        <f>IF(AP$6&lt;COD,0,IF('Debt Schedule'!AP26&gt;'Cash Flow Waterfall'!$G62,1,0))</f>
        <v>1</v>
      </c>
      <c r="AQ62" s="3">
        <f>IF(AQ$6&lt;COD,0,IF('Debt Schedule'!AQ26&gt;'Cash Flow Waterfall'!$G62,1,0))</f>
        <v>1</v>
      </c>
    </row>
    <row r="63" spans="2:43">
      <c r="B63" s="39" t="s">
        <v>233</v>
      </c>
      <c r="G63" s="91">
        <f>'Financing Assumptions'!Q36</f>
        <v>300</v>
      </c>
      <c r="I63" s="3">
        <f>IF(I$6&lt;COD,0,IF('Debt Schedule'!I33='Cash Flow Waterfall'!$G63,1,0))</f>
        <v>0</v>
      </c>
      <c r="J63" s="3">
        <f>IF(J$6&lt;COD,0,IF('Debt Schedule'!J33='Cash Flow Waterfall'!$G63,1,0))</f>
        <v>0</v>
      </c>
      <c r="K63" s="3">
        <f>IF(K$6&lt;COD,0,IF('Debt Schedule'!K33='Cash Flow Waterfall'!$G63,1,0))</f>
        <v>0</v>
      </c>
      <c r="L63" s="3">
        <f>IF(L$6&lt;COD,0,IF('Debt Schedule'!L33='Cash Flow Waterfall'!$G63,1,0))</f>
        <v>0</v>
      </c>
      <c r="M63" s="3">
        <f>IF(M$6&lt;COD,0,IF('Debt Schedule'!M33='Cash Flow Waterfall'!$G63,1,0))</f>
        <v>1</v>
      </c>
      <c r="N63" s="3">
        <f>IF(N$6&lt;COD,0,IF('Debt Schedule'!N33='Cash Flow Waterfall'!$G63,1,0))</f>
        <v>1</v>
      </c>
      <c r="O63" s="3">
        <f>IF(O$6&lt;COD,0,IF('Debt Schedule'!O33='Cash Flow Waterfall'!$G63,1,0))</f>
        <v>1</v>
      </c>
      <c r="P63" s="3">
        <f>IF(P$6&lt;COD,0,IF('Debt Schedule'!P33='Cash Flow Waterfall'!$G63,1,0))</f>
        <v>1</v>
      </c>
      <c r="Q63" s="3">
        <f>IF(Q$6&lt;COD,0,IF('Debt Schedule'!Q33='Cash Flow Waterfall'!$G63,1,0))</f>
        <v>1</v>
      </c>
      <c r="R63" s="3">
        <f>IF(R$6&lt;COD,0,IF('Debt Schedule'!R33='Cash Flow Waterfall'!$G63,1,0))</f>
        <v>1</v>
      </c>
      <c r="S63" s="3">
        <f>IF(S$6&lt;COD,0,IF('Debt Schedule'!S33='Cash Flow Waterfall'!$G63,1,0))</f>
        <v>1</v>
      </c>
      <c r="T63" s="3">
        <f>IF(T$6&lt;COD,0,IF('Debt Schedule'!T33='Cash Flow Waterfall'!$G63,1,0))</f>
        <v>1</v>
      </c>
      <c r="U63" s="3">
        <f>IF(U$6&lt;COD,0,IF('Debt Schedule'!U33='Cash Flow Waterfall'!$G63,1,0))</f>
        <v>1</v>
      </c>
      <c r="V63" s="3">
        <f>IF(V$6&lt;COD,0,IF('Debt Schedule'!V33='Cash Flow Waterfall'!$G63,1,0))</f>
        <v>1</v>
      </c>
      <c r="W63" s="3">
        <f>IF(W$6&lt;COD,0,IF('Debt Schedule'!W33='Cash Flow Waterfall'!$G63,1,0))</f>
        <v>1</v>
      </c>
      <c r="X63" s="3">
        <f>IF(X$6&lt;COD,0,IF('Debt Schedule'!X33='Cash Flow Waterfall'!$G63,1,0))</f>
        <v>1</v>
      </c>
      <c r="Y63" s="3">
        <f>IF(Y$6&lt;COD,0,IF('Debt Schedule'!Y33='Cash Flow Waterfall'!$G63,1,0))</f>
        <v>1</v>
      </c>
      <c r="Z63" s="3">
        <f>IF(Z$6&lt;COD,0,IF('Debt Schedule'!Z33='Cash Flow Waterfall'!$G63,1,0))</f>
        <v>1</v>
      </c>
      <c r="AA63" s="3">
        <f>IF(AA$6&lt;COD,0,IF('Debt Schedule'!AA33='Cash Flow Waterfall'!$G63,1,0))</f>
        <v>1</v>
      </c>
      <c r="AB63" s="3">
        <f>IF(AB$6&lt;COD,0,IF('Debt Schedule'!AB33='Cash Flow Waterfall'!$G63,1,0))</f>
        <v>1</v>
      </c>
      <c r="AC63" s="3">
        <f>IF(AC$6&lt;COD,0,IF('Debt Schedule'!AC33='Cash Flow Waterfall'!$G63,1,0))</f>
        <v>1</v>
      </c>
      <c r="AD63" s="3">
        <f>IF(AD$6&lt;COD,0,IF('Debt Schedule'!AD33='Cash Flow Waterfall'!$G63,1,0))</f>
        <v>1</v>
      </c>
      <c r="AE63" s="3">
        <f>IF(AE$6&lt;COD,0,IF('Debt Schedule'!AE33='Cash Flow Waterfall'!$G63,1,0))</f>
        <v>1</v>
      </c>
      <c r="AF63" s="3">
        <f>IF(AF$6&lt;COD,0,IF('Debt Schedule'!AF33='Cash Flow Waterfall'!$G63,1,0))</f>
        <v>1</v>
      </c>
      <c r="AG63" s="3">
        <f>IF(AG$6&lt;COD,0,IF('Debt Schedule'!AG33='Cash Flow Waterfall'!$G63,1,0))</f>
        <v>1</v>
      </c>
      <c r="AH63" s="3">
        <f>IF(AH$6&lt;COD,0,IF('Debt Schedule'!AH33='Cash Flow Waterfall'!$G63,1,0))</f>
        <v>1</v>
      </c>
      <c r="AI63" s="3">
        <f>IF(AI$6&lt;COD,0,IF('Debt Schedule'!AI33='Cash Flow Waterfall'!$G63,1,0))</f>
        <v>1</v>
      </c>
      <c r="AJ63" s="3">
        <f>IF(AJ$6&lt;COD,0,IF('Debt Schedule'!AJ33='Cash Flow Waterfall'!$G63,1,0))</f>
        <v>1</v>
      </c>
      <c r="AK63" s="3">
        <f>IF(AK$6&lt;COD,0,IF('Debt Schedule'!AK33='Cash Flow Waterfall'!$G63,1,0))</f>
        <v>1</v>
      </c>
      <c r="AL63" s="3">
        <f>IF(AL$6&lt;COD,0,IF('Debt Schedule'!AL33='Cash Flow Waterfall'!$G63,1,0))</f>
        <v>1</v>
      </c>
      <c r="AM63" s="3">
        <f>IF(AM$6&lt;COD,0,IF('Debt Schedule'!AM33='Cash Flow Waterfall'!$G63,1,0))</f>
        <v>1</v>
      </c>
      <c r="AN63" s="3">
        <f>IF(AN$6&lt;COD,0,IF('Debt Schedule'!AN33='Cash Flow Waterfall'!$G63,1,0))</f>
        <v>1</v>
      </c>
      <c r="AO63" s="3">
        <f>IF(AO$6&lt;COD,0,IF('Debt Schedule'!AO33='Cash Flow Waterfall'!$G63,1,0))</f>
        <v>1</v>
      </c>
      <c r="AP63" s="3">
        <f>IF(AP$6&lt;COD,0,IF('Debt Schedule'!AP33='Cash Flow Waterfall'!$G63,1,0))</f>
        <v>1</v>
      </c>
      <c r="AQ63" s="3">
        <f>IF(AQ$6&lt;COD,0,IF('Debt Schedule'!AQ33='Cash Flow Waterfall'!$G63,1,0))</f>
        <v>1</v>
      </c>
    </row>
    <row r="64" spans="2:43">
      <c r="B64" s="121" t="s">
        <v>255</v>
      </c>
      <c r="C64" s="118"/>
      <c r="D64" s="118"/>
      <c r="E64" s="118"/>
      <c r="F64" s="118"/>
      <c r="G64" s="91">
        <f>'Financing Assumptions'!Q37</f>
        <v>300</v>
      </c>
      <c r="H64" s="118"/>
      <c r="I64" s="118">
        <f>IF(I$6&lt;COD,0,IF('Debt Schedule'!I40='Cash Flow Waterfall'!$G64,1,0))</f>
        <v>0</v>
      </c>
      <c r="J64" s="118">
        <f>IF(J$6&lt;COD,0,IF('Debt Schedule'!J40='Cash Flow Waterfall'!$G64,1,0))</f>
        <v>0</v>
      </c>
      <c r="K64" s="118">
        <f>IF(K$6&lt;COD,0,IF('Debt Schedule'!K40='Cash Flow Waterfall'!$G64,1,0))</f>
        <v>0</v>
      </c>
      <c r="L64" s="118">
        <f>IF(L$6&lt;COD,0,IF('Debt Schedule'!L40='Cash Flow Waterfall'!$G64,1,0))</f>
        <v>0</v>
      </c>
      <c r="M64" s="118">
        <f>IF(M$6&lt;COD,0,IF('Debt Schedule'!M40='Cash Flow Waterfall'!$G64,1,0))</f>
        <v>0</v>
      </c>
      <c r="N64" s="118">
        <f>IF(N$6&lt;COD,0,IF('Debt Schedule'!N40='Cash Flow Waterfall'!$G64,1,0))</f>
        <v>1</v>
      </c>
      <c r="O64" s="118">
        <f>IF(O$6&lt;COD,0,IF('Debt Schedule'!O40='Cash Flow Waterfall'!$G64,1,0))</f>
        <v>1</v>
      </c>
      <c r="P64" s="118">
        <f>IF(P$6&lt;COD,0,IF('Debt Schedule'!P40='Cash Flow Waterfall'!$G64,1,0))</f>
        <v>1</v>
      </c>
      <c r="Q64" s="118">
        <f>IF(Q$6&lt;COD,0,IF('Debt Schedule'!Q40='Cash Flow Waterfall'!$G64,1,0))</f>
        <v>1</v>
      </c>
      <c r="R64" s="118">
        <f>IF(R$6&lt;COD,0,IF('Debt Schedule'!R40='Cash Flow Waterfall'!$G64,1,0))</f>
        <v>1</v>
      </c>
      <c r="S64" s="118">
        <f>IF(S$6&lt;COD,0,IF('Debt Schedule'!S40='Cash Flow Waterfall'!$G64,1,0))</f>
        <v>1</v>
      </c>
      <c r="T64" s="118">
        <f>IF(T$6&lt;COD,0,IF('Debt Schedule'!T40='Cash Flow Waterfall'!$G64,1,0))</f>
        <v>1</v>
      </c>
      <c r="U64" s="118">
        <f>IF(U$6&lt;COD,0,IF('Debt Schedule'!U40='Cash Flow Waterfall'!$G64,1,0))</f>
        <v>1</v>
      </c>
      <c r="V64" s="118">
        <f>IF(V$6&lt;COD,0,IF('Debt Schedule'!V40='Cash Flow Waterfall'!$G64,1,0))</f>
        <v>1</v>
      </c>
      <c r="W64" s="118">
        <f>IF(W$6&lt;COD,0,IF('Debt Schedule'!W40='Cash Flow Waterfall'!$G64,1,0))</f>
        <v>1</v>
      </c>
      <c r="X64" s="118">
        <f>IF(X$6&lt;COD,0,IF('Debt Schedule'!X40='Cash Flow Waterfall'!$G64,1,0))</f>
        <v>1</v>
      </c>
      <c r="Y64" s="118">
        <f>IF(Y$6&lt;COD,0,IF('Debt Schedule'!Y40='Cash Flow Waterfall'!$G64,1,0))</f>
        <v>1</v>
      </c>
      <c r="Z64" s="118">
        <f>IF(Z$6&lt;COD,0,IF('Debt Schedule'!Z40='Cash Flow Waterfall'!$G64,1,0))</f>
        <v>1</v>
      </c>
      <c r="AA64" s="118">
        <f>IF(AA$6&lt;COD,0,IF('Debt Schedule'!AA40='Cash Flow Waterfall'!$G64,1,0))</f>
        <v>1</v>
      </c>
      <c r="AB64" s="118">
        <f>IF(AB$6&lt;COD,0,IF('Debt Schedule'!AB40='Cash Flow Waterfall'!$G64,1,0))</f>
        <v>1</v>
      </c>
      <c r="AC64" s="118">
        <f>IF(AC$6&lt;COD,0,IF('Debt Schedule'!AC40='Cash Flow Waterfall'!$G64,1,0))</f>
        <v>1</v>
      </c>
      <c r="AD64" s="118">
        <f>IF(AD$6&lt;COD,0,IF('Debt Schedule'!AD40='Cash Flow Waterfall'!$G64,1,0))</f>
        <v>1</v>
      </c>
      <c r="AE64" s="118">
        <f>IF(AE$6&lt;COD,0,IF('Debt Schedule'!AE40='Cash Flow Waterfall'!$G64,1,0))</f>
        <v>1</v>
      </c>
      <c r="AF64" s="118">
        <f>IF(AF$6&lt;COD,0,IF('Debt Schedule'!AF40='Cash Flow Waterfall'!$G64,1,0))</f>
        <v>1</v>
      </c>
      <c r="AG64" s="118">
        <f>IF(AG$6&lt;COD,0,IF('Debt Schedule'!AG40='Cash Flow Waterfall'!$G64,1,0))</f>
        <v>1</v>
      </c>
      <c r="AH64" s="118">
        <f>IF(AH$6&lt;COD,0,IF('Debt Schedule'!AH40='Cash Flow Waterfall'!$G64,1,0))</f>
        <v>1</v>
      </c>
      <c r="AI64" s="118">
        <f>IF(AI$6&lt;COD,0,IF('Debt Schedule'!AI40='Cash Flow Waterfall'!$G64,1,0))</f>
        <v>1</v>
      </c>
      <c r="AJ64" s="118">
        <f>IF(AJ$6&lt;COD,0,IF('Debt Schedule'!AJ40='Cash Flow Waterfall'!$G64,1,0))</f>
        <v>1</v>
      </c>
      <c r="AK64" s="118">
        <f>IF(AK$6&lt;COD,0,IF('Debt Schedule'!AK40='Cash Flow Waterfall'!$G64,1,0))</f>
        <v>1</v>
      </c>
      <c r="AL64" s="118">
        <f>IF(AL$6&lt;COD,0,IF('Debt Schedule'!AL40='Cash Flow Waterfall'!$G64,1,0))</f>
        <v>1</v>
      </c>
      <c r="AM64" s="118">
        <f>IF(AM$6&lt;COD,0,IF('Debt Schedule'!AM40='Cash Flow Waterfall'!$G64,1,0))</f>
        <v>1</v>
      </c>
      <c r="AN64" s="118">
        <f>IF(AN$6&lt;COD,0,IF('Debt Schedule'!AN40='Cash Flow Waterfall'!$G64,1,0))</f>
        <v>1</v>
      </c>
      <c r="AO64" s="118">
        <f>IF(AO$6&lt;COD,0,IF('Debt Schedule'!AO40='Cash Flow Waterfall'!$G64,1,0))</f>
        <v>1</v>
      </c>
      <c r="AP64" s="118">
        <f>IF(AP$6&lt;COD,0,IF('Debt Schedule'!AP40='Cash Flow Waterfall'!$G64,1,0))</f>
        <v>1</v>
      </c>
      <c r="AQ64" s="118">
        <f>IF(AQ$6&lt;COD,0,IF('Debt Schedule'!AQ40='Cash Flow Waterfall'!$G64,1,0))</f>
        <v>1</v>
      </c>
    </row>
    <row r="65" spans="2:43">
      <c r="B65" s="15" t="s">
        <v>257</v>
      </c>
      <c r="C65" s="15"/>
      <c r="D65" s="15"/>
      <c r="E65" s="15"/>
      <c r="F65" s="15"/>
      <c r="G65" s="15"/>
      <c r="H65" s="15"/>
      <c r="I65" s="15">
        <f>PRODUCT(I61:I64)</f>
        <v>0</v>
      </c>
      <c r="J65" s="15">
        <f t="shared" ref="J65:AQ65" si="14">PRODUCT(J61:J64)</f>
        <v>0</v>
      </c>
      <c r="K65" s="15">
        <f t="shared" si="14"/>
        <v>0</v>
      </c>
      <c r="L65" s="15">
        <f t="shared" si="14"/>
        <v>0</v>
      </c>
      <c r="M65" s="15">
        <f t="shared" si="14"/>
        <v>0</v>
      </c>
      <c r="N65" s="15">
        <f t="shared" si="14"/>
        <v>1</v>
      </c>
      <c r="O65" s="15">
        <f t="shared" si="14"/>
        <v>1</v>
      </c>
      <c r="P65" s="15">
        <f t="shared" si="14"/>
        <v>1</v>
      </c>
      <c r="Q65" s="15">
        <f t="shared" si="14"/>
        <v>1</v>
      </c>
      <c r="R65" s="15">
        <f t="shared" si="14"/>
        <v>1</v>
      </c>
      <c r="S65" s="15">
        <f t="shared" si="14"/>
        <v>1</v>
      </c>
      <c r="T65" s="15">
        <f t="shared" si="14"/>
        <v>1</v>
      </c>
      <c r="U65" s="15">
        <f t="shared" si="14"/>
        <v>1</v>
      </c>
      <c r="V65" s="15">
        <f t="shared" si="14"/>
        <v>1</v>
      </c>
      <c r="W65" s="15">
        <f t="shared" si="14"/>
        <v>1</v>
      </c>
      <c r="X65" s="15">
        <f t="shared" si="14"/>
        <v>1</v>
      </c>
      <c r="Y65" s="15">
        <f t="shared" si="14"/>
        <v>1</v>
      </c>
      <c r="Z65" s="15">
        <f t="shared" si="14"/>
        <v>1</v>
      </c>
      <c r="AA65" s="15">
        <f t="shared" si="14"/>
        <v>1</v>
      </c>
      <c r="AB65" s="15">
        <f t="shared" si="14"/>
        <v>1</v>
      </c>
      <c r="AC65" s="15">
        <f t="shared" si="14"/>
        <v>1</v>
      </c>
      <c r="AD65" s="15">
        <f t="shared" si="14"/>
        <v>1</v>
      </c>
      <c r="AE65" s="15">
        <f t="shared" si="14"/>
        <v>1</v>
      </c>
      <c r="AF65" s="15">
        <f t="shared" si="14"/>
        <v>1</v>
      </c>
      <c r="AG65" s="15">
        <f t="shared" si="14"/>
        <v>1</v>
      </c>
      <c r="AH65" s="15">
        <f t="shared" si="14"/>
        <v>1</v>
      </c>
      <c r="AI65" s="15">
        <f t="shared" si="14"/>
        <v>1</v>
      </c>
      <c r="AJ65" s="15">
        <f t="shared" si="14"/>
        <v>1</v>
      </c>
      <c r="AK65" s="15">
        <f t="shared" si="14"/>
        <v>1</v>
      </c>
      <c r="AL65" s="15">
        <f t="shared" si="14"/>
        <v>1</v>
      </c>
      <c r="AM65" s="15">
        <f t="shared" si="14"/>
        <v>1</v>
      </c>
      <c r="AN65" s="15">
        <f t="shared" si="14"/>
        <v>1</v>
      </c>
      <c r="AO65" s="15">
        <f t="shared" si="14"/>
        <v>1</v>
      </c>
      <c r="AP65" s="15">
        <f t="shared" si="14"/>
        <v>1</v>
      </c>
      <c r="AQ65" s="15">
        <f t="shared" si="14"/>
        <v>1</v>
      </c>
    </row>
    <row r="67" spans="2:43">
      <c r="B67" s="3" t="s">
        <v>259</v>
      </c>
      <c r="I67" s="70">
        <v>0</v>
      </c>
      <c r="J67" s="70">
        <f>I70</f>
        <v>1.6438356164383663</v>
      </c>
      <c r="K67" s="70">
        <f t="shared" ref="K67:AQ67" si="15">J70</f>
        <v>1.6767123287671097</v>
      </c>
      <c r="L67" s="70">
        <f t="shared" si="15"/>
        <v>1.7102465753424383</v>
      </c>
      <c r="M67" s="70">
        <f t="shared" si="15"/>
        <v>1.7444515068492876</v>
      </c>
      <c r="N67" s="70">
        <f t="shared" si="15"/>
        <v>23.67841628980031</v>
      </c>
      <c r="O67" s="70">
        <f t="shared" si="15"/>
        <v>0</v>
      </c>
      <c r="P67" s="70">
        <f t="shared" si="15"/>
        <v>0</v>
      </c>
      <c r="Q67" s="70">
        <f t="shared" si="15"/>
        <v>0</v>
      </c>
      <c r="R67" s="70">
        <f t="shared" si="15"/>
        <v>0</v>
      </c>
      <c r="S67" s="70">
        <f t="shared" si="15"/>
        <v>0</v>
      </c>
      <c r="T67" s="70">
        <f t="shared" si="15"/>
        <v>0</v>
      </c>
      <c r="U67" s="70">
        <f t="shared" si="15"/>
        <v>0</v>
      </c>
      <c r="V67" s="70">
        <f t="shared" si="15"/>
        <v>0</v>
      </c>
      <c r="W67" s="70">
        <f t="shared" si="15"/>
        <v>0</v>
      </c>
      <c r="X67" s="70">
        <f t="shared" si="15"/>
        <v>0</v>
      </c>
      <c r="Y67" s="70">
        <f t="shared" si="15"/>
        <v>0</v>
      </c>
      <c r="Z67" s="70">
        <f t="shared" si="15"/>
        <v>0</v>
      </c>
      <c r="AA67" s="70">
        <f t="shared" si="15"/>
        <v>0</v>
      </c>
      <c r="AB67" s="70">
        <f t="shared" si="15"/>
        <v>0</v>
      </c>
      <c r="AC67" s="70">
        <f t="shared" si="15"/>
        <v>0</v>
      </c>
      <c r="AD67" s="70">
        <f t="shared" si="15"/>
        <v>0</v>
      </c>
      <c r="AE67" s="70">
        <f t="shared" si="15"/>
        <v>0</v>
      </c>
      <c r="AF67" s="70">
        <f t="shared" si="15"/>
        <v>0</v>
      </c>
      <c r="AG67" s="70">
        <f t="shared" si="15"/>
        <v>0</v>
      </c>
      <c r="AH67" s="70">
        <f t="shared" si="15"/>
        <v>0</v>
      </c>
      <c r="AI67" s="70">
        <f t="shared" si="15"/>
        <v>0</v>
      </c>
      <c r="AJ67" s="70">
        <f t="shared" si="15"/>
        <v>0</v>
      </c>
      <c r="AK67" s="70">
        <f t="shared" si="15"/>
        <v>0</v>
      </c>
      <c r="AL67" s="70">
        <f t="shared" si="15"/>
        <v>0</v>
      </c>
      <c r="AM67" s="70">
        <f t="shared" si="15"/>
        <v>0</v>
      </c>
      <c r="AN67" s="70">
        <f t="shared" si="15"/>
        <v>0</v>
      </c>
      <c r="AO67" s="70">
        <f t="shared" si="15"/>
        <v>0</v>
      </c>
      <c r="AP67" s="70">
        <f t="shared" si="15"/>
        <v>0</v>
      </c>
      <c r="AQ67" s="70">
        <f t="shared" si="15"/>
        <v>0</v>
      </c>
    </row>
    <row r="68" spans="2:43">
      <c r="B68" s="39" t="s">
        <v>261</v>
      </c>
      <c r="I68" s="70">
        <f>-I65*(I57+H69)</f>
        <v>0</v>
      </c>
      <c r="J68" s="70">
        <f t="shared" ref="J68:AQ68" si="16">-J65*(J57+I70)</f>
        <v>0</v>
      </c>
      <c r="K68" s="70">
        <f t="shared" si="16"/>
        <v>0</v>
      </c>
      <c r="L68" s="70">
        <f t="shared" si="16"/>
        <v>0</v>
      </c>
      <c r="M68" s="70">
        <f t="shared" si="16"/>
        <v>0</v>
      </c>
      <c r="N68" s="70">
        <f t="shared" si="16"/>
        <v>-122.65362900275656</v>
      </c>
      <c r="O68" s="70">
        <f t="shared" si="16"/>
        <v>-401.81405417051951</v>
      </c>
      <c r="P68" s="70">
        <f t="shared" si="16"/>
        <v>-404.64452321797307</v>
      </c>
      <c r="Q68" s="70">
        <f t="shared" si="16"/>
        <v>-407.46645240711428</v>
      </c>
      <c r="R68" s="70">
        <f t="shared" si="16"/>
        <v>-410.27967094077763</v>
      </c>
      <c r="S68" s="70">
        <f t="shared" si="16"/>
        <v>-413.0840046058525</v>
      </c>
      <c r="T68" s="70">
        <f t="shared" si="16"/>
        <v>-415.87927570496817</v>
      </c>
      <c r="U68" s="70">
        <f t="shared" si="16"/>
        <v>-313.34499048680487</v>
      </c>
      <c r="V68" s="70">
        <f t="shared" si="16"/>
        <v>-423.30127657501731</v>
      </c>
      <c r="W68" s="70">
        <f t="shared" si="16"/>
        <v>-426.06825789573247</v>
      </c>
      <c r="X68" s="70">
        <f t="shared" si="16"/>
        <v>-428.82542960360104</v>
      </c>
      <c r="Y68" s="70">
        <f t="shared" si="16"/>
        <v>-431.57259550636581</v>
      </c>
      <c r="Z68" s="70">
        <f t="shared" si="16"/>
        <v>-434.30955548792474</v>
      </c>
      <c r="AA68" s="70">
        <f t="shared" si="16"/>
        <v>-437.03610542985371</v>
      </c>
      <c r="AB68" s="70">
        <f t="shared" si="16"/>
        <v>-439.75203713136005</v>
      </c>
      <c r="AC68" s="70">
        <f t="shared" si="16"/>
        <v>-342.55045689290426</v>
      </c>
      <c r="AD68" s="70">
        <f t="shared" si="16"/>
        <v>-455.52793199321121</v>
      </c>
      <c r="AE68" s="70">
        <f t="shared" si="16"/>
        <v>-461.08482641108191</v>
      </c>
      <c r="AF68" s="70">
        <f t="shared" si="16"/>
        <v>-465.38659169349182</v>
      </c>
      <c r="AG68" s="70">
        <f t="shared" si="16"/>
        <v>-464.7886985273617</v>
      </c>
      <c r="AH68" s="70">
        <f t="shared" si="16"/>
        <v>-464.17884749790892</v>
      </c>
      <c r="AI68" s="70">
        <f t="shared" si="16"/>
        <v>-463.55679944786698</v>
      </c>
      <c r="AJ68" s="70">
        <f t="shared" si="16"/>
        <v>-462.92231043682443</v>
      </c>
      <c r="AK68" s="70">
        <f t="shared" si="16"/>
        <v>-356.95481914556103</v>
      </c>
      <c r="AL68" s="70">
        <f t="shared" si="16"/>
        <v>-463.47438427847237</v>
      </c>
      <c r="AM68" s="70">
        <f t="shared" si="16"/>
        <v>-461.55252220892203</v>
      </c>
      <c r="AN68" s="70">
        <f t="shared" si="16"/>
        <v>-460.66003099675049</v>
      </c>
      <c r="AO68" s="70">
        <f t="shared" si="16"/>
        <v>-459.00073161668524</v>
      </c>
      <c r="AP68" s="70">
        <f t="shared" si="16"/>
        <v>-457.32683999901906</v>
      </c>
      <c r="AQ68" s="70">
        <f t="shared" si="16"/>
        <v>-456.56775179899932</v>
      </c>
    </row>
    <row r="69" spans="2:43">
      <c r="B69" s="121" t="s">
        <v>214</v>
      </c>
      <c r="C69" s="118"/>
      <c r="D69" s="118"/>
      <c r="E69" s="118"/>
      <c r="F69" s="118"/>
      <c r="G69" s="118"/>
      <c r="H69" s="118"/>
      <c r="I69" s="122">
        <f>I57</f>
        <v>1.6438356164383663</v>
      </c>
      <c r="J69" s="122">
        <f t="shared" ref="J69:AQ69" si="17">J57</f>
        <v>3.2876712328743452E-2</v>
      </c>
      <c r="K69" s="122">
        <f t="shared" si="17"/>
        <v>3.3534246575328552E-2</v>
      </c>
      <c r="L69" s="122">
        <f t="shared" si="17"/>
        <v>3.4204931506849334E-2</v>
      </c>
      <c r="M69" s="122">
        <f t="shared" si="17"/>
        <v>21.933964782951023</v>
      </c>
      <c r="N69" s="122">
        <f t="shared" si="17"/>
        <v>98.97521271295625</v>
      </c>
      <c r="O69" s="122">
        <f t="shared" si="17"/>
        <v>401.81405417051951</v>
      </c>
      <c r="P69" s="122">
        <f t="shared" si="17"/>
        <v>404.64452321797307</v>
      </c>
      <c r="Q69" s="122">
        <f t="shared" si="17"/>
        <v>407.46645240711428</v>
      </c>
      <c r="R69" s="122">
        <f t="shared" si="17"/>
        <v>410.27967094077763</v>
      </c>
      <c r="S69" s="122">
        <f t="shared" si="17"/>
        <v>413.0840046058525</v>
      </c>
      <c r="T69" s="122">
        <f t="shared" si="17"/>
        <v>415.87927570496817</v>
      </c>
      <c r="U69" s="122">
        <f t="shared" si="17"/>
        <v>313.34499048680487</v>
      </c>
      <c r="V69" s="122">
        <f t="shared" si="17"/>
        <v>423.30127657501731</v>
      </c>
      <c r="W69" s="122">
        <f t="shared" si="17"/>
        <v>426.06825789573247</v>
      </c>
      <c r="X69" s="122">
        <f t="shared" si="17"/>
        <v>428.82542960360104</v>
      </c>
      <c r="Y69" s="122">
        <f t="shared" si="17"/>
        <v>431.57259550636581</v>
      </c>
      <c r="Z69" s="122">
        <f t="shared" si="17"/>
        <v>434.30955548792474</v>
      </c>
      <c r="AA69" s="122">
        <f t="shared" si="17"/>
        <v>437.03610542985371</v>
      </c>
      <c r="AB69" s="122">
        <f t="shared" si="17"/>
        <v>439.75203713136005</v>
      </c>
      <c r="AC69" s="122">
        <f t="shared" si="17"/>
        <v>342.55045689290426</v>
      </c>
      <c r="AD69" s="122">
        <f t="shared" si="17"/>
        <v>455.52793199321121</v>
      </c>
      <c r="AE69" s="122">
        <f t="shared" si="17"/>
        <v>461.08482641108191</v>
      </c>
      <c r="AF69" s="122">
        <f t="shared" si="17"/>
        <v>465.38659169349182</v>
      </c>
      <c r="AG69" s="122">
        <f t="shared" si="17"/>
        <v>464.7886985273617</v>
      </c>
      <c r="AH69" s="122">
        <f t="shared" si="17"/>
        <v>464.17884749790892</v>
      </c>
      <c r="AI69" s="122">
        <f t="shared" si="17"/>
        <v>463.55679944786698</v>
      </c>
      <c r="AJ69" s="122">
        <f t="shared" si="17"/>
        <v>462.92231043682443</v>
      </c>
      <c r="AK69" s="122">
        <f t="shared" si="17"/>
        <v>356.95481914556103</v>
      </c>
      <c r="AL69" s="122">
        <f t="shared" si="17"/>
        <v>463.47438427847237</v>
      </c>
      <c r="AM69" s="122">
        <f t="shared" si="17"/>
        <v>461.55252220892203</v>
      </c>
      <c r="AN69" s="122">
        <f t="shared" si="17"/>
        <v>460.66003099675049</v>
      </c>
      <c r="AO69" s="122">
        <f t="shared" si="17"/>
        <v>459.00073161668524</v>
      </c>
      <c r="AP69" s="122">
        <f t="shared" si="17"/>
        <v>457.32683999901906</v>
      </c>
      <c r="AQ69" s="122">
        <f t="shared" si="17"/>
        <v>456.56775179899932</v>
      </c>
    </row>
    <row r="70" spans="2:43">
      <c r="B70" s="15" t="s">
        <v>260</v>
      </c>
      <c r="C70" s="15"/>
      <c r="D70" s="15"/>
      <c r="E70" s="15"/>
      <c r="F70" s="15"/>
      <c r="G70" s="15"/>
      <c r="H70" s="15"/>
      <c r="I70" s="58">
        <f t="shared" ref="I70:AQ70" si="18">SUM(I67:I69)</f>
        <v>1.6438356164383663</v>
      </c>
      <c r="J70" s="58">
        <f t="shared" si="18"/>
        <v>1.6767123287671097</v>
      </c>
      <c r="K70" s="58">
        <f t="shared" si="18"/>
        <v>1.7102465753424383</v>
      </c>
      <c r="L70" s="58">
        <f t="shared" si="18"/>
        <v>1.7444515068492876</v>
      </c>
      <c r="M70" s="58">
        <f t="shared" si="18"/>
        <v>23.67841628980031</v>
      </c>
      <c r="N70" s="58">
        <f t="shared" si="18"/>
        <v>0</v>
      </c>
      <c r="O70" s="58">
        <f t="shared" si="18"/>
        <v>0</v>
      </c>
      <c r="P70" s="58">
        <f t="shared" si="18"/>
        <v>0</v>
      </c>
      <c r="Q70" s="58">
        <f t="shared" si="18"/>
        <v>0</v>
      </c>
      <c r="R70" s="58">
        <f t="shared" si="18"/>
        <v>0</v>
      </c>
      <c r="S70" s="58">
        <f t="shared" si="18"/>
        <v>0</v>
      </c>
      <c r="T70" s="58">
        <f t="shared" si="18"/>
        <v>0</v>
      </c>
      <c r="U70" s="58">
        <f t="shared" si="18"/>
        <v>0</v>
      </c>
      <c r="V70" s="58">
        <f t="shared" si="18"/>
        <v>0</v>
      </c>
      <c r="W70" s="58">
        <f t="shared" si="18"/>
        <v>0</v>
      </c>
      <c r="X70" s="58">
        <f t="shared" si="18"/>
        <v>0</v>
      </c>
      <c r="Y70" s="58">
        <f t="shared" si="18"/>
        <v>0</v>
      </c>
      <c r="Z70" s="58">
        <f t="shared" si="18"/>
        <v>0</v>
      </c>
      <c r="AA70" s="58">
        <f t="shared" si="18"/>
        <v>0</v>
      </c>
      <c r="AB70" s="58">
        <f t="shared" si="18"/>
        <v>0</v>
      </c>
      <c r="AC70" s="58">
        <f t="shared" si="18"/>
        <v>0</v>
      </c>
      <c r="AD70" s="58">
        <f t="shared" si="18"/>
        <v>0</v>
      </c>
      <c r="AE70" s="58">
        <f t="shared" si="18"/>
        <v>0</v>
      </c>
      <c r="AF70" s="58">
        <f t="shared" si="18"/>
        <v>0</v>
      </c>
      <c r="AG70" s="58">
        <f t="shared" si="18"/>
        <v>0</v>
      </c>
      <c r="AH70" s="58">
        <f t="shared" si="18"/>
        <v>0</v>
      </c>
      <c r="AI70" s="58">
        <f t="shared" si="18"/>
        <v>0</v>
      </c>
      <c r="AJ70" s="58">
        <f t="shared" si="18"/>
        <v>0</v>
      </c>
      <c r="AK70" s="58">
        <f t="shared" si="18"/>
        <v>0</v>
      </c>
      <c r="AL70" s="58">
        <f t="shared" si="18"/>
        <v>0</v>
      </c>
      <c r="AM70" s="58">
        <f t="shared" si="18"/>
        <v>0</v>
      </c>
      <c r="AN70" s="58">
        <f t="shared" si="18"/>
        <v>0</v>
      </c>
      <c r="AO70" s="58">
        <f t="shared" si="18"/>
        <v>0</v>
      </c>
      <c r="AP70" s="58">
        <f t="shared" si="18"/>
        <v>0</v>
      </c>
      <c r="AQ70" s="58">
        <f t="shared" si="18"/>
        <v>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EY22"/>
  <sheetViews>
    <sheetView showGridLines="0" zoomScaleNormal="10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B1" sqref="B1"/>
    </sheetView>
  </sheetViews>
  <sheetFormatPr baseColWidth="10" defaultColWidth="0" defaultRowHeight="11"/>
  <cols>
    <col min="1" max="1" width="2.6640625" style="3" customWidth="1"/>
    <col min="2" max="155" width="9.1640625" style="3" customWidth="1"/>
    <col min="156" max="16384" width="0" style="3" hidden="1"/>
  </cols>
  <sheetData>
    <row r="1" spans="1:155" s="1" customFormat="1" ht="19">
      <c r="B1" s="2" t="str">
        <f>Summary!$B$1</f>
        <v>RNFC: Highway Integrated Financial Model</v>
      </c>
    </row>
    <row r="2" spans="1:155" s="1" customFormat="1" ht="19">
      <c r="B2" s="2" t="s">
        <v>78</v>
      </c>
    </row>
    <row r="4" spans="1:155" s="5" customFormat="1">
      <c r="A4" s="3" t="s">
        <v>0</v>
      </c>
      <c r="B4" s="4" t="s">
        <v>78</v>
      </c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</row>
    <row r="5" spans="1:155">
      <c r="I5" s="133">
        <v>1</v>
      </c>
      <c r="J5" s="133">
        <f>IF(J6="","",I5+1)</f>
        <v>2</v>
      </c>
      <c r="K5" s="133">
        <f t="shared" ref="K5:AQ5" si="0">IF(K6="","",J5+1)</f>
        <v>3</v>
      </c>
      <c r="L5" s="133">
        <f t="shared" si="0"/>
        <v>4</v>
      </c>
      <c r="M5" s="133">
        <f t="shared" si="0"/>
        <v>5</v>
      </c>
      <c r="N5" s="133">
        <f t="shared" si="0"/>
        <v>6</v>
      </c>
      <c r="O5" s="133">
        <f t="shared" si="0"/>
        <v>7</v>
      </c>
      <c r="P5" s="133">
        <f t="shared" si="0"/>
        <v>8</v>
      </c>
      <c r="Q5" s="133">
        <f t="shared" si="0"/>
        <v>9</v>
      </c>
      <c r="R5" s="133">
        <f t="shared" si="0"/>
        <v>10</v>
      </c>
      <c r="S5" s="133">
        <f t="shared" si="0"/>
        <v>11</v>
      </c>
      <c r="T5" s="133">
        <f t="shared" si="0"/>
        <v>12</v>
      </c>
      <c r="U5" s="133">
        <f t="shared" si="0"/>
        <v>13</v>
      </c>
      <c r="V5" s="133">
        <f t="shared" si="0"/>
        <v>14</v>
      </c>
      <c r="W5" s="133">
        <f t="shared" si="0"/>
        <v>15</v>
      </c>
      <c r="X5" s="133">
        <f t="shared" si="0"/>
        <v>16</v>
      </c>
      <c r="Y5" s="133">
        <f t="shared" si="0"/>
        <v>17</v>
      </c>
      <c r="Z5" s="133">
        <f t="shared" si="0"/>
        <v>18</v>
      </c>
      <c r="AA5" s="133">
        <f t="shared" si="0"/>
        <v>19</v>
      </c>
      <c r="AB5" s="133">
        <f t="shared" si="0"/>
        <v>20</v>
      </c>
      <c r="AC5" s="133">
        <f t="shared" si="0"/>
        <v>21</v>
      </c>
      <c r="AD5" s="133">
        <f t="shared" si="0"/>
        <v>22</v>
      </c>
      <c r="AE5" s="133">
        <f t="shared" si="0"/>
        <v>23</v>
      </c>
      <c r="AF5" s="133">
        <f t="shared" si="0"/>
        <v>24</v>
      </c>
      <c r="AG5" s="133">
        <f t="shared" si="0"/>
        <v>25</v>
      </c>
      <c r="AH5" s="133">
        <f t="shared" si="0"/>
        <v>26</v>
      </c>
      <c r="AI5" s="133">
        <f t="shared" si="0"/>
        <v>27</v>
      </c>
      <c r="AJ5" s="133">
        <f t="shared" si="0"/>
        <v>28</v>
      </c>
      <c r="AK5" s="133">
        <f t="shared" si="0"/>
        <v>29</v>
      </c>
      <c r="AL5" s="133">
        <f t="shared" si="0"/>
        <v>30</v>
      </c>
      <c r="AM5" s="133">
        <f t="shared" si="0"/>
        <v>31</v>
      </c>
      <c r="AN5" s="133">
        <f t="shared" si="0"/>
        <v>32</v>
      </c>
      <c r="AO5" s="133">
        <f t="shared" si="0"/>
        <v>33</v>
      </c>
      <c r="AP5" s="133">
        <f t="shared" si="0"/>
        <v>34</v>
      </c>
      <c r="AQ5" s="133">
        <f t="shared" si="0"/>
        <v>35</v>
      </c>
      <c r="AR5" s="11" t="str">
        <f>IF(AR6="","",AQ5+1)</f>
        <v/>
      </c>
      <c r="AS5" s="11" t="str">
        <f>IF(AS6="","",AR5+1)</f>
        <v/>
      </c>
      <c r="AT5" s="11" t="str">
        <f>IF(AT6="","",AS5+1)</f>
        <v/>
      </c>
      <c r="AU5" s="11" t="str">
        <f>IF(AU6="","",AT5+1)</f>
        <v/>
      </c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</row>
    <row r="6" spans="1:155" ht="12" thickBot="1">
      <c r="B6" s="9" t="s">
        <v>89</v>
      </c>
      <c r="C6" s="8"/>
      <c r="D6" s="8"/>
      <c r="E6" s="9" t="s">
        <v>48</v>
      </c>
      <c r="F6" s="9" t="s">
        <v>72</v>
      </c>
      <c r="G6" s="8"/>
      <c r="H6" s="8"/>
      <c r="I6" s="9">
        <f>YEAR(Now)</f>
        <v>2016</v>
      </c>
      <c r="J6" s="9">
        <f t="shared" ref="J6:AO6" si="1">IFERROR(IF(I6+1&gt;End,"",I6+1),"")</f>
        <v>2017</v>
      </c>
      <c r="K6" s="9">
        <f t="shared" si="1"/>
        <v>2018</v>
      </c>
      <c r="L6" s="9">
        <f t="shared" si="1"/>
        <v>2019</v>
      </c>
      <c r="M6" s="9">
        <f t="shared" si="1"/>
        <v>2020</v>
      </c>
      <c r="N6" s="9">
        <f t="shared" si="1"/>
        <v>2021</v>
      </c>
      <c r="O6" s="9">
        <f t="shared" si="1"/>
        <v>2022</v>
      </c>
      <c r="P6" s="9">
        <f t="shared" si="1"/>
        <v>2023</v>
      </c>
      <c r="Q6" s="9">
        <f t="shared" si="1"/>
        <v>2024</v>
      </c>
      <c r="R6" s="9">
        <f t="shared" si="1"/>
        <v>2025</v>
      </c>
      <c r="S6" s="9">
        <f t="shared" si="1"/>
        <v>2026</v>
      </c>
      <c r="T6" s="9">
        <f t="shared" si="1"/>
        <v>2027</v>
      </c>
      <c r="U6" s="9">
        <f t="shared" si="1"/>
        <v>2028</v>
      </c>
      <c r="V6" s="9">
        <f t="shared" si="1"/>
        <v>2029</v>
      </c>
      <c r="W6" s="9">
        <f t="shared" si="1"/>
        <v>2030</v>
      </c>
      <c r="X6" s="9">
        <f t="shared" si="1"/>
        <v>2031</v>
      </c>
      <c r="Y6" s="9">
        <f t="shared" si="1"/>
        <v>2032</v>
      </c>
      <c r="Z6" s="9">
        <f t="shared" si="1"/>
        <v>2033</v>
      </c>
      <c r="AA6" s="9">
        <f t="shared" si="1"/>
        <v>2034</v>
      </c>
      <c r="AB6" s="9">
        <f t="shared" si="1"/>
        <v>2035</v>
      </c>
      <c r="AC6" s="9">
        <f t="shared" si="1"/>
        <v>2036</v>
      </c>
      <c r="AD6" s="9">
        <f t="shared" si="1"/>
        <v>2037</v>
      </c>
      <c r="AE6" s="9">
        <f t="shared" si="1"/>
        <v>2038</v>
      </c>
      <c r="AF6" s="9">
        <f t="shared" si="1"/>
        <v>2039</v>
      </c>
      <c r="AG6" s="9">
        <f t="shared" si="1"/>
        <v>2040</v>
      </c>
      <c r="AH6" s="9">
        <f t="shared" si="1"/>
        <v>2041</v>
      </c>
      <c r="AI6" s="9">
        <f t="shared" si="1"/>
        <v>2042</v>
      </c>
      <c r="AJ6" s="9">
        <f t="shared" si="1"/>
        <v>2043</v>
      </c>
      <c r="AK6" s="9">
        <f t="shared" si="1"/>
        <v>2044</v>
      </c>
      <c r="AL6" s="9">
        <f t="shared" si="1"/>
        <v>2045</v>
      </c>
      <c r="AM6" s="9">
        <f t="shared" si="1"/>
        <v>2046</v>
      </c>
      <c r="AN6" s="9">
        <f t="shared" si="1"/>
        <v>2047</v>
      </c>
      <c r="AO6" s="9">
        <f t="shared" si="1"/>
        <v>2048</v>
      </c>
      <c r="AP6" s="9">
        <f t="shared" ref="AP6:BC6" si="2">IFERROR(IF(AO6+1&gt;End,"",AO6+1),"")</f>
        <v>2049</v>
      </c>
      <c r="AQ6" s="9">
        <f t="shared" si="2"/>
        <v>2050</v>
      </c>
      <c r="AR6" s="9" t="str">
        <f>IFERROR(IF(AQ6+1&gt;End,"",AQ6+1),"")</f>
        <v/>
      </c>
      <c r="AS6" s="9" t="str">
        <f>IFERROR(IF(AR6+1&gt;End,"",AR6+1),"")</f>
        <v/>
      </c>
      <c r="AT6" s="9" t="str">
        <f>IFERROR(IF(AS6+1&gt;End,"",AS6+1),"")</f>
        <v/>
      </c>
      <c r="AU6" s="9" t="str">
        <f>IFERROR(IF(AT6+1&gt;End,"",AT6+1),"")</f>
        <v/>
      </c>
      <c r="AV6" s="14" t="str">
        <f t="shared" si="2"/>
        <v/>
      </c>
      <c r="AW6" s="14" t="str">
        <f t="shared" si="2"/>
        <v/>
      </c>
      <c r="AX6" s="14" t="str">
        <f t="shared" si="2"/>
        <v/>
      </c>
      <c r="AY6" s="14" t="str">
        <f t="shared" si="2"/>
        <v/>
      </c>
      <c r="AZ6" s="14" t="str">
        <f t="shared" si="2"/>
        <v/>
      </c>
      <c r="BA6" s="14" t="str">
        <f t="shared" si="2"/>
        <v/>
      </c>
      <c r="BB6" s="14" t="str">
        <f t="shared" si="2"/>
        <v/>
      </c>
      <c r="BC6" s="14" t="str">
        <f t="shared" si="2"/>
        <v/>
      </c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</row>
    <row r="7" spans="1:155">
      <c r="B7" s="11" t="str">
        <f>VehA</f>
        <v>Vehicle A</v>
      </c>
      <c r="C7" s="50"/>
      <c r="D7" s="50"/>
      <c r="E7" s="49"/>
      <c r="F7" s="49"/>
      <c r="G7" s="50"/>
      <c r="H7" s="50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</row>
    <row r="8" spans="1:155" s="34" customFormat="1">
      <c r="A8" s="3"/>
      <c r="B8" s="51" t="s">
        <v>67</v>
      </c>
      <c r="C8" s="3"/>
      <c r="D8" s="3"/>
      <c r="E8" s="3" t="s">
        <v>83</v>
      </c>
      <c r="F8" s="3" t="s">
        <v>57</v>
      </c>
      <c r="G8" s="3"/>
      <c r="H8" s="3"/>
      <c r="I8" s="27">
        <f>IFERROR(IF(I$6&lt;COD,0,IF(I$6=COD,'Operating Assumptions'!$I$35*Daysinayear/1000000,Traffic!H8*(1+Traffic!I9+Traffic!I10))),"")</f>
        <v>0</v>
      </c>
      <c r="J8" s="27">
        <f>IFERROR(IF(J6&lt;COD,0,IF(J6=COD,'Operating Assumptions'!$I$35*Daysinayear/1000000,Traffic!I8*(1+Traffic!J9+Traffic!J10))),"")</f>
        <v>0</v>
      </c>
      <c r="K8" s="27">
        <f>IFERROR(IF(K6&lt;COD,0,IF(K6=COD,'Operating Assumptions'!$I$35*Daysinayear/1000000,Traffic!J8*(1+Traffic!K9+Traffic!K10))),"")</f>
        <v>0</v>
      </c>
      <c r="L8" s="27">
        <f>IFERROR(IF(L6&lt;COD,0,IF(L6=COD,'Operating Assumptions'!$I$35*Daysinayear/1000000,Traffic!K8*(1+Traffic!L9+Traffic!L10))),"")</f>
        <v>0</v>
      </c>
      <c r="M8" s="27">
        <f>IFERROR(IF(M6&lt;COD,0,IF(M6=COD,'Operating Assumptions'!$I$35*Daysinayear/1000000,Traffic!L8*(1+Traffic!M9+Traffic!M10))),"")</f>
        <v>0.36499999999999999</v>
      </c>
      <c r="N8" s="27">
        <f>IFERROR(IF(N6&lt;COD,0,IF(N6=COD,'Operating Assumptions'!$I$35*Daysinayear/1000000,Traffic!M8*(1+Traffic!N9+Traffic!N10))),"")</f>
        <v>0.37230000000000002</v>
      </c>
      <c r="O8" s="27">
        <f>IFERROR(IF(O6&lt;COD,0,IF(O6=COD,'Operating Assumptions'!$I$35*Daysinayear/1000000,Traffic!N8*(1+Traffic!O9+Traffic!O10))),"")</f>
        <v>0.37974600000000003</v>
      </c>
      <c r="P8" s="27">
        <f>IFERROR(IF(P6&lt;COD,0,IF(P6=COD,'Operating Assumptions'!$I$35*Daysinayear/1000000,Traffic!O8*(1+Traffic!P9+Traffic!P10))),"")</f>
        <v>0.38734092000000003</v>
      </c>
      <c r="Q8" s="27">
        <f>IFERROR(IF(Q6&lt;COD,0,IF(Q6=COD,'Operating Assumptions'!$I$35*Daysinayear/1000000,Traffic!P8*(1+Traffic!Q9+Traffic!Q10))),"")</f>
        <v>0.39508773840000005</v>
      </c>
      <c r="R8" s="27">
        <f>IFERROR(IF(R6&lt;COD,0,IF(R6=COD,'Operating Assumptions'!$I$35*Daysinayear/1000000,Traffic!Q8*(1+Traffic!R9+Traffic!R10))),"")</f>
        <v>0.40298949316800009</v>
      </c>
      <c r="S8" s="27">
        <f>IFERROR(IF(S6&lt;COD,0,IF(S6=COD,'Operating Assumptions'!$I$35*Daysinayear/1000000,Traffic!R8*(1+Traffic!S9+Traffic!S10))),"")</f>
        <v>0.41104928303136012</v>
      </c>
      <c r="T8" s="27">
        <f>IFERROR(IF(T6&lt;COD,0,IF(T6=COD,'Operating Assumptions'!$I$35*Daysinayear/1000000,Traffic!S8*(1+Traffic!T9+Traffic!T10))),"")</f>
        <v>0.41927026869198736</v>
      </c>
      <c r="U8" s="27">
        <f>IFERROR(IF(U6&lt;COD,0,IF(U6=COD,'Operating Assumptions'!$I$35*Daysinayear/1000000,Traffic!T8*(1+Traffic!U9+Traffic!U10))),"")</f>
        <v>0.42765567406582711</v>
      </c>
      <c r="V8" s="27">
        <f>IFERROR(IF(V6&lt;COD,0,IF(V6=COD,'Operating Assumptions'!$I$35*Daysinayear/1000000,Traffic!U8*(1+Traffic!V9+Traffic!V10))),"")</f>
        <v>0.43620878754714365</v>
      </c>
      <c r="W8" s="27">
        <f>IFERROR(IF(W6&lt;COD,0,IF(W6=COD,'Operating Assumptions'!$I$35*Daysinayear/1000000,Traffic!V8*(1+Traffic!W9+Traffic!W10))),"")</f>
        <v>0.44493296329808651</v>
      </c>
      <c r="X8" s="27">
        <f>IFERROR(IF(X6&lt;COD,0,IF(X6=COD,'Operating Assumptions'!$I$35*Daysinayear/1000000,Traffic!W8*(1+Traffic!X9+Traffic!X10))),"")</f>
        <v>0.45383162256404824</v>
      </c>
      <c r="Y8" s="27">
        <f>IFERROR(IF(Y6&lt;COD,0,IF(Y6=COD,'Operating Assumptions'!$I$35*Daysinayear/1000000,Traffic!X8*(1+Traffic!Y9+Traffic!Y10))),"")</f>
        <v>0.46290825501532923</v>
      </c>
      <c r="Z8" s="27">
        <f>IFERROR(IF(Z6&lt;COD,0,IF(Z6=COD,'Operating Assumptions'!$I$35*Daysinayear/1000000,Traffic!Y8*(1+Traffic!Z9+Traffic!Z10))),"")</f>
        <v>0.47216642011563581</v>
      </c>
      <c r="AA8" s="27">
        <f>IFERROR(IF(AA6&lt;COD,0,IF(AA6=COD,'Operating Assumptions'!$I$35*Daysinayear/1000000,Traffic!Z8*(1+Traffic!AA9+Traffic!AA10))),"")</f>
        <v>0.48160974851794852</v>
      </c>
      <c r="AB8" s="27">
        <f>IFERROR(IF(AB6&lt;COD,0,IF(AB6=COD,'Operating Assumptions'!$I$35*Daysinayear/1000000,Traffic!AA8*(1+Traffic!AB9+Traffic!AB10))),"")</f>
        <v>0.49124194348830752</v>
      </c>
      <c r="AC8" s="27">
        <f>IFERROR(IF(AC6&lt;COD,0,IF(AC6=COD,'Operating Assumptions'!$I$35*Daysinayear/1000000,Traffic!AB8*(1+Traffic!AC9+Traffic!AC10))),"")</f>
        <v>0.50106678235807367</v>
      </c>
      <c r="AD8" s="27">
        <f>IFERROR(IF(AD6&lt;COD,0,IF(AD6=COD,'Operating Assumptions'!$I$35*Daysinayear/1000000,Traffic!AC8*(1+Traffic!AD9+Traffic!AD10))),"")</f>
        <v>0.51108811800523513</v>
      </c>
      <c r="AE8" s="27">
        <f>IFERROR(IF(AE6&lt;COD,0,IF(AE6=COD,'Operating Assumptions'!$I$35*Daysinayear/1000000,Traffic!AD8*(1+Traffic!AE9+Traffic!AE10))),"")</f>
        <v>0.52130988036533987</v>
      </c>
      <c r="AF8" s="27">
        <f>IFERROR(IF(AF6&lt;COD,0,IF(AF6=COD,'Operating Assumptions'!$I$35*Daysinayear/1000000,Traffic!AE8*(1+Traffic!AF9+Traffic!AF10))),"")</f>
        <v>0.53173607797264666</v>
      </c>
      <c r="AG8" s="27">
        <f>IFERROR(IF(AG6&lt;COD,0,IF(AG6=COD,'Operating Assumptions'!$I$35*Daysinayear/1000000,Traffic!AF8*(1+Traffic!AG9+Traffic!AG10))),"")</f>
        <v>0.54237079953209966</v>
      </c>
      <c r="AH8" s="27">
        <f>IFERROR(IF(AH6&lt;COD,0,IF(AH6=COD,'Operating Assumptions'!$I$35*Daysinayear/1000000,Traffic!AG8*(1+Traffic!AH9+Traffic!AH10))),"")</f>
        <v>0.55321821552274164</v>
      </c>
      <c r="AI8" s="27">
        <f>IFERROR(IF(AI6&lt;COD,0,IF(AI6=COD,'Operating Assumptions'!$I$35*Daysinayear/1000000,Traffic!AH8*(1+Traffic!AI9+Traffic!AI10))),"")</f>
        <v>0.56428257983319652</v>
      </c>
      <c r="AJ8" s="27">
        <f>IFERROR(IF(AJ6&lt;COD,0,IF(AJ6=COD,'Operating Assumptions'!$I$35*Daysinayear/1000000,Traffic!AI8*(1+Traffic!AJ9+Traffic!AJ10))),"")</f>
        <v>0.57556823142986047</v>
      </c>
      <c r="AK8" s="27">
        <f>IFERROR(IF(AK6&lt;COD,0,IF(AK6=COD,'Operating Assumptions'!$I$35*Daysinayear/1000000,Traffic!AJ8*(1+Traffic!AK9+Traffic!AK10))),"")</f>
        <v>0.58707959605845772</v>
      </c>
      <c r="AL8" s="27">
        <f>IFERROR(IF(AL6&lt;COD,0,IF(AL6=COD,'Operating Assumptions'!$I$35*Daysinayear/1000000,Traffic!AK8*(1+Traffic!AL9+Traffic!AL10))),"")</f>
        <v>0.59882118797962691</v>
      </c>
      <c r="AM8" s="27">
        <f>IFERROR(IF(AM6&lt;COD,0,IF(AM6=COD,'Operating Assumptions'!$I$35*Daysinayear/1000000,Traffic!AL8*(1+Traffic!AM9+Traffic!AM10))),"")</f>
        <v>0.61079761173921943</v>
      </c>
      <c r="AN8" s="27">
        <f>IFERROR(IF(AN6&lt;COD,0,IF(AN6=COD,'Operating Assumptions'!$I$35*Daysinayear/1000000,Traffic!AM8*(1+Traffic!AN9+Traffic!AN10))),"")</f>
        <v>0.62301356397400387</v>
      </c>
      <c r="AO8" s="27">
        <f>IFERROR(IF(AO6&lt;COD,0,IF(AO6=COD,'Operating Assumptions'!$I$35*Daysinayear/1000000,Traffic!AN8*(1+Traffic!AO9+Traffic!AO10))),"")</f>
        <v>0.635473835253484</v>
      </c>
      <c r="AP8" s="27">
        <f>IFERROR(IF(AP6&lt;COD,0,IF(AP6=COD,'Operating Assumptions'!$I$35*Daysinayear/1000000,Traffic!AO8*(1+Traffic!AP9+Traffic!AP10))),"")</f>
        <v>0.64818331195855372</v>
      </c>
      <c r="AQ8" s="27">
        <f>IFERROR(IF(AQ6&lt;COD,0,IF(AQ6=COD,'Operating Assumptions'!$I$35*Daysinayear/1000000,Traffic!AP8*(1+Traffic!AQ9+Traffic!AQ10))),"")</f>
        <v>0.66114697819772483</v>
      </c>
      <c r="AR8" s="27" t="str">
        <f>IFERROR(IF(AR6&lt;COD,0,IF(AR6=COD,'Operating Assumptions'!$I$35*Daysinayear/1000000,Traffic!AQ8*(1+Traffic!AR9+Traffic!AR10))),"")</f>
        <v/>
      </c>
      <c r="AS8" s="27" t="str">
        <f>IFERROR(IF(AS6&lt;COD,0,IF(AS6=COD,'Operating Assumptions'!$I$35*Daysinayear/1000000,Traffic!AR8*(1+Traffic!AS9+Traffic!AS10))),"")</f>
        <v/>
      </c>
      <c r="AT8" s="27" t="str">
        <f>IFERROR(IF(AT6&lt;COD,0,IF(AT6=COD,'Operating Assumptions'!$I$35*Daysinayear/1000000,Traffic!AS8*(1+Traffic!AT9+Traffic!AT10))),"")</f>
        <v/>
      </c>
      <c r="AU8" s="27" t="str">
        <f>IFERROR(IF(AU6&lt;COD,0,IF(AU6=COD,'Operating Assumptions'!$I$35*Daysinayear/1000000,Traffic!AT8*(1+Traffic!AU9+Traffic!AU10))),"")</f>
        <v/>
      </c>
      <c r="AV8" s="61" t="str">
        <f>IFERROR(IF(AV6&lt;COD,0,IF(AV6=COD,'Operating Assumptions'!$I$35*Daysinayear/1000000,Traffic!AU8*(1+Traffic!AV9+Traffic!AV10))),"")</f>
        <v/>
      </c>
      <c r="AW8" s="61" t="str">
        <f>IFERROR(IF(AW6&lt;COD,0,IF(AW6=COD,'Operating Assumptions'!$I$35*Daysinayear/1000000,Traffic!AV8*(1+Traffic!AW9+Traffic!AW10))),"")</f>
        <v/>
      </c>
      <c r="AX8" s="61" t="str">
        <f>IFERROR(IF(AX6&lt;COD,0,IF(AX6=COD,'Operating Assumptions'!$I$35*Daysinayear/1000000,Traffic!AW8*(1+Traffic!AX9+Traffic!AX10))),"")</f>
        <v/>
      </c>
      <c r="AY8" s="61" t="str">
        <f>IFERROR(IF(AY6&lt;COD,0,IF(AY6=COD,'Operating Assumptions'!$I$35*Daysinayear/1000000,Traffic!AX8*(1+Traffic!AY9+Traffic!AY10))),"")</f>
        <v/>
      </c>
      <c r="AZ8" s="61" t="str">
        <f>IFERROR(IF(AZ6&lt;COD,0,IF(AZ6=COD,'Operating Assumptions'!$I$35*Daysinayear/1000000,Traffic!AY8*(1+Traffic!AZ9+Traffic!AZ10))),"")</f>
        <v/>
      </c>
      <c r="BA8" s="61" t="str">
        <f>IFERROR(IF(BA6&lt;COD,0,IF(BA6=COD,'Operating Assumptions'!$I$35*Daysinayear/1000000,Traffic!AZ8*(1+Traffic!BA9+Traffic!BA10))),"")</f>
        <v/>
      </c>
      <c r="BB8" s="61" t="str">
        <f>IFERROR(IF(BB6&lt;COD,0,IF(BB6=COD,'Operating Assumptions'!$I$35*Daysinayear/1000000,Traffic!BA8*(1+Traffic!BB9+Traffic!BB10))),"")</f>
        <v/>
      </c>
      <c r="BC8" s="61" t="str">
        <f>IFERROR(IF(BC6&lt;COD,0,IF(BC6=COD,'Operating Assumptions'!$I$35*Daysinayear/1000000,Traffic!BB8*(1+Traffic!BC9+Traffic!BC10))),"")</f>
        <v/>
      </c>
      <c r="BD8" s="62"/>
      <c r="BE8" s="62"/>
      <c r="BF8" s="62"/>
      <c r="BG8" s="62"/>
      <c r="BH8" s="62"/>
      <c r="BI8" s="62"/>
      <c r="BJ8" s="62"/>
      <c r="BK8" s="62"/>
      <c r="BL8" s="62"/>
      <c r="BM8" s="62"/>
      <c r="BN8" s="62"/>
      <c r="BO8" s="62"/>
      <c r="BP8" s="62"/>
      <c r="BQ8" s="62"/>
      <c r="BR8" s="62"/>
      <c r="BS8" s="62"/>
      <c r="BT8" s="62"/>
      <c r="BU8" s="62"/>
      <c r="BV8" s="62"/>
      <c r="BW8" s="62"/>
      <c r="BX8" s="62"/>
      <c r="BY8" s="62"/>
      <c r="BZ8" s="62"/>
      <c r="CA8" s="62"/>
      <c r="CB8" s="62"/>
      <c r="CC8" s="62"/>
      <c r="CD8" s="62"/>
      <c r="CE8" s="62"/>
      <c r="CF8" s="62"/>
      <c r="CG8" s="62"/>
      <c r="CH8" s="62"/>
      <c r="CI8" s="62"/>
      <c r="CJ8" s="62"/>
      <c r="CK8" s="62"/>
      <c r="CL8" s="62"/>
      <c r="CM8" s="62"/>
      <c r="CN8" s="62"/>
      <c r="CO8" s="62"/>
      <c r="CP8" s="62"/>
      <c r="CQ8" s="62"/>
      <c r="CR8" s="62"/>
      <c r="CS8" s="62"/>
      <c r="CT8" s="62"/>
      <c r="CU8" s="62"/>
      <c r="CV8" s="62"/>
      <c r="CW8" s="62"/>
      <c r="CX8" s="62"/>
      <c r="CY8" s="62"/>
      <c r="CZ8" s="62"/>
      <c r="DA8" s="62"/>
      <c r="DB8" s="62"/>
      <c r="DC8" s="62"/>
      <c r="DD8" s="62"/>
      <c r="DE8" s="62"/>
      <c r="DF8" s="62"/>
      <c r="DG8" s="62"/>
      <c r="DH8" s="62"/>
      <c r="DI8" s="62"/>
      <c r="DJ8" s="62"/>
      <c r="DK8" s="62"/>
      <c r="DL8" s="62"/>
      <c r="DM8" s="62"/>
      <c r="DN8" s="62"/>
      <c r="DO8" s="62"/>
      <c r="DP8" s="62"/>
      <c r="DQ8" s="62"/>
      <c r="DR8" s="62"/>
      <c r="DS8" s="62"/>
      <c r="DT8" s="62"/>
      <c r="DU8" s="62"/>
      <c r="DV8" s="62"/>
      <c r="DW8" s="62"/>
      <c r="DX8" s="62"/>
      <c r="DY8" s="62"/>
      <c r="DZ8" s="62"/>
      <c r="EA8" s="62"/>
      <c r="EB8" s="62"/>
      <c r="EC8" s="62"/>
      <c r="ED8" s="62"/>
      <c r="EE8" s="62"/>
      <c r="EF8" s="62"/>
      <c r="EG8" s="62"/>
      <c r="EH8" s="62"/>
      <c r="EI8" s="62"/>
      <c r="EJ8" s="62"/>
      <c r="EK8" s="62"/>
      <c r="EL8" s="62"/>
      <c r="EM8" s="62"/>
      <c r="EN8" s="62"/>
      <c r="EO8" s="62"/>
      <c r="EP8" s="62"/>
      <c r="EQ8" s="62"/>
      <c r="ER8" s="62"/>
      <c r="ES8" s="62"/>
      <c r="ET8" s="62"/>
      <c r="EU8" s="62"/>
      <c r="EV8" s="62"/>
      <c r="EW8" s="62"/>
      <c r="EX8" s="62"/>
      <c r="EY8" s="62"/>
    </row>
    <row r="9" spans="1:155">
      <c r="B9" s="53" t="s">
        <v>80</v>
      </c>
      <c r="E9" s="3" t="s">
        <v>51</v>
      </c>
      <c r="F9" s="3" t="s">
        <v>57</v>
      </c>
      <c r="J9" s="60">
        <f>IF(J$6&lt;COD,0,IF(J$6&gt;End,"",IF(OR(J$6&lt;'Operating Assumptions'!$K$30,'Operating Assumptions'!$K$30=End),'Operating Assumptions'!$I$36,IF(OR(Traffic!J$6&lt;'Operating Assumptions'!$K$31,'Operating Assumptions'!$K$31=End),'Operating Assumptions'!$I$37,IF(Traffic!J$6&lt;='Operating Assumptions'!$K$51,'Operating Assumptions'!$I$38,"")))))</f>
        <v>0</v>
      </c>
      <c r="K9" s="60">
        <f>IF(K$6&lt;COD,0,IF(K$6&gt;End,"",IF(OR(K$6&lt;'Operating Assumptions'!$K$30,'Operating Assumptions'!$K$30=End),'Operating Assumptions'!$I$36,IF(OR(Traffic!K$6&lt;'Operating Assumptions'!$K$31,'Operating Assumptions'!$K$31=End),'Operating Assumptions'!$I$37,IF(Traffic!K$6&lt;='Operating Assumptions'!$K$51,'Operating Assumptions'!$I$38,"")))))</f>
        <v>0</v>
      </c>
      <c r="L9" s="60">
        <f>IF(L$6&lt;COD,0,IF(L$6&gt;End,"",IF(OR(L$6&lt;'Operating Assumptions'!$K$30,'Operating Assumptions'!$K$30=End),'Operating Assumptions'!$I$36,IF(OR(Traffic!L$6&lt;'Operating Assumptions'!$K$31,'Operating Assumptions'!$K$31=End),'Operating Assumptions'!$I$37,IF(Traffic!L$6&lt;='Operating Assumptions'!$K$51,'Operating Assumptions'!$I$38,"")))))</f>
        <v>0</v>
      </c>
      <c r="M9" s="60">
        <f>IF(M$6&lt;COD,0,IF(M$6&gt;End,"",IF(OR(M$6&lt;'Operating Assumptions'!$K$30,'Operating Assumptions'!$K$30=End),'Operating Assumptions'!$I$36,IF(OR(Traffic!M$6&lt;'Operating Assumptions'!$K$31,'Operating Assumptions'!$K$31=End),'Operating Assumptions'!$I$37,IF(Traffic!M$6&lt;='Operating Assumptions'!$K$51,'Operating Assumptions'!$I$38,"")))))</f>
        <v>0.02</v>
      </c>
      <c r="N9" s="60">
        <f>IF(N$6&lt;COD,0,IF(N$6&gt;End,"",IF(OR(N$6&lt;'Operating Assumptions'!$K$30,'Operating Assumptions'!$K$30=End),'Operating Assumptions'!$I$36,IF(OR(Traffic!N$6&lt;'Operating Assumptions'!$K$31,'Operating Assumptions'!$K$31=End),'Operating Assumptions'!$I$37,IF(Traffic!N$6&lt;='Operating Assumptions'!$K$51,'Operating Assumptions'!$I$38,"")))))</f>
        <v>0.02</v>
      </c>
      <c r="O9" s="60">
        <f>IF(O$6&lt;COD,0,IF(O$6&gt;End,"",IF(OR(O$6&lt;'Operating Assumptions'!$K$30,'Operating Assumptions'!$K$30=End),'Operating Assumptions'!$I$36,IF(OR(Traffic!O$6&lt;'Operating Assumptions'!$K$31,'Operating Assumptions'!$K$31=End),'Operating Assumptions'!$I$37,IF(Traffic!O$6&lt;='Operating Assumptions'!$K$51,'Operating Assumptions'!$I$38,"")))))</f>
        <v>0.02</v>
      </c>
      <c r="P9" s="60">
        <f>IF(P$6&lt;COD,0,IF(P$6&gt;End,"",IF(OR(P$6&lt;'Operating Assumptions'!$K$30,'Operating Assumptions'!$K$30=End),'Operating Assumptions'!$I$36,IF(OR(Traffic!P$6&lt;'Operating Assumptions'!$K$31,'Operating Assumptions'!$K$31=End),'Operating Assumptions'!$I$37,IF(Traffic!P$6&lt;='Operating Assumptions'!$K$51,'Operating Assumptions'!$I$38,"")))))</f>
        <v>0.02</v>
      </c>
      <c r="Q9" s="60">
        <f>IF(Q$6&lt;COD,0,IF(Q$6&gt;End,"",IF(OR(Q$6&lt;'Operating Assumptions'!$K$30,'Operating Assumptions'!$K$30=End),'Operating Assumptions'!$I$36,IF(OR(Traffic!Q$6&lt;'Operating Assumptions'!$K$31,'Operating Assumptions'!$K$31=End),'Operating Assumptions'!$I$37,IF(Traffic!Q$6&lt;='Operating Assumptions'!$K$51,'Operating Assumptions'!$I$38,"")))))</f>
        <v>0.02</v>
      </c>
      <c r="R9" s="60">
        <f>IF(R$6&lt;COD,0,IF(R$6&gt;End,"",IF(OR(R$6&lt;'Operating Assumptions'!$K$30,'Operating Assumptions'!$K$30=End),'Operating Assumptions'!$I$36,IF(OR(Traffic!R$6&lt;'Operating Assumptions'!$K$31,'Operating Assumptions'!$K$31=End),'Operating Assumptions'!$I$37,IF(Traffic!R$6&lt;='Operating Assumptions'!$K$51,'Operating Assumptions'!$I$38,"")))))</f>
        <v>0.02</v>
      </c>
      <c r="S9" s="60">
        <f>IF(S$6&lt;COD,0,IF(S$6&gt;End,"",IF(OR(S$6&lt;'Operating Assumptions'!$K$30,'Operating Assumptions'!$K$30=End),'Operating Assumptions'!$I$36,IF(OR(Traffic!S$6&lt;'Operating Assumptions'!$K$31,'Operating Assumptions'!$K$31=End),'Operating Assumptions'!$I$37,IF(Traffic!S$6&lt;='Operating Assumptions'!$K$51,'Operating Assumptions'!$I$38,"")))))</f>
        <v>0.02</v>
      </c>
      <c r="T9" s="60">
        <f>IF(T$6&lt;COD,0,IF(T$6&gt;End,"",IF(OR(T$6&lt;'Operating Assumptions'!$K$30,'Operating Assumptions'!$K$30=End),'Operating Assumptions'!$I$36,IF(OR(Traffic!T$6&lt;'Operating Assumptions'!$K$31,'Operating Assumptions'!$K$31=End),'Operating Assumptions'!$I$37,IF(Traffic!T$6&lt;='Operating Assumptions'!$K$51,'Operating Assumptions'!$I$38,"")))))</f>
        <v>0.02</v>
      </c>
      <c r="U9" s="60">
        <f>IF(U$6&lt;COD,0,IF(U$6&gt;End,"",IF(OR(U$6&lt;'Operating Assumptions'!$K$30,'Operating Assumptions'!$K$30=End),'Operating Assumptions'!$I$36,IF(OR(Traffic!U$6&lt;'Operating Assumptions'!$K$31,'Operating Assumptions'!$K$31=End),'Operating Assumptions'!$I$37,IF(Traffic!U$6&lt;='Operating Assumptions'!$K$51,'Operating Assumptions'!$I$38,"")))))</f>
        <v>0.02</v>
      </c>
      <c r="V9" s="60">
        <f>IF(V$6&lt;COD,0,IF(V$6&gt;End,"",IF(OR(V$6&lt;'Operating Assumptions'!$K$30,'Operating Assumptions'!$K$30=End),'Operating Assumptions'!$I$36,IF(OR(Traffic!V$6&lt;'Operating Assumptions'!$K$31,'Operating Assumptions'!$K$31=End),'Operating Assumptions'!$I$37,IF(Traffic!V$6&lt;='Operating Assumptions'!$K$51,'Operating Assumptions'!$I$38,"")))))</f>
        <v>0.02</v>
      </c>
      <c r="W9" s="60">
        <f>IF(W$6&lt;COD,0,IF(W$6&gt;End,"",IF(OR(W$6&lt;'Operating Assumptions'!$K$30,'Operating Assumptions'!$K$30=End),'Operating Assumptions'!$I$36,IF(OR(Traffic!W$6&lt;'Operating Assumptions'!$K$31,'Operating Assumptions'!$K$31=End),'Operating Assumptions'!$I$37,IF(Traffic!W$6&lt;='Operating Assumptions'!$K$51,'Operating Assumptions'!$I$38,"")))))</f>
        <v>0.02</v>
      </c>
      <c r="X9" s="60">
        <f>IF(X$6&lt;COD,0,IF(X$6&gt;End,"",IF(OR(X$6&lt;'Operating Assumptions'!$K$30,'Operating Assumptions'!$K$30=End),'Operating Assumptions'!$I$36,IF(OR(Traffic!X$6&lt;'Operating Assumptions'!$K$31,'Operating Assumptions'!$K$31=End),'Operating Assumptions'!$I$37,IF(Traffic!X$6&lt;='Operating Assumptions'!$K$51,'Operating Assumptions'!$I$38,"")))))</f>
        <v>0.02</v>
      </c>
      <c r="Y9" s="60">
        <f>IF(Y$6&lt;COD,0,IF(Y$6&gt;End,"",IF(OR(Y$6&lt;'Operating Assumptions'!$K$30,'Operating Assumptions'!$K$30=End),'Operating Assumptions'!$I$36,IF(OR(Traffic!Y$6&lt;'Operating Assumptions'!$K$31,'Operating Assumptions'!$K$31=End),'Operating Assumptions'!$I$37,IF(Traffic!Y$6&lt;='Operating Assumptions'!$K$51,'Operating Assumptions'!$I$38,"")))))</f>
        <v>0.02</v>
      </c>
      <c r="Z9" s="60">
        <f>IF(Z$6&lt;COD,0,IF(Z$6&gt;End,"",IF(OR(Z$6&lt;'Operating Assumptions'!$K$30,'Operating Assumptions'!$K$30=End),'Operating Assumptions'!$I$36,IF(OR(Traffic!Z$6&lt;'Operating Assumptions'!$K$31,'Operating Assumptions'!$K$31=End),'Operating Assumptions'!$I$37,IF(Traffic!Z$6&lt;='Operating Assumptions'!$K$51,'Operating Assumptions'!$I$38,"")))))</f>
        <v>0.02</v>
      </c>
      <c r="AA9" s="60">
        <f>IF(AA$6&lt;COD,0,IF(AA$6&gt;End,"",IF(OR(AA$6&lt;'Operating Assumptions'!$K$30,'Operating Assumptions'!$K$30=End),'Operating Assumptions'!$I$36,IF(OR(Traffic!AA$6&lt;'Operating Assumptions'!$K$31,'Operating Assumptions'!$K$31=End),'Operating Assumptions'!$I$37,IF(Traffic!AA$6&lt;='Operating Assumptions'!$K$51,'Operating Assumptions'!$I$38,"")))))</f>
        <v>0.02</v>
      </c>
      <c r="AB9" s="60">
        <f>IF(AB$6&lt;COD,0,IF(AB$6&gt;End,"",IF(OR(AB$6&lt;'Operating Assumptions'!$K$30,'Operating Assumptions'!$K$30=End),'Operating Assumptions'!$I$36,IF(OR(Traffic!AB$6&lt;'Operating Assumptions'!$K$31,'Operating Assumptions'!$K$31=End),'Operating Assumptions'!$I$37,IF(Traffic!AB$6&lt;='Operating Assumptions'!$K$51,'Operating Assumptions'!$I$38,"")))))</f>
        <v>0.02</v>
      </c>
      <c r="AC9" s="60">
        <f>IF(AC$6&lt;COD,0,IF(AC$6&gt;End,"",IF(OR(AC$6&lt;'Operating Assumptions'!$K$30,'Operating Assumptions'!$K$30=End),'Operating Assumptions'!$I$36,IF(OR(Traffic!AC$6&lt;'Operating Assumptions'!$K$31,'Operating Assumptions'!$K$31=End),'Operating Assumptions'!$I$37,IF(Traffic!AC$6&lt;='Operating Assumptions'!$K$51,'Operating Assumptions'!$I$38,"")))))</f>
        <v>0.02</v>
      </c>
      <c r="AD9" s="60">
        <f>IF(AD$6&lt;COD,0,IF(AD$6&gt;End,"",IF(OR(AD$6&lt;'Operating Assumptions'!$K$30,'Operating Assumptions'!$K$30=End),'Operating Assumptions'!$I$36,IF(OR(Traffic!AD$6&lt;'Operating Assumptions'!$K$31,'Operating Assumptions'!$K$31=End),'Operating Assumptions'!$I$37,IF(Traffic!AD$6&lt;='Operating Assumptions'!$K$51,'Operating Assumptions'!$I$38,"")))))</f>
        <v>0.02</v>
      </c>
      <c r="AE9" s="60">
        <f>IF(AE$6&lt;COD,0,IF(AE$6&gt;End,"",IF(OR(AE$6&lt;'Operating Assumptions'!$K$30,'Operating Assumptions'!$K$30=End),'Operating Assumptions'!$I$36,IF(OR(Traffic!AE$6&lt;'Operating Assumptions'!$K$31,'Operating Assumptions'!$K$31=End),'Operating Assumptions'!$I$37,IF(Traffic!AE$6&lt;='Operating Assumptions'!$K$51,'Operating Assumptions'!$I$38,"")))))</f>
        <v>0.02</v>
      </c>
      <c r="AF9" s="60">
        <f>IF(AF$6&lt;COD,0,IF(AF$6&gt;End,"",IF(OR(AF$6&lt;'Operating Assumptions'!$K$30,'Operating Assumptions'!$K$30=End),'Operating Assumptions'!$I$36,IF(OR(Traffic!AF$6&lt;'Operating Assumptions'!$K$31,'Operating Assumptions'!$K$31=End),'Operating Assumptions'!$I$37,IF(Traffic!AF$6&lt;='Operating Assumptions'!$K$51,'Operating Assumptions'!$I$38,"")))))</f>
        <v>0.02</v>
      </c>
      <c r="AG9" s="60">
        <f>IF(AG$6&lt;COD,0,IF(AG$6&gt;End,"",IF(OR(AG$6&lt;'Operating Assumptions'!$K$30,'Operating Assumptions'!$K$30=End),'Operating Assumptions'!$I$36,IF(OR(Traffic!AG$6&lt;'Operating Assumptions'!$K$31,'Operating Assumptions'!$K$31=End),'Operating Assumptions'!$I$37,IF(Traffic!AG$6&lt;='Operating Assumptions'!$K$51,'Operating Assumptions'!$I$38,"")))))</f>
        <v>0.02</v>
      </c>
      <c r="AH9" s="60">
        <f>IF(AH$6&lt;COD,0,IF(AH$6&gt;End,"",IF(OR(AH$6&lt;'Operating Assumptions'!$K$30,'Operating Assumptions'!$K$30=End),'Operating Assumptions'!$I$36,IF(OR(Traffic!AH$6&lt;'Operating Assumptions'!$K$31,'Operating Assumptions'!$K$31=End),'Operating Assumptions'!$I$37,IF(Traffic!AH$6&lt;='Operating Assumptions'!$K$51,'Operating Assumptions'!$I$38,"")))))</f>
        <v>0.02</v>
      </c>
      <c r="AI9" s="60">
        <f>IF(AI$6&lt;COD,0,IF(AI$6&gt;End,"",IF(OR(AI$6&lt;'Operating Assumptions'!$K$30,'Operating Assumptions'!$K$30=End),'Operating Assumptions'!$I$36,IF(OR(Traffic!AI$6&lt;'Operating Assumptions'!$K$31,'Operating Assumptions'!$K$31=End),'Operating Assumptions'!$I$37,IF(Traffic!AI$6&lt;='Operating Assumptions'!$K$51,'Operating Assumptions'!$I$38,"")))))</f>
        <v>0.02</v>
      </c>
      <c r="AJ9" s="60">
        <f>IF(AJ$6&lt;COD,0,IF(AJ$6&gt;End,"",IF(OR(AJ$6&lt;'Operating Assumptions'!$K$30,'Operating Assumptions'!$K$30=End),'Operating Assumptions'!$I$36,IF(OR(Traffic!AJ$6&lt;'Operating Assumptions'!$K$31,'Operating Assumptions'!$K$31=End),'Operating Assumptions'!$I$37,IF(Traffic!AJ$6&lt;='Operating Assumptions'!$K$51,'Operating Assumptions'!$I$38,"")))))</f>
        <v>0.02</v>
      </c>
      <c r="AK9" s="60">
        <f>IF(AK$6&lt;COD,0,IF(AK$6&gt;End,"",IF(OR(AK$6&lt;'Operating Assumptions'!$K$30,'Operating Assumptions'!$K$30=End),'Operating Assumptions'!$I$36,IF(OR(Traffic!AK$6&lt;'Operating Assumptions'!$K$31,'Operating Assumptions'!$K$31=End),'Operating Assumptions'!$I$37,IF(Traffic!AK$6&lt;='Operating Assumptions'!$K$51,'Operating Assumptions'!$I$38,"")))))</f>
        <v>0.02</v>
      </c>
      <c r="AL9" s="60">
        <f>IF(AL$6&lt;COD,0,IF(AL$6&gt;End,"",IF(OR(AL$6&lt;'Operating Assumptions'!$K$30,'Operating Assumptions'!$K$30=End),'Operating Assumptions'!$I$36,IF(OR(Traffic!AL$6&lt;'Operating Assumptions'!$K$31,'Operating Assumptions'!$K$31=End),'Operating Assumptions'!$I$37,IF(Traffic!AL$6&lt;='Operating Assumptions'!$K$51,'Operating Assumptions'!$I$38,"")))))</f>
        <v>0.02</v>
      </c>
      <c r="AM9" s="60">
        <f>IF(AM$6&lt;COD,0,IF(AM$6&gt;End,"",IF(OR(AM$6&lt;'Operating Assumptions'!$K$30,'Operating Assumptions'!$K$30=End),'Operating Assumptions'!$I$36,IF(OR(Traffic!AM$6&lt;'Operating Assumptions'!$K$31,'Operating Assumptions'!$K$31=End),'Operating Assumptions'!$I$37,IF(Traffic!AM$6&lt;='Operating Assumptions'!$K$51,'Operating Assumptions'!$I$38,"")))))</f>
        <v>0.02</v>
      </c>
      <c r="AN9" s="60">
        <f>IF(AN$6&lt;COD,0,IF(AN$6&gt;End,"",IF(OR(AN$6&lt;'Operating Assumptions'!$K$30,'Operating Assumptions'!$K$30=End),'Operating Assumptions'!$I$36,IF(OR(Traffic!AN$6&lt;'Operating Assumptions'!$K$31,'Operating Assumptions'!$K$31=End),'Operating Assumptions'!$I$37,IF(Traffic!AN$6&lt;='Operating Assumptions'!$K$51,'Operating Assumptions'!$I$38,"")))))</f>
        <v>0.02</v>
      </c>
      <c r="AO9" s="60">
        <f>IF(AO$6&lt;COD,0,IF(AO$6&gt;End,"",IF(OR(AO$6&lt;'Operating Assumptions'!$K$30,'Operating Assumptions'!$K$30=End),'Operating Assumptions'!$I$36,IF(OR(Traffic!AO$6&lt;'Operating Assumptions'!$K$31,'Operating Assumptions'!$K$31=End),'Operating Assumptions'!$I$37,IF(Traffic!AO$6&lt;='Operating Assumptions'!$K$51,'Operating Assumptions'!$I$38,"")))))</f>
        <v>0.02</v>
      </c>
      <c r="AP9" s="60">
        <f>IF(AP$6&lt;COD,0,IF(AP$6&gt;End,"",IF(OR(AP$6&lt;'Operating Assumptions'!$K$30,'Operating Assumptions'!$K$30=End),'Operating Assumptions'!$I$36,IF(OR(Traffic!AP$6&lt;'Operating Assumptions'!$K$31,'Operating Assumptions'!$K$31=End),'Operating Assumptions'!$I$37,IF(Traffic!AP$6&lt;='Operating Assumptions'!$K$51,'Operating Assumptions'!$I$38,"")))))</f>
        <v>0.02</v>
      </c>
      <c r="AQ9" s="60">
        <f>IF(AQ$6&lt;COD,0,IF(AQ$6&gt;End,"",IF(OR(AQ$6&lt;'Operating Assumptions'!$K$30,'Operating Assumptions'!$K$30=End),'Operating Assumptions'!$I$36,IF(OR(Traffic!AQ$6&lt;'Operating Assumptions'!$K$31,'Operating Assumptions'!$K$31=End),'Operating Assumptions'!$I$37,IF(Traffic!AQ$6&lt;='Operating Assumptions'!$K$51,'Operating Assumptions'!$I$38,"")))))</f>
        <v>0.02</v>
      </c>
      <c r="AR9" s="60" t="str">
        <f>IF(AR$6&lt;COD,0,IF(AR$6&gt;End,"",IF(OR(AR$6&lt;'Operating Assumptions'!$K$30,'Operating Assumptions'!$K$30=End),'Operating Assumptions'!$I$36,IF(OR(Traffic!AR$6&lt;'Operating Assumptions'!$K$31,'Operating Assumptions'!$K$31=End),'Operating Assumptions'!$I$37,IF(Traffic!AR$6&lt;='Operating Assumptions'!$K$51,'Operating Assumptions'!$I$38,"")))))</f>
        <v/>
      </c>
      <c r="AS9" s="60" t="str">
        <f>IF(AS$6&lt;COD,0,IF(AS$6&gt;End,"",IF(OR(AS$6&lt;'Operating Assumptions'!$K$30,'Operating Assumptions'!$K$30=End),'Operating Assumptions'!$I$36,IF(OR(Traffic!AS$6&lt;'Operating Assumptions'!$K$31,'Operating Assumptions'!$K$31=End),'Operating Assumptions'!$I$37,IF(Traffic!AS$6&lt;='Operating Assumptions'!$K$51,'Operating Assumptions'!$I$38,"")))))</f>
        <v/>
      </c>
      <c r="AT9" s="60" t="str">
        <f>IF(AT$6&lt;COD,0,IF(AT$6&gt;End,"",IF(OR(AT$6&lt;'Operating Assumptions'!$K$30,'Operating Assumptions'!$K$30=End),'Operating Assumptions'!$I$36,IF(OR(Traffic!AT$6&lt;'Operating Assumptions'!$K$31,'Operating Assumptions'!$K$31=End),'Operating Assumptions'!$I$37,IF(Traffic!AT$6&lt;='Operating Assumptions'!$K$51,'Operating Assumptions'!$I$38,"")))))</f>
        <v/>
      </c>
      <c r="AU9" s="60" t="str">
        <f>IF(AU$6&lt;COD,0,IF(AU$6&gt;End,"",IF(OR(AU$6&lt;'Operating Assumptions'!$K$30,'Operating Assumptions'!$K$30=End),'Operating Assumptions'!$I$36,IF(OR(Traffic!AU$6&lt;'Operating Assumptions'!$K$31,'Operating Assumptions'!$K$31=End),'Operating Assumptions'!$I$37,IF(Traffic!AU$6&lt;='Operating Assumptions'!$K$51,'Operating Assumptions'!$I$38,"")))))</f>
        <v/>
      </c>
      <c r="AV9" s="60" t="str">
        <f>IF(AV$6&lt;COD,0,IF(AV$6&gt;End,"",IF(OR(AV$6&lt;'Operating Assumptions'!$K$30,'Operating Assumptions'!$K$30=End),'Operating Assumptions'!$I$36,IF(OR(Traffic!AV$6&lt;'Operating Assumptions'!$K$31,'Operating Assumptions'!$K$31=End),'Operating Assumptions'!$I$37,IF(Traffic!AV$6&lt;='Operating Assumptions'!$K$51,'Operating Assumptions'!$I$38,"")))))</f>
        <v/>
      </c>
      <c r="AW9" s="60" t="str">
        <f>IF(AW$6&lt;COD,0,IF(AW$6&gt;End,"",IF(OR(AW$6&lt;'Operating Assumptions'!$K$30,'Operating Assumptions'!$K$30=End),'Operating Assumptions'!$I$36,IF(OR(Traffic!AW$6&lt;'Operating Assumptions'!$K$31,'Operating Assumptions'!$K$31=End),'Operating Assumptions'!$I$37,IF(Traffic!AW$6&lt;='Operating Assumptions'!$K$51,'Operating Assumptions'!$I$38,"")))))</f>
        <v/>
      </c>
      <c r="AX9" s="60" t="str">
        <f>IF(AX$6&lt;COD,0,IF(AX$6&gt;End,"",IF(OR(AX$6&lt;'Operating Assumptions'!$K$30,'Operating Assumptions'!$K$30=End),'Operating Assumptions'!$I$36,IF(OR(Traffic!AX$6&lt;'Operating Assumptions'!$K$31,'Operating Assumptions'!$K$31=End),'Operating Assumptions'!$I$37,IF(Traffic!AX$6&lt;='Operating Assumptions'!$K$51,'Operating Assumptions'!$I$38,"")))))</f>
        <v/>
      </c>
      <c r="AY9" s="60" t="str">
        <f>IF(AY$6&lt;COD,0,IF(AY$6&gt;End,"",IF(OR(AY$6&lt;'Operating Assumptions'!$K$30,'Operating Assumptions'!$K$30=End),'Operating Assumptions'!$I$36,IF(OR(Traffic!AY$6&lt;'Operating Assumptions'!$K$31,'Operating Assumptions'!$K$31=End),'Operating Assumptions'!$I$37,IF(Traffic!AY$6&lt;='Operating Assumptions'!$K$51,'Operating Assumptions'!$I$38,"")))))</f>
        <v/>
      </c>
      <c r="AZ9" s="60" t="str">
        <f>IF(AZ$6&lt;COD,0,IF(AZ$6&gt;End,"",IF(OR(AZ$6&lt;'Operating Assumptions'!$K$30,'Operating Assumptions'!$K$30=End),'Operating Assumptions'!$I$36,IF(OR(Traffic!AZ$6&lt;'Operating Assumptions'!$K$31,'Operating Assumptions'!$K$31=End),'Operating Assumptions'!$I$37,IF(Traffic!AZ$6&lt;='Operating Assumptions'!$K$51,'Operating Assumptions'!$I$38,"")))))</f>
        <v/>
      </c>
      <c r="BA9" s="60" t="str">
        <f>IF(BA$6&lt;COD,0,IF(BA$6&gt;End,"",IF(OR(BA$6&lt;'Operating Assumptions'!$K$30,'Operating Assumptions'!$K$30=End),'Operating Assumptions'!$I$36,IF(OR(Traffic!BA$6&lt;'Operating Assumptions'!$K$31,'Operating Assumptions'!$K$31=End),'Operating Assumptions'!$I$37,IF(Traffic!BA$6&lt;='Operating Assumptions'!$K$51,'Operating Assumptions'!$I$38,"")))))</f>
        <v/>
      </c>
      <c r="BB9" s="60" t="str">
        <f>IF(BB$6&lt;COD,0,IF(BB$6&gt;End,"",IF(OR(BB$6&lt;'Operating Assumptions'!$K$30,'Operating Assumptions'!$K$30=End),'Operating Assumptions'!$I$36,IF(OR(Traffic!BB$6&lt;'Operating Assumptions'!$K$31,'Operating Assumptions'!$K$31=End),'Operating Assumptions'!$I$37,IF(Traffic!BB$6&lt;='Operating Assumptions'!$K$51,'Operating Assumptions'!$I$38,"")))))</f>
        <v/>
      </c>
      <c r="BC9" s="60" t="str">
        <f>IF(BC$6&lt;COD,0,IF(BC$6&gt;End,"",IF(OR(BC$6&lt;'Operating Assumptions'!$K$30,'Operating Assumptions'!$K$30=End),'Operating Assumptions'!$I$36,IF(OR(Traffic!BC$6&lt;'Operating Assumptions'!$K$31,'Operating Assumptions'!$K$31=End),'Operating Assumptions'!$I$37,IF(Traffic!BC$6&lt;='Operating Assumptions'!$K$51,'Operating Assumptions'!$I$38,"")))))</f>
        <v/>
      </c>
      <c r="BD9" s="60"/>
      <c r="BE9" s="60"/>
      <c r="BF9" s="60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</row>
    <row r="10" spans="1:155" s="40" customFormat="1">
      <c r="A10" s="3"/>
      <c r="B10" s="53" t="s">
        <v>81</v>
      </c>
      <c r="C10" s="3"/>
      <c r="D10" s="3"/>
      <c r="E10" s="3" t="s">
        <v>51</v>
      </c>
      <c r="F10" s="3" t="s">
        <v>57</v>
      </c>
      <c r="G10" s="3"/>
      <c r="H10" s="3"/>
      <c r="I10" s="3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63"/>
      <c r="AW10" s="63"/>
      <c r="AX10" s="63"/>
      <c r="AY10" s="63"/>
      <c r="AZ10" s="63"/>
      <c r="BA10" s="63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  <c r="BR10" s="64"/>
      <c r="BS10" s="64"/>
      <c r="BT10" s="64"/>
      <c r="BU10" s="64"/>
      <c r="BV10" s="64"/>
      <c r="BW10" s="64"/>
      <c r="BX10" s="64"/>
      <c r="BY10" s="64"/>
      <c r="BZ10" s="64"/>
      <c r="CA10" s="64"/>
      <c r="CB10" s="64"/>
      <c r="CC10" s="64"/>
      <c r="CD10" s="64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CT10" s="64"/>
      <c r="CU10" s="64"/>
      <c r="CV10" s="64"/>
      <c r="CW10" s="64"/>
      <c r="CX10" s="64"/>
      <c r="CY10" s="64"/>
      <c r="CZ10" s="64"/>
      <c r="DA10" s="64"/>
      <c r="DB10" s="64"/>
      <c r="DC10" s="64"/>
      <c r="DD10" s="64"/>
      <c r="DE10" s="64"/>
      <c r="DF10" s="64"/>
      <c r="DG10" s="64"/>
      <c r="DH10" s="64"/>
      <c r="DI10" s="64"/>
      <c r="DJ10" s="64"/>
      <c r="DK10" s="64"/>
      <c r="DL10" s="64"/>
      <c r="DM10" s="64"/>
      <c r="DN10" s="64"/>
      <c r="DO10" s="64"/>
      <c r="DP10" s="64"/>
      <c r="DQ10" s="64"/>
      <c r="DR10" s="64"/>
      <c r="DS10" s="64"/>
      <c r="DT10" s="64"/>
      <c r="DU10" s="64"/>
      <c r="DV10" s="64"/>
      <c r="DW10" s="64"/>
      <c r="DX10" s="64"/>
      <c r="DY10" s="64"/>
      <c r="DZ10" s="64"/>
      <c r="EA10" s="64"/>
      <c r="EB10" s="64"/>
      <c r="EC10" s="64"/>
      <c r="ED10" s="64"/>
      <c r="EE10" s="64"/>
      <c r="EF10" s="64"/>
      <c r="EG10" s="64"/>
      <c r="EH10" s="64"/>
      <c r="EI10" s="64"/>
      <c r="EJ10" s="64"/>
      <c r="EK10" s="64"/>
      <c r="EL10" s="64"/>
      <c r="EM10" s="64"/>
      <c r="EN10" s="64"/>
      <c r="EO10" s="64"/>
      <c r="EP10" s="64"/>
      <c r="EQ10" s="64"/>
      <c r="ER10" s="64"/>
      <c r="ES10" s="64"/>
      <c r="ET10" s="64"/>
      <c r="EU10" s="64"/>
      <c r="EV10" s="64"/>
      <c r="EW10" s="64"/>
      <c r="EX10" s="64"/>
      <c r="EY10" s="64"/>
    </row>
    <row r="11" spans="1:155" customFormat="1" ht="13"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65"/>
      <c r="BU11" s="65"/>
      <c r="BV11" s="65"/>
      <c r="BW11" s="65"/>
      <c r="BX11" s="65"/>
      <c r="BY11" s="65"/>
      <c r="BZ11" s="65"/>
      <c r="CA11" s="65"/>
      <c r="CB11" s="65"/>
      <c r="CC11" s="65"/>
      <c r="CD11" s="65"/>
      <c r="CE11" s="65"/>
      <c r="CF11" s="65"/>
      <c r="CG11" s="65"/>
      <c r="CH11" s="65"/>
      <c r="CI11" s="65"/>
      <c r="CJ11" s="65"/>
      <c r="CK11" s="65"/>
      <c r="CL11" s="65"/>
      <c r="CM11" s="65"/>
      <c r="CN11" s="65"/>
      <c r="CO11" s="65"/>
      <c r="CP11" s="65"/>
      <c r="CQ11" s="65"/>
      <c r="CR11" s="65"/>
      <c r="CS11" s="65"/>
      <c r="CT11" s="65"/>
      <c r="CU11" s="65"/>
      <c r="CV11" s="65"/>
      <c r="CW11" s="65"/>
      <c r="CX11" s="65"/>
      <c r="CY11" s="65"/>
      <c r="CZ11" s="65"/>
      <c r="DA11" s="65"/>
      <c r="DB11" s="65"/>
      <c r="DC11" s="65"/>
      <c r="DD11" s="65"/>
      <c r="DE11" s="65"/>
      <c r="DF11" s="65"/>
      <c r="DG11" s="65"/>
      <c r="DH11" s="65"/>
      <c r="DI11" s="65"/>
      <c r="DJ11" s="65"/>
      <c r="DK11" s="65"/>
      <c r="DL11" s="65"/>
      <c r="DM11" s="65"/>
      <c r="DN11" s="65"/>
      <c r="DO11" s="65"/>
      <c r="DP11" s="65"/>
      <c r="DQ11" s="65"/>
      <c r="DR11" s="65"/>
      <c r="DS11" s="65"/>
      <c r="DT11" s="65"/>
      <c r="DU11" s="65"/>
      <c r="DV11" s="65"/>
      <c r="DW11" s="65"/>
      <c r="DX11" s="65"/>
      <c r="DY11" s="65"/>
      <c r="DZ11" s="65"/>
      <c r="EA11" s="65"/>
      <c r="EB11" s="65"/>
      <c r="EC11" s="65"/>
      <c r="ED11" s="65"/>
      <c r="EE11" s="65"/>
      <c r="EF11" s="65"/>
      <c r="EG11" s="65"/>
      <c r="EH11" s="65"/>
      <c r="EI11" s="65"/>
      <c r="EJ11" s="65"/>
      <c r="EK11" s="65"/>
      <c r="EL11" s="65"/>
      <c r="EM11" s="65"/>
      <c r="EN11" s="65"/>
      <c r="EO11" s="65"/>
      <c r="EP11" s="65"/>
      <c r="EQ11" s="65"/>
      <c r="ER11" s="65"/>
      <c r="ES11" s="65"/>
      <c r="ET11" s="65"/>
      <c r="EU11" s="65"/>
      <c r="EV11" s="65"/>
      <c r="EW11" s="65"/>
      <c r="EX11" s="65"/>
      <c r="EY11" s="65"/>
    </row>
    <row r="12" spans="1:155" customFormat="1" ht="13">
      <c r="B12" s="11" t="str">
        <f>VehB</f>
        <v>Vehicle B</v>
      </c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65"/>
      <c r="BP12" s="65"/>
      <c r="BQ12" s="65"/>
      <c r="BR12" s="65"/>
      <c r="BS12" s="65"/>
      <c r="BT12" s="65"/>
      <c r="BU12" s="65"/>
      <c r="BV12" s="65"/>
      <c r="BW12" s="65"/>
      <c r="BX12" s="65"/>
      <c r="BY12" s="65"/>
      <c r="BZ12" s="65"/>
      <c r="CA12" s="65"/>
      <c r="CB12" s="65"/>
      <c r="CC12" s="65"/>
      <c r="CD12" s="65"/>
      <c r="CE12" s="65"/>
      <c r="CF12" s="65"/>
      <c r="CG12" s="65"/>
      <c r="CH12" s="65"/>
      <c r="CI12" s="65"/>
      <c r="CJ12" s="65"/>
      <c r="CK12" s="65"/>
      <c r="CL12" s="65"/>
      <c r="CM12" s="65"/>
      <c r="CN12" s="65"/>
      <c r="CO12" s="65"/>
      <c r="CP12" s="65"/>
      <c r="CQ12" s="65"/>
      <c r="CR12" s="65"/>
      <c r="CS12" s="65"/>
      <c r="CT12" s="65"/>
      <c r="CU12" s="65"/>
      <c r="CV12" s="65"/>
      <c r="CW12" s="65"/>
      <c r="CX12" s="65"/>
      <c r="CY12" s="65"/>
      <c r="CZ12" s="65"/>
      <c r="DA12" s="65"/>
      <c r="DB12" s="65"/>
      <c r="DC12" s="65"/>
      <c r="DD12" s="65"/>
      <c r="DE12" s="65"/>
      <c r="DF12" s="65"/>
      <c r="DG12" s="65"/>
      <c r="DH12" s="65"/>
      <c r="DI12" s="65"/>
      <c r="DJ12" s="65"/>
      <c r="DK12" s="65"/>
      <c r="DL12" s="65"/>
      <c r="DM12" s="65"/>
      <c r="DN12" s="65"/>
      <c r="DO12" s="65"/>
      <c r="DP12" s="65"/>
      <c r="DQ12" s="65"/>
      <c r="DR12" s="65"/>
      <c r="DS12" s="65"/>
      <c r="DT12" s="65"/>
      <c r="DU12" s="65"/>
      <c r="DV12" s="65"/>
      <c r="DW12" s="65"/>
      <c r="DX12" s="65"/>
      <c r="DY12" s="65"/>
      <c r="DZ12" s="65"/>
      <c r="EA12" s="65"/>
      <c r="EB12" s="65"/>
      <c r="EC12" s="65"/>
      <c r="ED12" s="65"/>
      <c r="EE12" s="65"/>
      <c r="EF12" s="65"/>
      <c r="EG12" s="65"/>
      <c r="EH12" s="65"/>
      <c r="EI12" s="65"/>
      <c r="EJ12" s="65"/>
      <c r="EK12" s="65"/>
      <c r="EL12" s="65"/>
      <c r="EM12" s="65"/>
      <c r="EN12" s="65"/>
      <c r="EO12" s="65"/>
      <c r="EP12" s="65"/>
      <c r="EQ12" s="65"/>
      <c r="ER12" s="65"/>
      <c r="ES12" s="65"/>
      <c r="ET12" s="65"/>
      <c r="EU12" s="65"/>
      <c r="EV12" s="65"/>
      <c r="EW12" s="65"/>
      <c r="EX12" s="65"/>
      <c r="EY12" s="65"/>
    </row>
    <row r="13" spans="1:155" s="27" customFormat="1">
      <c r="A13" s="3"/>
      <c r="B13" s="52" t="s">
        <v>67</v>
      </c>
      <c r="C13" s="3"/>
      <c r="D13" s="3"/>
      <c r="E13" s="3" t="s">
        <v>83</v>
      </c>
      <c r="F13" s="3" t="s">
        <v>57</v>
      </c>
      <c r="G13" s="3"/>
      <c r="H13" s="3"/>
      <c r="I13" s="27">
        <f>IFERROR(IF(I$6&lt;COD,0,IF(I$6=COD,'Operating Assumptions'!$J$35*Daysinayear/1000000,Traffic!H13*(1+Traffic!I14+Traffic!I15))),"")</f>
        <v>0</v>
      </c>
      <c r="J13" s="27">
        <f>IFERROR(IF(J$6&lt;COD,0,IF(J$6=COD,'Operating Assumptions'!$J$35*Daysinayear/1000000,Traffic!I13*(1+Traffic!J14+Traffic!J15))),"")</f>
        <v>0</v>
      </c>
      <c r="K13" s="27">
        <f>IFERROR(IF(K$6&lt;COD,0,IF(K$6=COD,'Operating Assumptions'!$J$35*Daysinayear/1000000,Traffic!J13*(1+Traffic!K14+Traffic!K15))),"")</f>
        <v>0</v>
      </c>
      <c r="L13" s="27">
        <f>IFERROR(IF(L$6&lt;COD,0,IF(L$6=COD,'Operating Assumptions'!$J$35*Daysinayear/1000000,Traffic!K13*(1+Traffic!L14+Traffic!L15))),"")</f>
        <v>0</v>
      </c>
      <c r="M13" s="27">
        <f>IFERROR(IF(M$6&lt;COD,0,IF(M$6=COD,'Operating Assumptions'!$J$35*Daysinayear/1000000,Traffic!L13*(1+Traffic!M14+Traffic!M15))),"")</f>
        <v>0.73</v>
      </c>
      <c r="N13" s="27">
        <f>IFERROR(IF(N$6&lt;COD,0,IF(N$6=COD,'Operating Assumptions'!$J$35*Daysinayear/1000000,Traffic!M13*(1+Traffic!N14+Traffic!N15))),"")</f>
        <v>0.74460000000000004</v>
      </c>
      <c r="O13" s="27">
        <f>IFERROR(IF(O$6&lt;COD,0,IF(O$6=COD,'Operating Assumptions'!$J$35*Daysinayear/1000000,Traffic!N13*(1+Traffic!O14+Traffic!O15))),"")</f>
        <v>0.75949200000000006</v>
      </c>
      <c r="P13" s="27">
        <f>IFERROR(IF(P$6&lt;COD,0,IF(P$6=COD,'Operating Assumptions'!$J$35*Daysinayear/1000000,Traffic!O13*(1+Traffic!P14+Traffic!P15))),"")</f>
        <v>0.77468184000000007</v>
      </c>
      <c r="Q13" s="27">
        <f>IFERROR(IF(Q$6&lt;COD,0,IF(Q$6=COD,'Operating Assumptions'!$J$35*Daysinayear/1000000,Traffic!P13*(1+Traffic!Q14+Traffic!Q15))),"")</f>
        <v>0.79017547680000011</v>
      </c>
      <c r="R13" s="27">
        <f>IFERROR(IF(R$6&lt;COD,0,IF(R$6=COD,'Operating Assumptions'!$J$35*Daysinayear/1000000,Traffic!Q13*(1+Traffic!R14+Traffic!R15))),"")</f>
        <v>0.80597898633600018</v>
      </c>
      <c r="S13" s="27">
        <f>IFERROR(IF(S$6&lt;COD,0,IF(S$6=COD,'Operating Assumptions'!$J$35*Daysinayear/1000000,Traffic!R13*(1+Traffic!S14+Traffic!S15))),"")</f>
        <v>0.82209856606272025</v>
      </c>
      <c r="T13" s="27">
        <f>IFERROR(IF(T$6&lt;COD,0,IF(T$6=COD,'Operating Assumptions'!$J$35*Daysinayear/1000000,Traffic!S13*(1+Traffic!T14+Traffic!T15))),"")</f>
        <v>0.83854053738397472</v>
      </c>
      <c r="U13" s="27">
        <f>IFERROR(IF(U$6&lt;COD,0,IF(U$6=COD,'Operating Assumptions'!$J$35*Daysinayear/1000000,Traffic!T13*(1+Traffic!U14+Traffic!U15))),"")</f>
        <v>0.85531134813165421</v>
      </c>
      <c r="V13" s="27">
        <f>IFERROR(IF(V$6&lt;COD,0,IF(V$6=COD,'Operating Assumptions'!$J$35*Daysinayear/1000000,Traffic!U13*(1+Traffic!V14+Traffic!V15))),"")</f>
        <v>0.8724175750942873</v>
      </c>
      <c r="W13" s="27">
        <f>IFERROR(IF(W$6&lt;COD,0,IF(W$6=COD,'Operating Assumptions'!$J$35*Daysinayear/1000000,Traffic!V13*(1+Traffic!W14+Traffic!W15))),"")</f>
        <v>0.88986592659617303</v>
      </c>
      <c r="X13" s="27">
        <f>IFERROR(IF(X$6&lt;COD,0,IF(X$6=COD,'Operating Assumptions'!$J$35*Daysinayear/1000000,Traffic!W13*(1+Traffic!X14+Traffic!X15))),"")</f>
        <v>0.90766324512809649</v>
      </c>
      <c r="Y13" s="27">
        <f>IFERROR(IF(Y$6&lt;COD,0,IF(Y$6=COD,'Operating Assumptions'!$J$35*Daysinayear/1000000,Traffic!X13*(1+Traffic!Y14+Traffic!Y15))),"")</f>
        <v>0.92581651003065846</v>
      </c>
      <c r="Z13" s="27">
        <f>IFERROR(IF(Z$6&lt;COD,0,IF(Z$6=COD,'Operating Assumptions'!$J$35*Daysinayear/1000000,Traffic!Y13*(1+Traffic!Z14+Traffic!Z15))),"")</f>
        <v>0.94433284023127162</v>
      </c>
      <c r="AA13" s="27">
        <f>IFERROR(IF(AA$6&lt;COD,0,IF(AA$6=COD,'Operating Assumptions'!$J$35*Daysinayear/1000000,Traffic!Z13*(1+Traffic!AA14+Traffic!AA15))),"")</f>
        <v>0.96321949703589704</v>
      </c>
      <c r="AB13" s="27">
        <f>IFERROR(IF(AB$6&lt;COD,0,IF(AB$6=COD,'Operating Assumptions'!$J$35*Daysinayear/1000000,Traffic!AA13*(1+Traffic!AB14+Traffic!AB15))),"")</f>
        <v>0.98248388697661504</v>
      </c>
      <c r="AC13" s="27">
        <f>IFERROR(IF(AC$6&lt;COD,0,IF(AC$6=COD,'Operating Assumptions'!$J$35*Daysinayear/1000000,Traffic!AB13*(1+Traffic!AC14+Traffic!AC15))),"")</f>
        <v>1.0021335647161473</v>
      </c>
      <c r="AD13" s="27">
        <f>IFERROR(IF(AD$6&lt;COD,0,IF(AD$6=COD,'Operating Assumptions'!$J$35*Daysinayear/1000000,Traffic!AC13*(1+Traffic!AD14+Traffic!AD15))),"")</f>
        <v>1.0221762360104703</v>
      </c>
      <c r="AE13" s="27">
        <f>IFERROR(IF(AE$6&lt;COD,0,IF(AE$6=COD,'Operating Assumptions'!$J$35*Daysinayear/1000000,Traffic!AD13*(1+Traffic!AE14+Traffic!AE15))),"")</f>
        <v>1.0426197607306797</v>
      </c>
      <c r="AF13" s="27">
        <f>IFERROR(IF(AF$6&lt;COD,0,IF(AF$6=COD,'Operating Assumptions'!$J$35*Daysinayear/1000000,Traffic!AE13*(1+Traffic!AF14+Traffic!AF15))),"")</f>
        <v>1.0634721559452933</v>
      </c>
      <c r="AG13" s="27">
        <f>IFERROR(IF(AG$6&lt;COD,0,IF(AG$6=COD,'Operating Assumptions'!$J$35*Daysinayear/1000000,Traffic!AF13*(1+Traffic!AG14+Traffic!AG15))),"")</f>
        <v>1.0847415990641993</v>
      </c>
      <c r="AH13" s="27">
        <f>IFERROR(IF(AH$6&lt;COD,0,IF(AH$6=COD,'Operating Assumptions'!$J$35*Daysinayear/1000000,Traffic!AG13*(1+Traffic!AH14+Traffic!AH15))),"")</f>
        <v>1.1064364310454833</v>
      </c>
      <c r="AI13" s="27">
        <f>IFERROR(IF(AI$6&lt;COD,0,IF(AI$6=COD,'Operating Assumptions'!$J$35*Daysinayear/1000000,Traffic!AH13*(1+Traffic!AI14+Traffic!AI15))),"")</f>
        <v>1.128565159666393</v>
      </c>
      <c r="AJ13" s="27">
        <f>IFERROR(IF(AJ$6&lt;COD,0,IF(AJ$6=COD,'Operating Assumptions'!$J$35*Daysinayear/1000000,Traffic!AI13*(1+Traffic!AJ14+Traffic!AJ15))),"")</f>
        <v>1.1511364628597209</v>
      </c>
      <c r="AK13" s="27">
        <f>IFERROR(IF(AK$6&lt;COD,0,IF(AK$6=COD,'Operating Assumptions'!$J$35*Daysinayear/1000000,Traffic!AJ13*(1+Traffic!AK14+Traffic!AK15))),"")</f>
        <v>1.1741591921169154</v>
      </c>
      <c r="AL13" s="27">
        <f>IFERROR(IF(AL$6&lt;COD,0,IF(AL$6=COD,'Operating Assumptions'!$J$35*Daysinayear/1000000,Traffic!AK13*(1+Traffic!AL14+Traffic!AL15))),"")</f>
        <v>1.1976423759592538</v>
      </c>
      <c r="AM13" s="27">
        <f>IFERROR(IF(AM$6&lt;COD,0,IF(AM$6=COD,'Operating Assumptions'!$J$35*Daysinayear/1000000,Traffic!AL13*(1+Traffic!AM14+Traffic!AM15))),"")</f>
        <v>1.2215952234784389</v>
      </c>
      <c r="AN13" s="27">
        <f>IFERROR(IF(AN$6&lt;COD,0,IF(AN$6=COD,'Operating Assumptions'!$J$35*Daysinayear/1000000,Traffic!AM13*(1+Traffic!AN14+Traffic!AN15))),"")</f>
        <v>1.2460271279480077</v>
      </c>
      <c r="AO13" s="27">
        <f>IFERROR(IF(AO$6&lt;COD,0,IF(AO$6=COD,'Operating Assumptions'!$J$35*Daysinayear/1000000,Traffic!AN13*(1+Traffic!AO14+Traffic!AO15))),"")</f>
        <v>1.270947670506968</v>
      </c>
      <c r="AP13" s="27">
        <f>IFERROR(IF(AP$6&lt;COD,0,IF(AP$6=COD,'Operating Assumptions'!$J$35*Daysinayear/1000000,Traffic!AO13*(1+Traffic!AP14+Traffic!AP15))),"")</f>
        <v>1.2963666239171074</v>
      </c>
      <c r="AQ13" s="27">
        <f>IFERROR(IF(AQ$6&lt;COD,0,IF(AQ$6=COD,'Operating Assumptions'!$J$35*Daysinayear/1000000,Traffic!AP13*(1+Traffic!AQ14+Traffic!AQ15))),"")</f>
        <v>1.3222939563954497</v>
      </c>
      <c r="AR13" s="27" t="str">
        <f>IFERROR(IF(AR$6&lt;COD,0,IF(AR$6=COD,'Operating Assumptions'!$J$35*Daysinayear/1000000,Traffic!AQ13*(1+Traffic!AR14+Traffic!AR15))),"")</f>
        <v/>
      </c>
      <c r="AS13" s="27" t="str">
        <f>IFERROR(IF(AS$6&lt;COD,0,IF(AS$6=COD,'Operating Assumptions'!$J$35*Daysinayear/1000000,Traffic!AR13*(1+Traffic!AS14+Traffic!AS15))),"")</f>
        <v/>
      </c>
      <c r="AT13" s="27" t="str">
        <f>IFERROR(IF(AT$6&lt;COD,0,IF(AT$6=COD,'Operating Assumptions'!$J$35*Daysinayear/1000000,Traffic!AS13*(1+Traffic!AT14+Traffic!AT15))),"")</f>
        <v/>
      </c>
      <c r="AU13" s="27" t="str">
        <f>IFERROR(IF(AU$6&lt;COD,0,IF(AU$6=COD,'Operating Assumptions'!$J$35*Daysinayear/1000000,Traffic!AT13*(1+Traffic!AU14+Traffic!AU15))),"")</f>
        <v/>
      </c>
      <c r="AV13" s="66"/>
      <c r="AW13" s="66"/>
      <c r="AX13" s="66"/>
      <c r="AY13" s="66"/>
      <c r="AZ13" s="66"/>
      <c r="BA13" s="66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61"/>
      <c r="BW13" s="61"/>
      <c r="BX13" s="61"/>
      <c r="BY13" s="61"/>
      <c r="BZ13" s="61"/>
      <c r="CA13" s="61"/>
      <c r="CB13" s="61"/>
      <c r="CC13" s="61"/>
      <c r="CD13" s="61"/>
      <c r="CE13" s="61"/>
      <c r="CF13" s="61"/>
      <c r="CG13" s="61"/>
      <c r="CH13" s="61"/>
      <c r="CI13" s="61"/>
      <c r="CJ13" s="61"/>
      <c r="CK13" s="61"/>
      <c r="CL13" s="61"/>
      <c r="CM13" s="61"/>
      <c r="CN13" s="61"/>
      <c r="CO13" s="61"/>
      <c r="CP13" s="61"/>
      <c r="CQ13" s="61"/>
      <c r="CR13" s="61"/>
      <c r="CS13" s="61"/>
      <c r="CT13" s="61"/>
      <c r="CU13" s="61"/>
      <c r="CV13" s="61"/>
      <c r="CW13" s="61"/>
      <c r="CX13" s="61"/>
      <c r="CY13" s="61"/>
      <c r="CZ13" s="61"/>
      <c r="DA13" s="61"/>
      <c r="DB13" s="61"/>
      <c r="DC13" s="61"/>
      <c r="DD13" s="61"/>
      <c r="DE13" s="61"/>
      <c r="DF13" s="61"/>
      <c r="DG13" s="61"/>
      <c r="DH13" s="61"/>
      <c r="DI13" s="61"/>
      <c r="DJ13" s="61"/>
      <c r="DK13" s="61"/>
      <c r="DL13" s="61"/>
      <c r="DM13" s="61"/>
      <c r="DN13" s="61"/>
      <c r="DO13" s="61"/>
      <c r="DP13" s="61"/>
      <c r="DQ13" s="61"/>
      <c r="DR13" s="61"/>
      <c r="DS13" s="61"/>
      <c r="DT13" s="61"/>
      <c r="DU13" s="61"/>
      <c r="DV13" s="61"/>
      <c r="DW13" s="61"/>
      <c r="DX13" s="61"/>
      <c r="DY13" s="61"/>
      <c r="DZ13" s="61"/>
      <c r="EA13" s="61"/>
      <c r="EB13" s="61"/>
      <c r="EC13" s="61"/>
      <c r="ED13" s="61"/>
      <c r="EE13" s="61"/>
      <c r="EF13" s="61"/>
      <c r="EG13" s="61"/>
      <c r="EH13" s="61"/>
      <c r="EI13" s="61"/>
      <c r="EJ13" s="61"/>
      <c r="EK13" s="61"/>
      <c r="EL13" s="61"/>
      <c r="EM13" s="61"/>
      <c r="EN13" s="61"/>
      <c r="EO13" s="61"/>
      <c r="EP13" s="61"/>
      <c r="EQ13" s="61"/>
      <c r="ER13" s="61"/>
      <c r="ES13" s="61"/>
      <c r="ET13" s="61"/>
      <c r="EU13" s="61"/>
      <c r="EV13" s="61"/>
      <c r="EW13" s="61"/>
      <c r="EX13" s="61"/>
      <c r="EY13" s="61"/>
    </row>
    <row r="14" spans="1:155">
      <c r="B14" s="53" t="s">
        <v>80</v>
      </c>
      <c r="E14" s="3" t="s">
        <v>51</v>
      </c>
      <c r="F14" s="3" t="s">
        <v>57</v>
      </c>
      <c r="J14" s="60">
        <f>IF(J$6&lt;COD,0,IF(J$6&gt;End,"",IF(OR(J$6&lt;'Operating Assumptions'!$K$30,'Operating Assumptions'!$K$30=End),'Operating Assumptions'!$J$36,IF(OR(Traffic!J$6&lt;'Operating Assumptions'!$K$31,'Operating Assumptions'!$K$31=End),'Operating Assumptions'!$J$37,IF(Traffic!J$6&lt;='Operating Assumptions'!$K$51,'Operating Assumptions'!$J$38,"")))))</f>
        <v>0</v>
      </c>
      <c r="K14" s="60">
        <f>IF(K$6&lt;COD,0,IF(K$6&gt;End,"",IF(OR(K$6&lt;'Operating Assumptions'!$K$30,'Operating Assumptions'!$K$30=End),'Operating Assumptions'!$J$36,IF(OR(Traffic!K$6&lt;'Operating Assumptions'!$K$31,'Operating Assumptions'!$K$31=End),'Operating Assumptions'!$J$37,IF(Traffic!K$6&lt;='Operating Assumptions'!$K$51,'Operating Assumptions'!$J$38,"")))))</f>
        <v>0</v>
      </c>
      <c r="L14" s="60">
        <f>IF(L$6&lt;COD,0,IF(L$6&gt;End,"",IF(OR(L$6&lt;'Operating Assumptions'!$K$30,'Operating Assumptions'!$K$30=End),'Operating Assumptions'!$J$36,IF(OR(Traffic!L$6&lt;'Operating Assumptions'!$K$31,'Operating Assumptions'!$K$31=End),'Operating Assumptions'!$J$37,IF(Traffic!L$6&lt;='Operating Assumptions'!$K$51,'Operating Assumptions'!$J$38,"")))))</f>
        <v>0</v>
      </c>
      <c r="M14" s="60">
        <f>IF(M$6&lt;COD,0,IF(M$6&gt;End,"",IF(OR(M$6&lt;'Operating Assumptions'!$K$30,'Operating Assumptions'!$K$30=End),'Operating Assumptions'!$J$36,IF(OR(Traffic!M$6&lt;'Operating Assumptions'!$K$31,'Operating Assumptions'!$K$31=End),'Operating Assumptions'!$J$37,IF(Traffic!M$6&lt;='Operating Assumptions'!$K$51,'Operating Assumptions'!$J$38,"")))))</f>
        <v>0.02</v>
      </c>
      <c r="N14" s="60">
        <f>IF(N$6&lt;COD,0,IF(N$6&gt;End,"",IF(OR(N$6&lt;'Operating Assumptions'!$K$30,'Operating Assumptions'!$K$30=End),'Operating Assumptions'!$J$36,IF(OR(Traffic!N$6&lt;'Operating Assumptions'!$K$31,'Operating Assumptions'!$K$31=End),'Operating Assumptions'!$J$37,IF(Traffic!N$6&lt;='Operating Assumptions'!$K$51,'Operating Assumptions'!$J$38,"")))))</f>
        <v>0.02</v>
      </c>
      <c r="O14" s="60">
        <f>IF(O$6&lt;COD,0,IF(O$6&gt;End,"",IF(OR(O$6&lt;'Operating Assumptions'!$K$30,'Operating Assumptions'!$K$30=End),'Operating Assumptions'!$J$36,IF(OR(Traffic!O$6&lt;'Operating Assumptions'!$K$31,'Operating Assumptions'!$K$31=End),'Operating Assumptions'!$J$37,IF(Traffic!O$6&lt;='Operating Assumptions'!$K$51,'Operating Assumptions'!$J$38,"")))))</f>
        <v>0.02</v>
      </c>
      <c r="P14" s="60">
        <f>IF(P$6&lt;COD,0,IF(P$6&gt;End,"",IF(OR(P$6&lt;'Operating Assumptions'!$K$30,'Operating Assumptions'!$K$30=End),'Operating Assumptions'!$J$36,IF(OR(Traffic!P$6&lt;'Operating Assumptions'!$K$31,'Operating Assumptions'!$K$31=End),'Operating Assumptions'!$J$37,IF(Traffic!P$6&lt;='Operating Assumptions'!$K$51,'Operating Assumptions'!$J$38,"")))))</f>
        <v>0.02</v>
      </c>
      <c r="Q14" s="60">
        <f>IF(Q$6&lt;COD,0,IF(Q$6&gt;End,"",IF(OR(Q$6&lt;'Operating Assumptions'!$K$30,'Operating Assumptions'!$K$30=End),'Operating Assumptions'!$J$36,IF(OR(Traffic!Q$6&lt;'Operating Assumptions'!$K$31,'Operating Assumptions'!$K$31=End),'Operating Assumptions'!$J$37,IF(Traffic!Q$6&lt;='Operating Assumptions'!$K$51,'Operating Assumptions'!$J$38,"")))))</f>
        <v>0.02</v>
      </c>
      <c r="R14" s="60">
        <f>IF(R$6&lt;COD,0,IF(R$6&gt;End,"",IF(OR(R$6&lt;'Operating Assumptions'!$K$30,'Operating Assumptions'!$K$30=End),'Operating Assumptions'!$J$36,IF(OR(Traffic!R$6&lt;'Operating Assumptions'!$K$31,'Operating Assumptions'!$K$31=End),'Operating Assumptions'!$J$37,IF(Traffic!R$6&lt;='Operating Assumptions'!$K$51,'Operating Assumptions'!$J$38,"")))))</f>
        <v>0.02</v>
      </c>
      <c r="S14" s="60">
        <f>IF(S$6&lt;COD,0,IF(S$6&gt;End,"",IF(OR(S$6&lt;'Operating Assumptions'!$K$30,'Operating Assumptions'!$K$30=End),'Operating Assumptions'!$J$36,IF(OR(Traffic!S$6&lt;'Operating Assumptions'!$K$31,'Operating Assumptions'!$K$31=End),'Operating Assumptions'!$J$37,IF(Traffic!S$6&lt;='Operating Assumptions'!$K$51,'Operating Assumptions'!$J$38,"")))))</f>
        <v>0.02</v>
      </c>
      <c r="T14" s="60">
        <f>IF(T$6&lt;COD,0,IF(T$6&gt;End,"",IF(OR(T$6&lt;'Operating Assumptions'!$K$30,'Operating Assumptions'!$K$30=End),'Operating Assumptions'!$J$36,IF(OR(Traffic!T$6&lt;'Operating Assumptions'!$K$31,'Operating Assumptions'!$K$31=End),'Operating Assumptions'!$J$37,IF(Traffic!T$6&lt;='Operating Assumptions'!$K$51,'Operating Assumptions'!$J$38,"")))))</f>
        <v>0.02</v>
      </c>
      <c r="U14" s="60">
        <f>IF(U$6&lt;COD,0,IF(U$6&gt;End,"",IF(OR(U$6&lt;'Operating Assumptions'!$K$30,'Operating Assumptions'!$K$30=End),'Operating Assumptions'!$J$36,IF(OR(Traffic!U$6&lt;'Operating Assumptions'!$K$31,'Operating Assumptions'!$K$31=End),'Operating Assumptions'!$J$37,IF(Traffic!U$6&lt;='Operating Assumptions'!$K$51,'Operating Assumptions'!$J$38,"")))))</f>
        <v>0.02</v>
      </c>
      <c r="V14" s="60">
        <f>IF(V$6&lt;COD,0,IF(V$6&gt;End,"",IF(OR(V$6&lt;'Operating Assumptions'!$K$30,'Operating Assumptions'!$K$30=End),'Operating Assumptions'!$J$36,IF(OR(Traffic!V$6&lt;'Operating Assumptions'!$K$31,'Operating Assumptions'!$K$31=End),'Operating Assumptions'!$J$37,IF(Traffic!V$6&lt;='Operating Assumptions'!$K$51,'Operating Assumptions'!$J$38,"")))))</f>
        <v>0.02</v>
      </c>
      <c r="W14" s="60">
        <f>IF(W$6&lt;COD,0,IF(W$6&gt;End,"",IF(OR(W$6&lt;'Operating Assumptions'!$K$30,'Operating Assumptions'!$K$30=End),'Operating Assumptions'!$J$36,IF(OR(Traffic!W$6&lt;'Operating Assumptions'!$K$31,'Operating Assumptions'!$K$31=End),'Operating Assumptions'!$J$37,IF(Traffic!W$6&lt;='Operating Assumptions'!$K$51,'Operating Assumptions'!$J$38,"")))))</f>
        <v>0.02</v>
      </c>
      <c r="X14" s="60">
        <f>IF(X$6&lt;COD,0,IF(X$6&gt;End,"",IF(OR(X$6&lt;'Operating Assumptions'!$K$30,'Operating Assumptions'!$K$30=End),'Operating Assumptions'!$J$36,IF(OR(Traffic!X$6&lt;'Operating Assumptions'!$K$31,'Operating Assumptions'!$K$31=End),'Operating Assumptions'!$J$37,IF(Traffic!X$6&lt;='Operating Assumptions'!$K$51,'Operating Assumptions'!$J$38,"")))))</f>
        <v>0.02</v>
      </c>
      <c r="Y14" s="60">
        <f>IF(Y$6&lt;COD,0,IF(Y$6&gt;End,"",IF(OR(Y$6&lt;'Operating Assumptions'!$K$30,'Operating Assumptions'!$K$30=End),'Operating Assumptions'!$J$36,IF(OR(Traffic!Y$6&lt;'Operating Assumptions'!$K$31,'Operating Assumptions'!$K$31=End),'Operating Assumptions'!$J$37,IF(Traffic!Y$6&lt;='Operating Assumptions'!$K$51,'Operating Assumptions'!$J$38,"")))))</f>
        <v>0.02</v>
      </c>
      <c r="Z14" s="60">
        <f>IF(Z$6&lt;COD,0,IF(Z$6&gt;End,"",IF(OR(Z$6&lt;'Operating Assumptions'!$K$30,'Operating Assumptions'!$K$30=End),'Operating Assumptions'!$J$36,IF(OR(Traffic!Z$6&lt;'Operating Assumptions'!$K$31,'Operating Assumptions'!$K$31=End),'Operating Assumptions'!$J$37,IF(Traffic!Z$6&lt;='Operating Assumptions'!$K$51,'Operating Assumptions'!$J$38,"")))))</f>
        <v>0.02</v>
      </c>
      <c r="AA14" s="60">
        <f>IF(AA$6&lt;COD,0,IF(AA$6&gt;End,"",IF(OR(AA$6&lt;'Operating Assumptions'!$K$30,'Operating Assumptions'!$K$30=End),'Operating Assumptions'!$J$36,IF(OR(Traffic!AA$6&lt;'Operating Assumptions'!$K$31,'Operating Assumptions'!$K$31=End),'Operating Assumptions'!$J$37,IF(Traffic!AA$6&lt;='Operating Assumptions'!$K$51,'Operating Assumptions'!$J$38,"")))))</f>
        <v>0.02</v>
      </c>
      <c r="AB14" s="60">
        <f>IF(AB$6&lt;COD,0,IF(AB$6&gt;End,"",IF(OR(AB$6&lt;'Operating Assumptions'!$K$30,'Operating Assumptions'!$K$30=End),'Operating Assumptions'!$J$36,IF(OR(Traffic!AB$6&lt;'Operating Assumptions'!$K$31,'Operating Assumptions'!$K$31=End),'Operating Assumptions'!$J$37,IF(Traffic!AB$6&lt;='Operating Assumptions'!$K$51,'Operating Assumptions'!$J$38,"")))))</f>
        <v>0.02</v>
      </c>
      <c r="AC14" s="60">
        <f>IF(AC$6&lt;COD,0,IF(AC$6&gt;End,"",IF(OR(AC$6&lt;'Operating Assumptions'!$K$30,'Operating Assumptions'!$K$30=End),'Operating Assumptions'!$J$36,IF(OR(Traffic!AC$6&lt;'Operating Assumptions'!$K$31,'Operating Assumptions'!$K$31=End),'Operating Assumptions'!$J$37,IF(Traffic!AC$6&lt;='Operating Assumptions'!$K$51,'Operating Assumptions'!$J$38,"")))))</f>
        <v>0.02</v>
      </c>
      <c r="AD14" s="60">
        <f>IF(AD$6&lt;COD,0,IF(AD$6&gt;End,"",IF(OR(AD$6&lt;'Operating Assumptions'!$K$30,'Operating Assumptions'!$K$30=End),'Operating Assumptions'!$J$36,IF(OR(Traffic!AD$6&lt;'Operating Assumptions'!$K$31,'Operating Assumptions'!$K$31=End),'Operating Assumptions'!$J$37,IF(Traffic!AD$6&lt;='Operating Assumptions'!$K$51,'Operating Assumptions'!$J$38,"")))))</f>
        <v>0.02</v>
      </c>
      <c r="AE14" s="60">
        <f>IF(AE$6&lt;COD,0,IF(AE$6&gt;End,"",IF(OR(AE$6&lt;'Operating Assumptions'!$K$30,'Operating Assumptions'!$K$30=End),'Operating Assumptions'!$J$36,IF(OR(Traffic!AE$6&lt;'Operating Assumptions'!$K$31,'Operating Assumptions'!$K$31=End),'Operating Assumptions'!$J$37,IF(Traffic!AE$6&lt;='Operating Assumptions'!$K$51,'Operating Assumptions'!$J$38,"")))))</f>
        <v>0.02</v>
      </c>
      <c r="AF14" s="60">
        <f>IF(AF$6&lt;COD,0,IF(AF$6&gt;End,"",IF(OR(AF$6&lt;'Operating Assumptions'!$K$30,'Operating Assumptions'!$K$30=End),'Operating Assumptions'!$J$36,IF(OR(Traffic!AF$6&lt;'Operating Assumptions'!$K$31,'Operating Assumptions'!$K$31=End),'Operating Assumptions'!$J$37,IF(Traffic!AF$6&lt;='Operating Assumptions'!$K$51,'Operating Assumptions'!$J$38,"")))))</f>
        <v>0.02</v>
      </c>
      <c r="AG14" s="60">
        <f>IF(AG$6&lt;COD,0,IF(AG$6&gt;End,"",IF(OR(AG$6&lt;'Operating Assumptions'!$K$30,'Operating Assumptions'!$K$30=End),'Operating Assumptions'!$J$36,IF(OR(Traffic!AG$6&lt;'Operating Assumptions'!$K$31,'Operating Assumptions'!$K$31=End),'Operating Assumptions'!$J$37,IF(Traffic!AG$6&lt;='Operating Assumptions'!$K$51,'Operating Assumptions'!$J$38,"")))))</f>
        <v>0.02</v>
      </c>
      <c r="AH14" s="60">
        <f>IF(AH$6&lt;COD,0,IF(AH$6&gt;End,"",IF(OR(AH$6&lt;'Operating Assumptions'!$K$30,'Operating Assumptions'!$K$30=End),'Operating Assumptions'!$J$36,IF(OR(Traffic!AH$6&lt;'Operating Assumptions'!$K$31,'Operating Assumptions'!$K$31=End),'Operating Assumptions'!$J$37,IF(Traffic!AH$6&lt;='Operating Assumptions'!$K$51,'Operating Assumptions'!$J$38,"")))))</f>
        <v>0.02</v>
      </c>
      <c r="AI14" s="60">
        <f>IF(AI$6&lt;COD,0,IF(AI$6&gt;End,"",IF(OR(AI$6&lt;'Operating Assumptions'!$K$30,'Operating Assumptions'!$K$30=End),'Operating Assumptions'!$J$36,IF(OR(Traffic!AI$6&lt;'Operating Assumptions'!$K$31,'Operating Assumptions'!$K$31=End),'Operating Assumptions'!$J$37,IF(Traffic!AI$6&lt;='Operating Assumptions'!$K$51,'Operating Assumptions'!$J$38,"")))))</f>
        <v>0.02</v>
      </c>
      <c r="AJ14" s="60">
        <f>IF(AJ$6&lt;COD,0,IF(AJ$6&gt;End,"",IF(OR(AJ$6&lt;'Operating Assumptions'!$K$30,'Operating Assumptions'!$K$30=End),'Operating Assumptions'!$J$36,IF(OR(Traffic!AJ$6&lt;'Operating Assumptions'!$K$31,'Operating Assumptions'!$K$31=End),'Operating Assumptions'!$J$37,IF(Traffic!AJ$6&lt;='Operating Assumptions'!$K$51,'Operating Assumptions'!$J$38,"")))))</f>
        <v>0.02</v>
      </c>
      <c r="AK14" s="60">
        <f>IF(AK$6&lt;COD,0,IF(AK$6&gt;End,"",IF(OR(AK$6&lt;'Operating Assumptions'!$K$30,'Operating Assumptions'!$K$30=End),'Operating Assumptions'!$J$36,IF(OR(Traffic!AK$6&lt;'Operating Assumptions'!$K$31,'Operating Assumptions'!$K$31=End),'Operating Assumptions'!$J$37,IF(Traffic!AK$6&lt;='Operating Assumptions'!$K$51,'Operating Assumptions'!$J$38,"")))))</f>
        <v>0.02</v>
      </c>
      <c r="AL14" s="60">
        <f>IF(AL$6&lt;COD,0,IF(AL$6&gt;End,"",IF(OR(AL$6&lt;'Operating Assumptions'!$K$30,'Operating Assumptions'!$K$30=End),'Operating Assumptions'!$J$36,IF(OR(Traffic!AL$6&lt;'Operating Assumptions'!$K$31,'Operating Assumptions'!$K$31=End),'Operating Assumptions'!$J$37,IF(Traffic!AL$6&lt;='Operating Assumptions'!$K$51,'Operating Assumptions'!$J$38,"")))))</f>
        <v>0.02</v>
      </c>
      <c r="AM14" s="60">
        <f>IF(AM$6&lt;COD,0,IF(AM$6&gt;End,"",IF(OR(AM$6&lt;'Operating Assumptions'!$K$30,'Operating Assumptions'!$K$30=End),'Operating Assumptions'!$J$36,IF(OR(Traffic!AM$6&lt;'Operating Assumptions'!$K$31,'Operating Assumptions'!$K$31=End),'Operating Assumptions'!$J$37,IF(Traffic!AM$6&lt;='Operating Assumptions'!$K$51,'Operating Assumptions'!$J$38,"")))))</f>
        <v>0.02</v>
      </c>
      <c r="AN14" s="60">
        <f>IF(AN$6&lt;COD,0,IF(AN$6&gt;End,"",IF(OR(AN$6&lt;'Operating Assumptions'!$K$30,'Operating Assumptions'!$K$30=End),'Operating Assumptions'!$J$36,IF(OR(Traffic!AN$6&lt;'Operating Assumptions'!$K$31,'Operating Assumptions'!$K$31=End),'Operating Assumptions'!$J$37,IF(Traffic!AN$6&lt;='Operating Assumptions'!$K$51,'Operating Assumptions'!$J$38,"")))))</f>
        <v>0.02</v>
      </c>
      <c r="AO14" s="60">
        <f>IF(AO$6&lt;COD,0,IF(AO$6&gt;End,"",IF(OR(AO$6&lt;'Operating Assumptions'!$K$30,'Operating Assumptions'!$K$30=End),'Operating Assumptions'!$J$36,IF(OR(Traffic!AO$6&lt;'Operating Assumptions'!$K$31,'Operating Assumptions'!$K$31=End),'Operating Assumptions'!$J$37,IF(Traffic!AO$6&lt;='Operating Assumptions'!$K$51,'Operating Assumptions'!$J$38,"")))))</f>
        <v>0.02</v>
      </c>
      <c r="AP14" s="60">
        <f>IF(AP$6&lt;COD,0,IF(AP$6&gt;End,"",IF(OR(AP$6&lt;'Operating Assumptions'!$K$30,'Operating Assumptions'!$K$30=End),'Operating Assumptions'!$J$36,IF(OR(Traffic!AP$6&lt;'Operating Assumptions'!$K$31,'Operating Assumptions'!$K$31=End),'Operating Assumptions'!$J$37,IF(Traffic!AP$6&lt;='Operating Assumptions'!$K$51,'Operating Assumptions'!$J$38,"")))))</f>
        <v>0.02</v>
      </c>
      <c r="AQ14" s="60">
        <f>IF(AQ$6&lt;COD,0,IF(AQ$6&gt;End,"",IF(OR(AQ$6&lt;'Operating Assumptions'!$K$30,'Operating Assumptions'!$K$30=End),'Operating Assumptions'!$J$36,IF(OR(Traffic!AQ$6&lt;'Operating Assumptions'!$K$31,'Operating Assumptions'!$K$31=End),'Operating Assumptions'!$J$37,IF(Traffic!AQ$6&lt;='Operating Assumptions'!$K$51,'Operating Assumptions'!$J$38,"")))))</f>
        <v>0.02</v>
      </c>
      <c r="AR14" s="60" t="str">
        <f>IF(AR$6&lt;COD,0,IF(AR$6&gt;End,"",IF(OR(AR$6&lt;'Operating Assumptions'!$K$30,'Operating Assumptions'!$K$30=End),'Operating Assumptions'!$J$36,IF(OR(Traffic!AR$6&lt;'Operating Assumptions'!$K$31,'Operating Assumptions'!$K$31=End),'Operating Assumptions'!$J$37,IF(Traffic!AR$6&lt;='Operating Assumptions'!$K$51,'Operating Assumptions'!$J$38,"")))))</f>
        <v/>
      </c>
      <c r="AS14" s="60" t="str">
        <f>IF(AS$6&lt;COD,0,IF(AS$6&gt;End,"",IF(OR(AS$6&lt;'Operating Assumptions'!$K$30,'Operating Assumptions'!$K$30=End),'Operating Assumptions'!$J$36,IF(OR(Traffic!AS$6&lt;'Operating Assumptions'!$K$31,'Operating Assumptions'!$K$31=End),'Operating Assumptions'!$J$37,IF(Traffic!AS$6&lt;='Operating Assumptions'!$K$51,'Operating Assumptions'!$J$38,"")))))</f>
        <v/>
      </c>
      <c r="AT14" s="60" t="str">
        <f>IF(AT$6&lt;COD,0,IF(AT$6&gt;End,"",IF(OR(AT$6&lt;'Operating Assumptions'!$K$30,'Operating Assumptions'!$K$30=End),'Operating Assumptions'!$J$36,IF(OR(Traffic!AT$6&lt;'Operating Assumptions'!$K$31,'Operating Assumptions'!$K$31=End),'Operating Assumptions'!$J$37,IF(Traffic!AT$6&lt;='Operating Assumptions'!$K$51,'Operating Assumptions'!$J$38,"")))))</f>
        <v/>
      </c>
      <c r="AU14" s="60" t="str">
        <f>IF(AU$6&lt;COD,0,IF(AU$6&gt;End,"",IF(OR(AU$6&lt;'Operating Assumptions'!$K$30,'Operating Assumptions'!$K$30=End),'Operating Assumptions'!$J$36,IF(OR(Traffic!AU$6&lt;'Operating Assumptions'!$K$31,'Operating Assumptions'!$K$31=End),'Operating Assumptions'!$J$37,IF(Traffic!AU$6&lt;='Operating Assumptions'!$K$51,'Operating Assumptions'!$J$38,"")))))</f>
        <v/>
      </c>
      <c r="AV14" s="67"/>
      <c r="AW14" s="67"/>
      <c r="AX14" s="67"/>
      <c r="AY14" s="67"/>
      <c r="AZ14" s="67"/>
      <c r="BA14" s="67"/>
      <c r="BB14" s="67"/>
      <c r="BC14" s="67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</row>
    <row r="15" spans="1:155">
      <c r="B15" s="53" t="s">
        <v>81</v>
      </c>
      <c r="E15" s="3" t="s">
        <v>51</v>
      </c>
      <c r="F15" s="3" t="s">
        <v>57</v>
      </c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63"/>
      <c r="AW15" s="63"/>
      <c r="AX15" s="63"/>
      <c r="AY15" s="63"/>
      <c r="AZ15" s="63"/>
      <c r="BA15" s="63"/>
      <c r="BB15" s="63"/>
      <c r="BC15" s="63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</row>
    <row r="16" spans="1:155" customFormat="1" ht="13"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  <c r="BO16" s="65"/>
      <c r="BP16" s="65"/>
      <c r="BQ16" s="65"/>
      <c r="BR16" s="65"/>
      <c r="BS16" s="65"/>
      <c r="BT16" s="65"/>
      <c r="BU16" s="65"/>
      <c r="BV16" s="65"/>
      <c r="BW16" s="65"/>
      <c r="BX16" s="65"/>
      <c r="BY16" s="65"/>
      <c r="BZ16" s="65"/>
      <c r="CA16" s="65"/>
      <c r="CB16" s="65"/>
      <c r="CC16" s="65"/>
      <c r="CD16" s="65"/>
      <c r="CE16" s="65"/>
      <c r="CF16" s="65"/>
      <c r="CG16" s="65"/>
      <c r="CH16" s="65"/>
      <c r="CI16" s="65"/>
      <c r="CJ16" s="65"/>
      <c r="CK16" s="65"/>
      <c r="CL16" s="65"/>
      <c r="CM16" s="65"/>
      <c r="CN16" s="65"/>
      <c r="CO16" s="65"/>
      <c r="CP16" s="65"/>
      <c r="CQ16" s="65"/>
      <c r="CR16" s="65"/>
      <c r="CS16" s="65"/>
      <c r="CT16" s="65"/>
      <c r="CU16" s="65"/>
      <c r="CV16" s="65"/>
      <c r="CW16" s="65"/>
      <c r="CX16" s="65"/>
      <c r="CY16" s="65"/>
      <c r="CZ16" s="65"/>
      <c r="DA16" s="65"/>
      <c r="DB16" s="65"/>
      <c r="DC16" s="65"/>
      <c r="DD16" s="65"/>
      <c r="DE16" s="65"/>
      <c r="DF16" s="65"/>
      <c r="DG16" s="65"/>
      <c r="DH16" s="65"/>
      <c r="DI16" s="65"/>
      <c r="DJ16" s="65"/>
      <c r="DK16" s="65"/>
      <c r="DL16" s="65"/>
      <c r="DM16" s="65"/>
      <c r="DN16" s="65"/>
      <c r="DO16" s="65"/>
      <c r="DP16" s="65"/>
      <c r="DQ16" s="65"/>
      <c r="DR16" s="65"/>
      <c r="DS16" s="65"/>
      <c r="DT16" s="65"/>
      <c r="DU16" s="65"/>
      <c r="DV16" s="65"/>
      <c r="DW16" s="65"/>
      <c r="DX16" s="65"/>
      <c r="DY16" s="65"/>
      <c r="DZ16" s="65"/>
      <c r="EA16" s="65"/>
      <c r="EB16" s="65"/>
      <c r="EC16" s="65"/>
      <c r="ED16" s="65"/>
      <c r="EE16" s="65"/>
      <c r="EF16" s="65"/>
      <c r="EG16" s="65"/>
      <c r="EH16" s="65"/>
      <c r="EI16" s="65"/>
      <c r="EJ16" s="65"/>
      <c r="EK16" s="65"/>
      <c r="EL16" s="65"/>
      <c r="EM16" s="65"/>
      <c r="EN16" s="65"/>
      <c r="EO16" s="65"/>
      <c r="EP16" s="65"/>
      <c r="EQ16" s="65"/>
      <c r="ER16" s="65"/>
      <c r="ES16" s="65"/>
      <c r="ET16" s="65"/>
      <c r="EU16" s="65"/>
      <c r="EV16" s="65"/>
      <c r="EW16" s="65"/>
      <c r="EX16" s="65"/>
      <c r="EY16" s="65"/>
    </row>
    <row r="17" spans="1:155" customFormat="1" ht="13">
      <c r="B17" s="11" t="str">
        <f>VehicleC</f>
        <v>Vehicle C</v>
      </c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  <c r="BM17" s="65"/>
      <c r="BN17" s="65"/>
      <c r="BO17" s="65"/>
      <c r="BP17" s="65"/>
      <c r="BQ17" s="65"/>
      <c r="BR17" s="65"/>
      <c r="BS17" s="65"/>
      <c r="BT17" s="65"/>
      <c r="BU17" s="65"/>
      <c r="BV17" s="65"/>
      <c r="BW17" s="65"/>
      <c r="BX17" s="65"/>
      <c r="BY17" s="65"/>
      <c r="BZ17" s="65"/>
      <c r="CA17" s="65"/>
      <c r="CB17" s="65"/>
      <c r="CC17" s="65"/>
      <c r="CD17" s="65"/>
      <c r="CE17" s="65"/>
      <c r="CF17" s="65"/>
      <c r="CG17" s="65"/>
      <c r="CH17" s="65"/>
      <c r="CI17" s="65"/>
      <c r="CJ17" s="65"/>
      <c r="CK17" s="65"/>
      <c r="CL17" s="65"/>
      <c r="CM17" s="65"/>
      <c r="CN17" s="65"/>
      <c r="CO17" s="65"/>
      <c r="CP17" s="65"/>
      <c r="CQ17" s="65"/>
      <c r="CR17" s="65"/>
      <c r="CS17" s="65"/>
      <c r="CT17" s="65"/>
      <c r="CU17" s="65"/>
      <c r="CV17" s="65"/>
      <c r="CW17" s="65"/>
      <c r="CX17" s="65"/>
      <c r="CY17" s="65"/>
      <c r="CZ17" s="65"/>
      <c r="DA17" s="65"/>
      <c r="DB17" s="65"/>
      <c r="DC17" s="65"/>
      <c r="DD17" s="65"/>
      <c r="DE17" s="65"/>
      <c r="DF17" s="65"/>
      <c r="DG17" s="65"/>
      <c r="DH17" s="65"/>
      <c r="DI17" s="65"/>
      <c r="DJ17" s="65"/>
      <c r="DK17" s="65"/>
      <c r="DL17" s="65"/>
      <c r="DM17" s="65"/>
      <c r="DN17" s="65"/>
      <c r="DO17" s="65"/>
      <c r="DP17" s="65"/>
      <c r="DQ17" s="65"/>
      <c r="DR17" s="65"/>
      <c r="DS17" s="65"/>
      <c r="DT17" s="65"/>
      <c r="DU17" s="65"/>
      <c r="DV17" s="65"/>
      <c r="DW17" s="65"/>
      <c r="DX17" s="65"/>
      <c r="DY17" s="65"/>
      <c r="DZ17" s="65"/>
      <c r="EA17" s="65"/>
      <c r="EB17" s="65"/>
      <c r="EC17" s="65"/>
      <c r="ED17" s="65"/>
      <c r="EE17" s="65"/>
      <c r="EF17" s="65"/>
      <c r="EG17" s="65"/>
      <c r="EH17" s="65"/>
      <c r="EI17" s="65"/>
      <c r="EJ17" s="65"/>
      <c r="EK17" s="65"/>
      <c r="EL17" s="65"/>
      <c r="EM17" s="65"/>
      <c r="EN17" s="65"/>
      <c r="EO17" s="65"/>
      <c r="EP17" s="65"/>
      <c r="EQ17" s="65"/>
      <c r="ER17" s="65"/>
      <c r="ES17" s="65"/>
      <c r="ET17" s="65"/>
      <c r="EU17" s="65"/>
      <c r="EV17" s="65"/>
      <c r="EW17" s="65"/>
      <c r="EX17" s="65"/>
      <c r="EY17" s="65"/>
    </row>
    <row r="18" spans="1:155" s="27" customFormat="1">
      <c r="A18" s="3"/>
      <c r="B18" s="52" t="s">
        <v>67</v>
      </c>
      <c r="C18" s="3"/>
      <c r="D18" s="3"/>
      <c r="E18" s="3" t="s">
        <v>83</v>
      </c>
      <c r="F18" s="3" t="s">
        <v>57</v>
      </c>
      <c r="G18" s="3"/>
      <c r="H18" s="3"/>
      <c r="I18" s="27">
        <f>IFERROR(IF(I$6&lt;COD,0,IF(I$6=COD,'Operating Assumptions'!$K$35*Daysinayear/1000000,Traffic!H18*(1+Traffic!I19+Traffic!I20))),"")</f>
        <v>0</v>
      </c>
      <c r="J18" s="27">
        <f>IFERROR(IF(J$6&lt;COD,0,IF(J$6=COD,'Operating Assumptions'!$K$35*Daysinayear/1000000,Traffic!I18*(1+Traffic!J19+Traffic!J20))),"")</f>
        <v>0</v>
      </c>
      <c r="K18" s="27">
        <f>IFERROR(IF(K$6&lt;COD,0,IF(K$6=COD,'Operating Assumptions'!$K$35*Daysinayear/1000000,Traffic!J18*(1+Traffic!K19+Traffic!K20))),"")</f>
        <v>0</v>
      </c>
      <c r="L18" s="27">
        <f>IFERROR(IF(L$6&lt;COD,0,IF(L$6=COD,'Operating Assumptions'!$K$35*Daysinayear/1000000,Traffic!K18*(1+Traffic!L19+Traffic!L20))),"")</f>
        <v>0</v>
      </c>
      <c r="M18" s="27">
        <f>IFERROR(IF(M$6&lt;COD,0,IF(M$6=COD,'Operating Assumptions'!$K$35*Daysinayear/1000000,Traffic!L18*(1+Traffic!M19+Traffic!M20))),"")</f>
        <v>1.095</v>
      </c>
      <c r="N18" s="27">
        <f>IFERROR(IF(N$6&lt;COD,0,IF(N$6=COD,'Operating Assumptions'!$K$35*Daysinayear/1000000,Traffic!M18*(1+Traffic!N19+Traffic!N20))),"")</f>
        <v>1.1169</v>
      </c>
      <c r="O18" s="27">
        <f>IFERROR(IF(O$6&lt;COD,0,IF(O$6=COD,'Operating Assumptions'!$K$35*Daysinayear/1000000,Traffic!N18*(1+Traffic!O19+Traffic!O20))),"")</f>
        <v>1.139238</v>
      </c>
      <c r="P18" s="27">
        <f>IFERROR(IF(P$6&lt;COD,0,IF(P$6=COD,'Operating Assumptions'!$K$35*Daysinayear/1000000,Traffic!O18*(1+Traffic!P19+Traffic!P20))),"")</f>
        <v>1.1620227599999999</v>
      </c>
      <c r="Q18" s="27">
        <f>IFERROR(IF(Q$6&lt;COD,0,IF(Q$6=COD,'Operating Assumptions'!$K$35*Daysinayear/1000000,Traffic!P18*(1+Traffic!Q19+Traffic!Q20))),"")</f>
        <v>1.1852632152</v>
      </c>
      <c r="R18" s="27">
        <f>IFERROR(IF(R$6&lt;COD,0,IF(R$6=COD,'Operating Assumptions'!$K$35*Daysinayear/1000000,Traffic!Q18*(1+Traffic!R19+Traffic!R20))),"")</f>
        <v>1.2089684795040001</v>
      </c>
      <c r="S18" s="27">
        <f>IFERROR(IF(S$6&lt;COD,0,IF(S$6=COD,'Operating Assumptions'!$K$35*Daysinayear/1000000,Traffic!R18*(1+Traffic!S19+Traffic!S20))),"")</f>
        <v>1.2331478490940802</v>
      </c>
      <c r="T18" s="27">
        <f>IFERROR(IF(T$6&lt;COD,0,IF(T$6=COD,'Operating Assumptions'!$K$35*Daysinayear/1000000,Traffic!S18*(1+Traffic!T19+Traffic!T20))),"")</f>
        <v>1.2578108060759619</v>
      </c>
      <c r="U18" s="27">
        <f>IFERROR(IF(U$6&lt;COD,0,IF(U$6=COD,'Operating Assumptions'!$K$35*Daysinayear/1000000,Traffic!T18*(1+Traffic!U19+Traffic!U20))),"")</f>
        <v>1.2829670221974812</v>
      </c>
      <c r="V18" s="27">
        <f>IFERROR(IF(V$6&lt;COD,0,IF(V$6=COD,'Operating Assumptions'!$K$35*Daysinayear/1000000,Traffic!U18*(1+Traffic!V19+Traffic!V20))),"")</f>
        <v>1.3086263626414307</v>
      </c>
      <c r="W18" s="27">
        <f>IFERROR(IF(W$6&lt;COD,0,IF(W$6=COD,'Operating Assumptions'!$K$35*Daysinayear/1000000,Traffic!V18*(1+Traffic!W19+Traffic!W20))),"")</f>
        <v>1.3347988898942593</v>
      </c>
      <c r="X18" s="27">
        <f>IFERROR(IF(X$6&lt;COD,0,IF(X$6=COD,'Operating Assumptions'!$K$35*Daysinayear/1000000,Traffic!W18*(1+Traffic!X19+Traffic!X20))),"")</f>
        <v>1.3614948676921446</v>
      </c>
      <c r="Y18" s="27">
        <f>IFERROR(IF(Y$6&lt;COD,0,IF(Y$6=COD,'Operating Assumptions'!$K$35*Daysinayear/1000000,Traffic!X18*(1+Traffic!Y19+Traffic!Y20))),"")</f>
        <v>1.3887247650459875</v>
      </c>
      <c r="Z18" s="27">
        <f>IFERROR(IF(Z$6&lt;COD,0,IF(Z$6=COD,'Operating Assumptions'!$K$35*Daysinayear/1000000,Traffic!Y18*(1+Traffic!Z19+Traffic!Z20))),"")</f>
        <v>1.4164992603469073</v>
      </c>
      <c r="AA18" s="27">
        <f>IFERROR(IF(AA$6&lt;COD,0,IF(AA$6=COD,'Operating Assumptions'!$K$35*Daysinayear/1000000,Traffic!Z18*(1+Traffic!AA19+Traffic!AA20))),"")</f>
        <v>1.4448292455538454</v>
      </c>
      <c r="AB18" s="27">
        <f>IFERROR(IF(AB$6&lt;COD,0,IF(AB$6=COD,'Operating Assumptions'!$K$35*Daysinayear/1000000,Traffic!AA18*(1+Traffic!AB19+Traffic!AB20))),"")</f>
        <v>1.4737258304649223</v>
      </c>
      <c r="AC18" s="27">
        <f>IFERROR(IF(AC$6&lt;COD,0,IF(AC$6=COD,'Operating Assumptions'!$K$35*Daysinayear/1000000,Traffic!AB18*(1+Traffic!AC19+Traffic!AC20))),"")</f>
        <v>1.5032003470742208</v>
      </c>
      <c r="AD18" s="27">
        <f>IFERROR(IF(AD$6&lt;COD,0,IF(AD$6=COD,'Operating Assumptions'!$K$35*Daysinayear/1000000,Traffic!AC18*(1+Traffic!AD19+Traffic!AD20))),"")</f>
        <v>1.5332643540157052</v>
      </c>
      <c r="AE18" s="27">
        <f>IFERROR(IF(AE$6&lt;COD,0,IF(AE$6=COD,'Operating Assumptions'!$K$35*Daysinayear/1000000,Traffic!AD18*(1+Traffic!AE19+Traffic!AE20))),"")</f>
        <v>1.5639296410960193</v>
      </c>
      <c r="AF18" s="27">
        <f>IFERROR(IF(AF$6&lt;COD,0,IF(AF$6=COD,'Operating Assumptions'!$K$35*Daysinayear/1000000,Traffic!AE18*(1+Traffic!AF19+Traffic!AF20))),"")</f>
        <v>1.5952082339179396</v>
      </c>
      <c r="AG18" s="27">
        <f>IFERROR(IF(AG$6&lt;COD,0,IF(AG$6=COD,'Operating Assumptions'!$K$35*Daysinayear/1000000,Traffic!AF18*(1+Traffic!AG19+Traffic!AG20))),"")</f>
        <v>1.6271123985962985</v>
      </c>
      <c r="AH18" s="27">
        <f>IFERROR(IF(AH$6&lt;COD,0,IF(AH$6=COD,'Operating Assumptions'!$K$35*Daysinayear/1000000,Traffic!AG18*(1+Traffic!AH19+Traffic!AH20))),"")</f>
        <v>1.6596546465682245</v>
      </c>
      <c r="AI18" s="27">
        <f>IFERROR(IF(AI$6&lt;COD,0,IF(AI$6=COD,'Operating Assumptions'!$K$35*Daysinayear/1000000,Traffic!AH18*(1+Traffic!AI19+Traffic!AI20))),"")</f>
        <v>1.6928477394995889</v>
      </c>
      <c r="AJ18" s="27">
        <f>IFERROR(IF(AJ$6&lt;COD,0,IF(AJ$6=COD,'Operating Assumptions'!$K$35*Daysinayear/1000000,Traffic!AI18*(1+Traffic!AJ19+Traffic!AJ20))),"")</f>
        <v>1.7267046942895807</v>
      </c>
      <c r="AK18" s="27">
        <f>IFERROR(IF(AK$6&lt;COD,0,IF(AK$6=COD,'Operating Assumptions'!$K$35*Daysinayear/1000000,Traffic!AJ18*(1+Traffic!AK19+Traffic!AK20))),"")</f>
        <v>1.7612387881753724</v>
      </c>
      <c r="AL18" s="27">
        <f>IFERROR(IF(AL$6&lt;COD,0,IF(AL$6=COD,'Operating Assumptions'!$K$35*Daysinayear/1000000,Traffic!AK18*(1+Traffic!AL19+Traffic!AL20))),"")</f>
        <v>1.79646356393888</v>
      </c>
      <c r="AM18" s="27">
        <f>IFERROR(IF(AM$6&lt;COD,0,IF(AM$6=COD,'Operating Assumptions'!$K$35*Daysinayear/1000000,Traffic!AL18*(1+Traffic!AM19+Traffic!AM20))),"")</f>
        <v>1.8323928352176575</v>
      </c>
      <c r="AN18" s="27">
        <f>IFERROR(IF(AN$6&lt;COD,0,IF(AN$6=COD,'Operating Assumptions'!$K$35*Daysinayear/1000000,Traffic!AM18*(1+Traffic!AN19+Traffic!AN20))),"")</f>
        <v>1.8690406919220106</v>
      </c>
      <c r="AO18" s="27">
        <f>IFERROR(IF(AO$6&lt;COD,0,IF(AO$6=COD,'Operating Assumptions'!$K$35*Daysinayear/1000000,Traffic!AN18*(1+Traffic!AO19+Traffic!AO20))),"")</f>
        <v>1.9064215057604508</v>
      </c>
      <c r="AP18" s="27">
        <f>IFERROR(IF(AP$6&lt;COD,0,IF(AP$6=COD,'Operating Assumptions'!$K$35*Daysinayear/1000000,Traffic!AO18*(1+Traffic!AP19+Traffic!AP20))),"")</f>
        <v>1.9445499358756597</v>
      </c>
      <c r="AQ18" s="27">
        <f>IFERROR(IF(AQ$6&lt;COD,0,IF(AQ$6=COD,'Operating Assumptions'!$K$35*Daysinayear/1000000,Traffic!AP18*(1+Traffic!AQ19+Traffic!AQ20))),"")</f>
        <v>1.9834409345931729</v>
      </c>
      <c r="AR18" s="27" t="str">
        <f>IFERROR(IF(AR$6&lt;COD,0,IF(AR$6=COD,'Operating Assumptions'!$K$35*Daysinayear/1000000,Traffic!AQ18*(1+Traffic!AR19+Traffic!AR20))),"")</f>
        <v/>
      </c>
      <c r="AS18" s="27" t="str">
        <f>IFERROR(IF(AS$6&lt;COD,0,IF(AS$6=COD,'Operating Assumptions'!$K$35*Daysinayear/1000000,Traffic!AR18*(1+Traffic!AS19+Traffic!AS20))),"")</f>
        <v/>
      </c>
      <c r="AT18" s="27" t="str">
        <f>IFERROR(IF(AT$6&lt;COD,0,IF(AT$6=COD,'Operating Assumptions'!$K$35*Daysinayear/1000000,Traffic!AS18*(1+Traffic!AT19+Traffic!AT20))),"")</f>
        <v/>
      </c>
      <c r="AU18" s="27" t="str">
        <f>IFERROR(IF(AU$6&lt;COD,0,IF(AU$6=COD,'Operating Assumptions'!$K$35*Daysinayear/1000000,Traffic!AT18*(1+Traffic!AU19+Traffic!AU20))),"")</f>
        <v/>
      </c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1"/>
      <c r="BP18" s="61"/>
      <c r="BQ18" s="61"/>
      <c r="BR18" s="61"/>
      <c r="BS18" s="61"/>
      <c r="BT18" s="61"/>
      <c r="BU18" s="61"/>
      <c r="BV18" s="61"/>
      <c r="BW18" s="61"/>
      <c r="BX18" s="61"/>
      <c r="BY18" s="61"/>
      <c r="BZ18" s="61"/>
      <c r="CA18" s="61"/>
      <c r="CB18" s="61"/>
      <c r="CC18" s="61"/>
      <c r="CD18" s="61"/>
      <c r="CE18" s="61"/>
      <c r="CF18" s="61"/>
      <c r="CG18" s="61"/>
      <c r="CH18" s="61"/>
      <c r="CI18" s="61"/>
      <c r="CJ18" s="61"/>
      <c r="CK18" s="61"/>
      <c r="CL18" s="61"/>
      <c r="CM18" s="61"/>
      <c r="CN18" s="61"/>
      <c r="CO18" s="61"/>
      <c r="CP18" s="61"/>
      <c r="CQ18" s="61"/>
      <c r="CR18" s="61"/>
      <c r="CS18" s="61"/>
      <c r="CT18" s="61"/>
      <c r="CU18" s="61"/>
      <c r="CV18" s="61"/>
      <c r="CW18" s="61"/>
      <c r="CX18" s="61"/>
      <c r="CY18" s="61"/>
      <c r="CZ18" s="61"/>
      <c r="DA18" s="61"/>
      <c r="DB18" s="61"/>
      <c r="DC18" s="61"/>
      <c r="DD18" s="61"/>
      <c r="DE18" s="61"/>
      <c r="DF18" s="61"/>
      <c r="DG18" s="61"/>
      <c r="DH18" s="61"/>
      <c r="DI18" s="61"/>
      <c r="DJ18" s="61"/>
      <c r="DK18" s="61"/>
      <c r="DL18" s="61"/>
      <c r="DM18" s="61"/>
      <c r="DN18" s="61"/>
      <c r="DO18" s="61"/>
      <c r="DP18" s="61"/>
      <c r="DQ18" s="61"/>
      <c r="DR18" s="61"/>
      <c r="DS18" s="61"/>
      <c r="DT18" s="61"/>
      <c r="DU18" s="61"/>
      <c r="DV18" s="61"/>
      <c r="DW18" s="61"/>
      <c r="DX18" s="61"/>
      <c r="DY18" s="61"/>
      <c r="DZ18" s="61"/>
      <c r="EA18" s="61"/>
      <c r="EB18" s="61"/>
      <c r="EC18" s="61"/>
      <c r="ED18" s="61"/>
      <c r="EE18" s="61"/>
      <c r="EF18" s="61"/>
      <c r="EG18" s="61"/>
      <c r="EH18" s="61"/>
      <c r="EI18" s="61"/>
      <c r="EJ18" s="61"/>
      <c r="EK18" s="61"/>
      <c r="EL18" s="61"/>
      <c r="EM18" s="61"/>
      <c r="EN18" s="61"/>
      <c r="EO18" s="61"/>
      <c r="EP18" s="61"/>
      <c r="EQ18" s="61"/>
      <c r="ER18" s="61"/>
      <c r="ES18" s="61"/>
      <c r="ET18" s="61"/>
      <c r="EU18" s="61"/>
      <c r="EV18" s="61"/>
      <c r="EW18" s="61"/>
      <c r="EX18" s="61"/>
      <c r="EY18" s="61"/>
    </row>
    <row r="19" spans="1:155">
      <c r="B19" s="53" t="s">
        <v>80</v>
      </c>
      <c r="E19" s="3" t="s">
        <v>51</v>
      </c>
      <c r="F19" s="3" t="s">
        <v>57</v>
      </c>
      <c r="J19" s="60">
        <f>IF(J$6&lt;COD,0,IF(J$6&gt;End,"",IF(OR(J$6&lt;'Operating Assumptions'!$K$30,'Operating Assumptions'!$K$30=End),'Operating Assumptions'!$K$36,IF(OR(Traffic!J$6&lt;'Operating Assumptions'!$K$31,'Operating Assumptions'!$K$31=End),'Operating Assumptions'!$K$37,IF(Traffic!J$6&lt;='Operating Assumptions'!$K$51,'Operating Assumptions'!$K$38,"")))))</f>
        <v>0</v>
      </c>
      <c r="K19" s="60">
        <f>IF(K$6&lt;COD,0,IF(K$6&gt;End,"",IF(OR(K$6&lt;'Operating Assumptions'!$K$30,'Operating Assumptions'!$K$30=End),'Operating Assumptions'!$K$36,IF(OR(Traffic!K$6&lt;'Operating Assumptions'!$K$31,'Operating Assumptions'!$K$31=End),'Operating Assumptions'!$K$37,IF(Traffic!K$6&lt;='Operating Assumptions'!$K$51,'Operating Assumptions'!$K$38,"")))))</f>
        <v>0</v>
      </c>
      <c r="L19" s="60">
        <f>IF(L$6&lt;COD,0,IF(L$6&gt;End,"",IF(OR(L$6&lt;'Operating Assumptions'!$K$30,'Operating Assumptions'!$K$30=End),'Operating Assumptions'!$K$36,IF(OR(Traffic!L$6&lt;'Operating Assumptions'!$K$31,'Operating Assumptions'!$K$31=End),'Operating Assumptions'!$K$37,IF(Traffic!L$6&lt;='Operating Assumptions'!$K$51,'Operating Assumptions'!$K$38,"")))))</f>
        <v>0</v>
      </c>
      <c r="M19" s="60">
        <f>IF(M$6&lt;COD,0,IF(M$6&gt;End,"",IF(OR(M$6&lt;'Operating Assumptions'!$K$30,'Operating Assumptions'!$K$30=End),'Operating Assumptions'!$K$36,IF(OR(Traffic!M$6&lt;'Operating Assumptions'!$K$31,'Operating Assumptions'!$K$31=End),'Operating Assumptions'!$K$37,IF(Traffic!M$6&lt;='Operating Assumptions'!$K$51,'Operating Assumptions'!$K$38,"")))))</f>
        <v>0.02</v>
      </c>
      <c r="N19" s="60">
        <f>IF(N$6&lt;COD,0,IF(N$6&gt;End,"",IF(OR(N$6&lt;'Operating Assumptions'!$K$30,'Operating Assumptions'!$K$30=End),'Operating Assumptions'!$K$36,IF(OR(Traffic!N$6&lt;'Operating Assumptions'!$K$31,'Operating Assumptions'!$K$31=End),'Operating Assumptions'!$K$37,IF(Traffic!N$6&lt;='Operating Assumptions'!$K$51,'Operating Assumptions'!$K$38,"")))))</f>
        <v>0.02</v>
      </c>
      <c r="O19" s="60">
        <f>IF(O$6&lt;COD,0,IF(O$6&gt;End,"",IF(OR(O$6&lt;'Operating Assumptions'!$K$30,'Operating Assumptions'!$K$30=End),'Operating Assumptions'!$K$36,IF(OR(Traffic!O$6&lt;'Operating Assumptions'!$K$31,'Operating Assumptions'!$K$31=End),'Operating Assumptions'!$K$37,IF(Traffic!O$6&lt;='Operating Assumptions'!$K$51,'Operating Assumptions'!$K$38,"")))))</f>
        <v>0.02</v>
      </c>
      <c r="P19" s="60">
        <f>IF(P$6&lt;COD,0,IF(P$6&gt;End,"",IF(OR(P$6&lt;'Operating Assumptions'!$K$30,'Operating Assumptions'!$K$30=End),'Operating Assumptions'!$K$36,IF(OR(Traffic!P$6&lt;'Operating Assumptions'!$K$31,'Operating Assumptions'!$K$31=End),'Operating Assumptions'!$K$37,IF(Traffic!P$6&lt;='Operating Assumptions'!$K$51,'Operating Assumptions'!$K$38,"")))))</f>
        <v>0.02</v>
      </c>
      <c r="Q19" s="60">
        <f>IF(Q$6&lt;COD,0,IF(Q$6&gt;End,"",IF(OR(Q$6&lt;'Operating Assumptions'!$K$30,'Operating Assumptions'!$K$30=End),'Operating Assumptions'!$K$36,IF(OR(Traffic!Q$6&lt;'Operating Assumptions'!$K$31,'Operating Assumptions'!$K$31=End),'Operating Assumptions'!$K$37,IF(Traffic!Q$6&lt;='Operating Assumptions'!$K$51,'Operating Assumptions'!$K$38,"")))))</f>
        <v>0.02</v>
      </c>
      <c r="R19" s="60">
        <f>IF(R$6&lt;COD,0,IF(R$6&gt;End,"",IF(OR(R$6&lt;'Operating Assumptions'!$K$30,'Operating Assumptions'!$K$30=End),'Operating Assumptions'!$K$36,IF(OR(Traffic!R$6&lt;'Operating Assumptions'!$K$31,'Operating Assumptions'!$K$31=End),'Operating Assumptions'!$K$37,IF(Traffic!R$6&lt;='Operating Assumptions'!$K$51,'Operating Assumptions'!$K$38,"")))))</f>
        <v>0.02</v>
      </c>
      <c r="S19" s="60">
        <f>IF(S$6&lt;COD,0,IF(S$6&gt;End,"",IF(OR(S$6&lt;'Operating Assumptions'!$K$30,'Operating Assumptions'!$K$30=End),'Operating Assumptions'!$K$36,IF(OR(Traffic!S$6&lt;'Operating Assumptions'!$K$31,'Operating Assumptions'!$K$31=End),'Operating Assumptions'!$K$37,IF(Traffic!S$6&lt;='Operating Assumptions'!$K$51,'Operating Assumptions'!$K$38,"")))))</f>
        <v>0.02</v>
      </c>
      <c r="T19" s="60">
        <f>IF(T$6&lt;COD,0,IF(T$6&gt;End,"",IF(OR(T$6&lt;'Operating Assumptions'!$K$30,'Operating Assumptions'!$K$30=End),'Operating Assumptions'!$K$36,IF(OR(Traffic!T$6&lt;'Operating Assumptions'!$K$31,'Operating Assumptions'!$K$31=End),'Operating Assumptions'!$K$37,IF(Traffic!T$6&lt;='Operating Assumptions'!$K$51,'Operating Assumptions'!$K$38,"")))))</f>
        <v>0.02</v>
      </c>
      <c r="U19" s="60">
        <f>IF(U$6&lt;COD,0,IF(U$6&gt;End,"",IF(OR(U$6&lt;'Operating Assumptions'!$K$30,'Operating Assumptions'!$K$30=End),'Operating Assumptions'!$K$36,IF(OR(Traffic!U$6&lt;'Operating Assumptions'!$K$31,'Operating Assumptions'!$K$31=End),'Operating Assumptions'!$K$37,IF(Traffic!U$6&lt;='Operating Assumptions'!$K$51,'Operating Assumptions'!$K$38,"")))))</f>
        <v>0.02</v>
      </c>
      <c r="V19" s="60">
        <f>IF(V$6&lt;COD,0,IF(V$6&gt;End,"",IF(OR(V$6&lt;'Operating Assumptions'!$K$30,'Operating Assumptions'!$K$30=End),'Operating Assumptions'!$K$36,IF(OR(Traffic!V$6&lt;'Operating Assumptions'!$K$31,'Operating Assumptions'!$K$31=End),'Operating Assumptions'!$K$37,IF(Traffic!V$6&lt;='Operating Assumptions'!$K$51,'Operating Assumptions'!$K$38,"")))))</f>
        <v>0.02</v>
      </c>
      <c r="W19" s="60">
        <f>IF(W$6&lt;COD,0,IF(W$6&gt;End,"",IF(OR(W$6&lt;'Operating Assumptions'!$K$30,'Operating Assumptions'!$K$30=End),'Operating Assumptions'!$K$36,IF(OR(Traffic!W$6&lt;'Operating Assumptions'!$K$31,'Operating Assumptions'!$K$31=End),'Operating Assumptions'!$K$37,IF(Traffic!W$6&lt;='Operating Assumptions'!$K$51,'Operating Assumptions'!$K$38,"")))))</f>
        <v>0.02</v>
      </c>
      <c r="X19" s="60">
        <f>IF(X$6&lt;COD,0,IF(X$6&gt;End,"",IF(OR(X$6&lt;'Operating Assumptions'!$K$30,'Operating Assumptions'!$K$30=End),'Operating Assumptions'!$K$36,IF(OR(Traffic!X$6&lt;'Operating Assumptions'!$K$31,'Operating Assumptions'!$K$31=End),'Operating Assumptions'!$K$37,IF(Traffic!X$6&lt;='Operating Assumptions'!$K$51,'Operating Assumptions'!$K$38,"")))))</f>
        <v>0.02</v>
      </c>
      <c r="Y19" s="60">
        <f>IF(Y$6&lt;COD,0,IF(Y$6&gt;End,"",IF(OR(Y$6&lt;'Operating Assumptions'!$K$30,'Operating Assumptions'!$K$30=End),'Operating Assumptions'!$K$36,IF(OR(Traffic!Y$6&lt;'Operating Assumptions'!$K$31,'Operating Assumptions'!$K$31=End),'Operating Assumptions'!$K$37,IF(Traffic!Y$6&lt;='Operating Assumptions'!$K$51,'Operating Assumptions'!$K$38,"")))))</f>
        <v>0.02</v>
      </c>
      <c r="Z19" s="60">
        <f>IF(Z$6&lt;COD,0,IF(Z$6&gt;End,"",IF(OR(Z$6&lt;'Operating Assumptions'!$K$30,'Operating Assumptions'!$K$30=End),'Operating Assumptions'!$K$36,IF(OR(Traffic!Z$6&lt;'Operating Assumptions'!$K$31,'Operating Assumptions'!$K$31=End),'Operating Assumptions'!$K$37,IF(Traffic!Z$6&lt;='Operating Assumptions'!$K$51,'Operating Assumptions'!$K$38,"")))))</f>
        <v>0.02</v>
      </c>
      <c r="AA19" s="60">
        <f>IF(AA$6&lt;COD,0,IF(AA$6&gt;End,"",IF(OR(AA$6&lt;'Operating Assumptions'!$K$30,'Operating Assumptions'!$K$30=End),'Operating Assumptions'!$K$36,IF(OR(Traffic!AA$6&lt;'Operating Assumptions'!$K$31,'Operating Assumptions'!$K$31=End),'Operating Assumptions'!$K$37,IF(Traffic!AA$6&lt;='Operating Assumptions'!$K$51,'Operating Assumptions'!$K$38,"")))))</f>
        <v>0.02</v>
      </c>
      <c r="AB19" s="60">
        <f>IF(AB$6&lt;COD,0,IF(AB$6&gt;End,"",IF(OR(AB$6&lt;'Operating Assumptions'!$K$30,'Operating Assumptions'!$K$30=End),'Operating Assumptions'!$K$36,IF(OR(Traffic!AB$6&lt;'Operating Assumptions'!$K$31,'Operating Assumptions'!$K$31=End),'Operating Assumptions'!$K$37,IF(Traffic!AB$6&lt;='Operating Assumptions'!$K$51,'Operating Assumptions'!$K$38,"")))))</f>
        <v>0.02</v>
      </c>
      <c r="AC19" s="60">
        <f>IF(AC$6&lt;COD,0,IF(AC$6&gt;End,"",IF(OR(AC$6&lt;'Operating Assumptions'!$K$30,'Operating Assumptions'!$K$30=End),'Operating Assumptions'!$K$36,IF(OR(Traffic!AC$6&lt;'Operating Assumptions'!$K$31,'Operating Assumptions'!$K$31=End),'Operating Assumptions'!$K$37,IF(Traffic!AC$6&lt;='Operating Assumptions'!$K$51,'Operating Assumptions'!$K$38,"")))))</f>
        <v>0.02</v>
      </c>
      <c r="AD19" s="60">
        <f>IF(AD$6&lt;COD,0,IF(AD$6&gt;End,"",IF(OR(AD$6&lt;'Operating Assumptions'!$K$30,'Operating Assumptions'!$K$30=End),'Operating Assumptions'!$K$36,IF(OR(Traffic!AD$6&lt;'Operating Assumptions'!$K$31,'Operating Assumptions'!$K$31=End),'Operating Assumptions'!$K$37,IF(Traffic!AD$6&lt;='Operating Assumptions'!$K$51,'Operating Assumptions'!$K$38,"")))))</f>
        <v>0.02</v>
      </c>
      <c r="AE19" s="60">
        <f>IF(AE$6&lt;COD,0,IF(AE$6&gt;End,"",IF(OR(AE$6&lt;'Operating Assumptions'!$K$30,'Operating Assumptions'!$K$30=End),'Operating Assumptions'!$K$36,IF(OR(Traffic!AE$6&lt;'Operating Assumptions'!$K$31,'Operating Assumptions'!$K$31=End),'Operating Assumptions'!$K$37,IF(Traffic!AE$6&lt;='Operating Assumptions'!$K$51,'Operating Assumptions'!$K$38,"")))))</f>
        <v>0.02</v>
      </c>
      <c r="AF19" s="60">
        <f>IF(AF$6&lt;COD,0,IF(AF$6&gt;End,"",IF(OR(AF$6&lt;'Operating Assumptions'!$K$30,'Operating Assumptions'!$K$30=End),'Operating Assumptions'!$K$36,IF(OR(Traffic!AF$6&lt;'Operating Assumptions'!$K$31,'Operating Assumptions'!$K$31=End),'Operating Assumptions'!$K$37,IF(Traffic!AF$6&lt;='Operating Assumptions'!$K$51,'Operating Assumptions'!$K$38,"")))))</f>
        <v>0.02</v>
      </c>
      <c r="AG19" s="60">
        <f>IF(AG$6&lt;COD,0,IF(AG$6&gt;End,"",IF(OR(AG$6&lt;'Operating Assumptions'!$K$30,'Operating Assumptions'!$K$30=End),'Operating Assumptions'!$K$36,IF(OR(Traffic!AG$6&lt;'Operating Assumptions'!$K$31,'Operating Assumptions'!$K$31=End),'Operating Assumptions'!$K$37,IF(Traffic!AG$6&lt;='Operating Assumptions'!$K$51,'Operating Assumptions'!$K$38,"")))))</f>
        <v>0.02</v>
      </c>
      <c r="AH19" s="60">
        <f>IF(AH$6&lt;COD,0,IF(AH$6&gt;End,"",IF(OR(AH$6&lt;'Operating Assumptions'!$K$30,'Operating Assumptions'!$K$30=End),'Operating Assumptions'!$K$36,IF(OR(Traffic!AH$6&lt;'Operating Assumptions'!$K$31,'Operating Assumptions'!$K$31=End),'Operating Assumptions'!$K$37,IF(Traffic!AH$6&lt;='Operating Assumptions'!$K$51,'Operating Assumptions'!$K$38,"")))))</f>
        <v>0.02</v>
      </c>
      <c r="AI19" s="60">
        <f>IF(AI$6&lt;COD,0,IF(AI$6&gt;End,"",IF(OR(AI$6&lt;'Operating Assumptions'!$K$30,'Operating Assumptions'!$K$30=End),'Operating Assumptions'!$K$36,IF(OR(Traffic!AI$6&lt;'Operating Assumptions'!$K$31,'Operating Assumptions'!$K$31=End),'Operating Assumptions'!$K$37,IF(Traffic!AI$6&lt;='Operating Assumptions'!$K$51,'Operating Assumptions'!$K$38,"")))))</f>
        <v>0.02</v>
      </c>
      <c r="AJ19" s="60">
        <f>IF(AJ$6&lt;COD,0,IF(AJ$6&gt;End,"",IF(OR(AJ$6&lt;'Operating Assumptions'!$K$30,'Operating Assumptions'!$K$30=End),'Operating Assumptions'!$K$36,IF(OR(Traffic!AJ$6&lt;'Operating Assumptions'!$K$31,'Operating Assumptions'!$K$31=End),'Operating Assumptions'!$K$37,IF(Traffic!AJ$6&lt;='Operating Assumptions'!$K$51,'Operating Assumptions'!$K$38,"")))))</f>
        <v>0.02</v>
      </c>
      <c r="AK19" s="60">
        <f>IF(AK$6&lt;COD,0,IF(AK$6&gt;End,"",IF(OR(AK$6&lt;'Operating Assumptions'!$K$30,'Operating Assumptions'!$K$30=End),'Operating Assumptions'!$K$36,IF(OR(Traffic!AK$6&lt;'Operating Assumptions'!$K$31,'Operating Assumptions'!$K$31=End),'Operating Assumptions'!$K$37,IF(Traffic!AK$6&lt;='Operating Assumptions'!$K$51,'Operating Assumptions'!$K$38,"")))))</f>
        <v>0.02</v>
      </c>
      <c r="AL19" s="60">
        <f>IF(AL$6&lt;COD,0,IF(AL$6&gt;End,"",IF(OR(AL$6&lt;'Operating Assumptions'!$K$30,'Operating Assumptions'!$K$30=End),'Operating Assumptions'!$K$36,IF(OR(Traffic!AL$6&lt;'Operating Assumptions'!$K$31,'Operating Assumptions'!$K$31=End),'Operating Assumptions'!$K$37,IF(Traffic!AL$6&lt;='Operating Assumptions'!$K$51,'Operating Assumptions'!$K$38,"")))))</f>
        <v>0.02</v>
      </c>
      <c r="AM19" s="60">
        <f>IF(AM$6&lt;COD,0,IF(AM$6&gt;End,"",IF(OR(AM$6&lt;'Operating Assumptions'!$K$30,'Operating Assumptions'!$K$30=End),'Operating Assumptions'!$K$36,IF(OR(Traffic!AM$6&lt;'Operating Assumptions'!$K$31,'Operating Assumptions'!$K$31=End),'Operating Assumptions'!$K$37,IF(Traffic!AM$6&lt;='Operating Assumptions'!$K$51,'Operating Assumptions'!$K$38,"")))))</f>
        <v>0.02</v>
      </c>
      <c r="AN19" s="60">
        <f>IF(AN$6&lt;COD,0,IF(AN$6&gt;End,"",IF(OR(AN$6&lt;'Operating Assumptions'!$K$30,'Operating Assumptions'!$K$30=End),'Operating Assumptions'!$K$36,IF(OR(Traffic!AN$6&lt;'Operating Assumptions'!$K$31,'Operating Assumptions'!$K$31=End),'Operating Assumptions'!$K$37,IF(Traffic!AN$6&lt;='Operating Assumptions'!$K$51,'Operating Assumptions'!$K$38,"")))))</f>
        <v>0.02</v>
      </c>
      <c r="AO19" s="60">
        <f>IF(AO$6&lt;COD,0,IF(AO$6&gt;End,"",IF(OR(AO$6&lt;'Operating Assumptions'!$K$30,'Operating Assumptions'!$K$30=End),'Operating Assumptions'!$K$36,IF(OR(Traffic!AO$6&lt;'Operating Assumptions'!$K$31,'Operating Assumptions'!$K$31=End),'Operating Assumptions'!$K$37,IF(Traffic!AO$6&lt;='Operating Assumptions'!$K$51,'Operating Assumptions'!$K$38,"")))))</f>
        <v>0.02</v>
      </c>
      <c r="AP19" s="60">
        <f>IF(AP$6&lt;COD,0,IF(AP$6&gt;End,"",IF(OR(AP$6&lt;'Operating Assumptions'!$K$30,'Operating Assumptions'!$K$30=End),'Operating Assumptions'!$K$36,IF(OR(Traffic!AP$6&lt;'Operating Assumptions'!$K$31,'Operating Assumptions'!$K$31=End),'Operating Assumptions'!$K$37,IF(Traffic!AP$6&lt;='Operating Assumptions'!$K$51,'Operating Assumptions'!$K$38,"")))))</f>
        <v>0.02</v>
      </c>
      <c r="AQ19" s="60">
        <f>IF(AQ$6&lt;COD,0,IF(AQ$6&gt;End,"",IF(OR(AQ$6&lt;'Operating Assumptions'!$K$30,'Operating Assumptions'!$K$30=End),'Operating Assumptions'!$K$36,IF(OR(Traffic!AQ$6&lt;'Operating Assumptions'!$K$31,'Operating Assumptions'!$K$31=End),'Operating Assumptions'!$K$37,IF(Traffic!AQ$6&lt;='Operating Assumptions'!$K$51,'Operating Assumptions'!$K$38,"")))))</f>
        <v>0.02</v>
      </c>
      <c r="AR19" s="60" t="str">
        <f>IF(AR$6&lt;COD,0,IF(AR$6&gt;End,"",IF(OR(AR$6&lt;'Operating Assumptions'!$K$30,'Operating Assumptions'!$K$30=End),'Operating Assumptions'!$K$36,IF(OR(Traffic!AR$6&lt;'Operating Assumptions'!$K$31,'Operating Assumptions'!$K$31=End),'Operating Assumptions'!$K$37,IF(Traffic!AR$6&lt;='Operating Assumptions'!$K$51,'Operating Assumptions'!$K$38,"")))))</f>
        <v/>
      </c>
      <c r="AS19" s="60" t="str">
        <f>IF(AS$6&lt;COD,0,IF(AS$6&gt;End,"",IF(OR(AS$6&lt;'Operating Assumptions'!$K$30,'Operating Assumptions'!$K$30=End),'Operating Assumptions'!$K$36,IF(OR(Traffic!AS$6&lt;'Operating Assumptions'!$K$31,'Operating Assumptions'!$K$31=End),'Operating Assumptions'!$K$37,IF(Traffic!AS$6&lt;='Operating Assumptions'!$K$51,'Operating Assumptions'!$K$38,"")))))</f>
        <v/>
      </c>
      <c r="AT19" s="60" t="str">
        <f>IF(AT$6&lt;COD,0,IF(AT$6&gt;End,"",IF(OR(AT$6&lt;'Operating Assumptions'!$K$30,'Operating Assumptions'!$K$30=End),'Operating Assumptions'!$K$36,IF(OR(Traffic!AT$6&lt;'Operating Assumptions'!$K$31,'Operating Assumptions'!$K$31=End),'Operating Assumptions'!$K$37,IF(Traffic!AT$6&lt;='Operating Assumptions'!$K$51,'Operating Assumptions'!$K$38,"")))))</f>
        <v/>
      </c>
      <c r="AU19" s="60" t="str">
        <f>IF(AU$6&lt;COD,0,IF(AU$6&gt;End,"",IF(OR(AU$6&lt;'Operating Assumptions'!$K$30,'Operating Assumptions'!$K$30=End),'Operating Assumptions'!$K$36,IF(OR(Traffic!AU$6&lt;'Operating Assumptions'!$K$31,'Operating Assumptions'!$K$31=End),'Operating Assumptions'!$K$37,IF(Traffic!AU$6&lt;='Operating Assumptions'!$K$51,'Operating Assumptions'!$K$38,"")))))</f>
        <v/>
      </c>
      <c r="AV19" s="67"/>
      <c r="AW19" s="67"/>
      <c r="AX19" s="67"/>
      <c r="AY19" s="67"/>
      <c r="AZ19" s="67"/>
      <c r="BA19" s="67"/>
      <c r="BB19" s="67"/>
      <c r="BC19" s="67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</row>
    <row r="20" spans="1:155" s="13" customFormat="1">
      <c r="A20" s="3"/>
      <c r="B20" s="54" t="s">
        <v>81</v>
      </c>
      <c r="E20" s="13" t="s">
        <v>51</v>
      </c>
      <c r="F20" s="13" t="s">
        <v>57</v>
      </c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63"/>
      <c r="AW20" s="63"/>
      <c r="AX20" s="63"/>
      <c r="AY20" s="63"/>
      <c r="AZ20" s="63"/>
      <c r="BA20" s="63"/>
      <c r="BB20" s="63"/>
      <c r="BC20" s="63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</row>
    <row r="21" spans="1:155" s="15" customFormat="1">
      <c r="A21" s="3"/>
      <c r="B21" s="15" t="s">
        <v>82</v>
      </c>
      <c r="E21" s="15" t="s">
        <v>83</v>
      </c>
      <c r="F21" s="15" t="s">
        <v>57</v>
      </c>
      <c r="I21" s="43">
        <f t="shared" ref="I21:BC21" si="3">IFERROR(SUM(I8+I13+I18),"")</f>
        <v>0</v>
      </c>
      <c r="J21" s="43">
        <f t="shared" si="3"/>
        <v>0</v>
      </c>
      <c r="K21" s="43">
        <f t="shared" si="3"/>
        <v>0</v>
      </c>
      <c r="L21" s="43">
        <f t="shared" si="3"/>
        <v>0</v>
      </c>
      <c r="M21" s="43">
        <f t="shared" si="3"/>
        <v>2.19</v>
      </c>
      <c r="N21" s="43">
        <f t="shared" si="3"/>
        <v>2.2338</v>
      </c>
      <c r="O21" s="43">
        <f t="shared" si="3"/>
        <v>2.2784760000000004</v>
      </c>
      <c r="P21" s="43">
        <f t="shared" si="3"/>
        <v>2.3240455200000003</v>
      </c>
      <c r="Q21" s="43">
        <f t="shared" si="3"/>
        <v>2.3705264304</v>
      </c>
      <c r="R21" s="43">
        <f t="shared" si="3"/>
        <v>2.4179369590080002</v>
      </c>
      <c r="S21" s="43">
        <f t="shared" si="3"/>
        <v>2.4662956981881603</v>
      </c>
      <c r="T21" s="43">
        <f t="shared" si="3"/>
        <v>2.5156216121519241</v>
      </c>
      <c r="U21" s="43">
        <f t="shared" si="3"/>
        <v>2.5659340443949628</v>
      </c>
      <c r="V21" s="43">
        <f t="shared" si="3"/>
        <v>2.6172527252828619</v>
      </c>
      <c r="W21" s="43">
        <f t="shared" si="3"/>
        <v>2.6695977797885186</v>
      </c>
      <c r="X21" s="43">
        <f t="shared" si="3"/>
        <v>2.7229897353842896</v>
      </c>
      <c r="Y21" s="43">
        <f t="shared" si="3"/>
        <v>2.7774495300919755</v>
      </c>
      <c r="Z21" s="43">
        <f t="shared" si="3"/>
        <v>2.8329985206938151</v>
      </c>
      <c r="AA21" s="43">
        <f t="shared" si="3"/>
        <v>2.8896584911076912</v>
      </c>
      <c r="AB21" s="43">
        <f t="shared" si="3"/>
        <v>2.9474516609298451</v>
      </c>
      <c r="AC21" s="43">
        <f t="shared" si="3"/>
        <v>3.006400694148442</v>
      </c>
      <c r="AD21" s="43">
        <f t="shared" si="3"/>
        <v>3.0665287080314103</v>
      </c>
      <c r="AE21" s="43">
        <f t="shared" si="3"/>
        <v>3.127859282192039</v>
      </c>
      <c r="AF21" s="43">
        <f t="shared" si="3"/>
        <v>3.1904164678358797</v>
      </c>
      <c r="AG21" s="43">
        <f t="shared" si="3"/>
        <v>3.2542247971925975</v>
      </c>
      <c r="AH21" s="43">
        <f t="shared" si="3"/>
        <v>3.3193092931364494</v>
      </c>
      <c r="AI21" s="43">
        <f t="shared" si="3"/>
        <v>3.3856954789991782</v>
      </c>
      <c r="AJ21" s="43">
        <f t="shared" si="3"/>
        <v>3.4534093885791624</v>
      </c>
      <c r="AK21" s="43">
        <f t="shared" si="3"/>
        <v>3.5224775763507452</v>
      </c>
      <c r="AL21" s="43">
        <f t="shared" si="3"/>
        <v>3.5929271278777604</v>
      </c>
      <c r="AM21" s="43">
        <f t="shared" si="3"/>
        <v>3.6647856704353154</v>
      </c>
      <c r="AN21" s="43">
        <f t="shared" si="3"/>
        <v>3.7380813838440226</v>
      </c>
      <c r="AO21" s="43">
        <f t="shared" si="3"/>
        <v>3.8128430115209029</v>
      </c>
      <c r="AP21" s="43">
        <f t="shared" si="3"/>
        <v>3.8890998717513208</v>
      </c>
      <c r="AQ21" s="43">
        <f t="shared" si="3"/>
        <v>3.9668818691863477</v>
      </c>
      <c r="AR21" s="43" t="str">
        <f>IFERROR(SUM(AR8+AR13+AR18),"")</f>
        <v/>
      </c>
      <c r="AS21" s="43" t="str">
        <f>IFERROR(SUM(AS8+AS13+AS18),"")</f>
        <v/>
      </c>
      <c r="AT21" s="43" t="str">
        <f>IFERROR(SUM(AT8+AT13+AT18),"")</f>
        <v/>
      </c>
      <c r="AU21" s="43" t="str">
        <f>IFERROR(SUM(AU8+AU13+AU18),"")</f>
        <v/>
      </c>
      <c r="AV21" s="68" t="str">
        <f t="shared" si="3"/>
        <v/>
      </c>
      <c r="AW21" s="68" t="str">
        <f t="shared" si="3"/>
        <v/>
      </c>
      <c r="AX21" s="68" t="str">
        <f t="shared" si="3"/>
        <v/>
      </c>
      <c r="AY21" s="68" t="str">
        <f t="shared" si="3"/>
        <v/>
      </c>
      <c r="AZ21" s="68" t="str">
        <f t="shared" si="3"/>
        <v/>
      </c>
      <c r="BA21" s="68" t="str">
        <f t="shared" si="3"/>
        <v/>
      </c>
      <c r="BB21" s="68" t="str">
        <f t="shared" si="3"/>
        <v/>
      </c>
      <c r="BC21" s="68" t="str">
        <f t="shared" si="3"/>
        <v/>
      </c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9"/>
      <c r="CB21" s="69"/>
      <c r="CC21" s="69"/>
      <c r="CD21" s="69"/>
      <c r="CE21" s="69"/>
      <c r="CF21" s="69"/>
      <c r="CG21" s="69"/>
      <c r="CH21" s="69"/>
      <c r="CI21" s="69"/>
      <c r="CJ21" s="69"/>
      <c r="CK21" s="69"/>
      <c r="CL21" s="69"/>
      <c r="CM21" s="69"/>
      <c r="CN21" s="69"/>
      <c r="CO21" s="69"/>
      <c r="CP21" s="69"/>
      <c r="CQ21" s="69"/>
      <c r="CR21" s="69"/>
      <c r="CS21" s="69"/>
      <c r="CT21" s="69"/>
      <c r="CU21" s="69"/>
      <c r="CV21" s="69"/>
      <c r="CW21" s="69"/>
      <c r="CX21" s="69"/>
      <c r="CY21" s="69"/>
      <c r="CZ21" s="69"/>
      <c r="DA21" s="69"/>
      <c r="DB21" s="69"/>
      <c r="DC21" s="69"/>
      <c r="DD21" s="69"/>
      <c r="DE21" s="69"/>
      <c r="DF21" s="69"/>
      <c r="DG21" s="69"/>
      <c r="DH21" s="69"/>
      <c r="DI21" s="69"/>
      <c r="DJ21" s="69"/>
      <c r="DK21" s="69"/>
      <c r="DL21" s="69"/>
      <c r="DM21" s="69"/>
      <c r="DN21" s="69"/>
      <c r="DO21" s="69"/>
      <c r="DP21" s="69"/>
      <c r="DQ21" s="69"/>
      <c r="DR21" s="69"/>
      <c r="DS21" s="69"/>
      <c r="DT21" s="69"/>
      <c r="DU21" s="69"/>
      <c r="DV21" s="69"/>
      <c r="DW21" s="69"/>
      <c r="DX21" s="69"/>
      <c r="DY21" s="69"/>
      <c r="DZ21" s="69"/>
      <c r="EA21" s="69"/>
      <c r="EB21" s="69"/>
      <c r="EC21" s="69"/>
      <c r="ED21" s="69"/>
      <c r="EE21" s="69"/>
      <c r="EF21" s="69"/>
      <c r="EG21" s="69"/>
      <c r="EH21" s="69"/>
      <c r="EI21" s="69"/>
      <c r="EJ21" s="69"/>
      <c r="EK21" s="69"/>
      <c r="EL21" s="69"/>
      <c r="EM21" s="69"/>
      <c r="EN21" s="69"/>
      <c r="EO21" s="69"/>
      <c r="EP21" s="69"/>
      <c r="EQ21" s="69"/>
      <c r="ER21" s="69"/>
      <c r="ES21" s="69"/>
      <c r="ET21" s="69"/>
      <c r="EU21" s="69"/>
      <c r="EV21" s="69"/>
      <c r="EW21" s="69"/>
      <c r="EX21" s="69"/>
      <c r="EY21" s="69"/>
    </row>
    <row r="22" spans="1:155">
      <c r="B22" s="12" t="s">
        <v>105</v>
      </c>
      <c r="C22" s="12"/>
      <c r="D22" s="12"/>
      <c r="E22" s="3" t="s">
        <v>52</v>
      </c>
      <c r="F22" s="3" t="s">
        <v>74</v>
      </c>
      <c r="G22" s="12"/>
      <c r="H22" s="12"/>
      <c r="I22" s="80">
        <f>I21*1000000/365</f>
        <v>0</v>
      </c>
      <c r="J22" s="80">
        <f t="shared" ref="J22:AQ22" si="4">J21*1000000/365</f>
        <v>0</v>
      </c>
      <c r="K22" s="80">
        <f t="shared" si="4"/>
        <v>0</v>
      </c>
      <c r="L22" s="80">
        <f t="shared" si="4"/>
        <v>0</v>
      </c>
      <c r="M22" s="80">
        <f t="shared" si="4"/>
        <v>6000</v>
      </c>
      <c r="N22" s="80">
        <f t="shared" si="4"/>
        <v>6120</v>
      </c>
      <c r="O22" s="80">
        <f t="shared" si="4"/>
        <v>6242.4000000000015</v>
      </c>
      <c r="P22" s="80">
        <f t="shared" si="4"/>
        <v>6367.2480000000014</v>
      </c>
      <c r="Q22" s="80">
        <f t="shared" si="4"/>
        <v>6494.5929599999999</v>
      </c>
      <c r="R22" s="80">
        <f t="shared" si="4"/>
        <v>6624.4848192000009</v>
      </c>
      <c r="S22" s="80">
        <f t="shared" si="4"/>
        <v>6756.9745155840001</v>
      </c>
      <c r="T22" s="80">
        <f t="shared" si="4"/>
        <v>6892.1140058956826</v>
      </c>
      <c r="U22" s="80">
        <f t="shared" si="4"/>
        <v>7029.9562860135975</v>
      </c>
      <c r="V22" s="80">
        <f t="shared" si="4"/>
        <v>7170.5554117338679</v>
      </c>
      <c r="W22" s="80">
        <f t="shared" si="4"/>
        <v>7313.9665199685451</v>
      </c>
      <c r="X22" s="80">
        <f t="shared" si="4"/>
        <v>7460.2458503679172</v>
      </c>
      <c r="Y22" s="80">
        <f t="shared" si="4"/>
        <v>7609.4507673752751</v>
      </c>
      <c r="Z22" s="80">
        <f t="shared" si="4"/>
        <v>7761.639782722782</v>
      </c>
      <c r="AA22" s="80">
        <f t="shared" si="4"/>
        <v>7916.8725783772361</v>
      </c>
      <c r="AB22" s="80">
        <f t="shared" si="4"/>
        <v>8075.2100299447811</v>
      </c>
      <c r="AC22" s="80">
        <f t="shared" si="4"/>
        <v>8236.7142305436773</v>
      </c>
      <c r="AD22" s="80">
        <f t="shared" si="4"/>
        <v>8401.4485151545487</v>
      </c>
      <c r="AE22" s="80">
        <f t="shared" si="4"/>
        <v>8569.4774854576408</v>
      </c>
      <c r="AF22" s="80">
        <f t="shared" si="4"/>
        <v>8740.8670351667934</v>
      </c>
      <c r="AG22" s="80">
        <f t="shared" si="4"/>
        <v>8915.6843758701289</v>
      </c>
      <c r="AH22" s="80">
        <f t="shared" si="4"/>
        <v>9093.998063387533</v>
      </c>
      <c r="AI22" s="80">
        <f t="shared" si="4"/>
        <v>9275.8780246552833</v>
      </c>
      <c r="AJ22" s="80">
        <f t="shared" si="4"/>
        <v>9461.3955851483897</v>
      </c>
      <c r="AK22" s="80">
        <f t="shared" si="4"/>
        <v>9650.6234968513563</v>
      </c>
      <c r="AL22" s="80">
        <f t="shared" si="4"/>
        <v>9843.6359667883844</v>
      </c>
      <c r="AM22" s="80">
        <f t="shared" si="4"/>
        <v>10040.508686124153</v>
      </c>
      <c r="AN22" s="80">
        <f t="shared" si="4"/>
        <v>10241.318859846637</v>
      </c>
      <c r="AO22" s="80">
        <f t="shared" si="4"/>
        <v>10446.145237043571</v>
      </c>
      <c r="AP22" s="80">
        <f t="shared" si="4"/>
        <v>10655.068141784441</v>
      </c>
      <c r="AQ22" s="80">
        <f t="shared" si="4"/>
        <v>10868.169504620131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DN45"/>
  <sheetViews>
    <sheetView showGridLines="0" zoomScaleNormal="100" workbookViewId="0">
      <selection activeCell="B1" sqref="B1"/>
    </sheetView>
  </sheetViews>
  <sheetFormatPr baseColWidth="10" defaultColWidth="9.1640625" defaultRowHeight="11"/>
  <cols>
    <col min="1" max="1" width="2.6640625" style="3" customWidth="1"/>
    <col min="2" max="16384" width="9.1640625" style="3"/>
  </cols>
  <sheetData>
    <row r="1" spans="1:118" customFormat="1" ht="19">
      <c r="A1" s="1"/>
      <c r="B1" s="2" t="str">
        <f>Summary!$B$1</f>
        <v>RNFC: Highway Integrated Financial Model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</row>
    <row r="2" spans="1:118" customFormat="1" ht="19">
      <c r="A2" s="1"/>
      <c r="B2" s="2" t="s">
        <v>118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</row>
    <row r="4" spans="1:118">
      <c r="A4" s="3" t="s">
        <v>0</v>
      </c>
      <c r="B4" s="4" t="s">
        <v>117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</row>
    <row r="5" spans="1:118">
      <c r="I5" s="133">
        <v>1</v>
      </c>
      <c r="J5" s="133">
        <f>IF(J6="","",I5+1)</f>
        <v>2</v>
      </c>
      <c r="K5" s="133">
        <f t="shared" ref="K5:AQ5" si="0">IF(K6="","",J5+1)</f>
        <v>3</v>
      </c>
      <c r="L5" s="133">
        <f t="shared" si="0"/>
        <v>4</v>
      </c>
      <c r="M5" s="133">
        <f t="shared" si="0"/>
        <v>5</v>
      </c>
      <c r="N5" s="133">
        <f t="shared" si="0"/>
        <v>6</v>
      </c>
      <c r="O5" s="133">
        <f t="shared" si="0"/>
        <v>7</v>
      </c>
      <c r="P5" s="133">
        <f t="shared" si="0"/>
        <v>8</v>
      </c>
      <c r="Q5" s="133">
        <f t="shared" si="0"/>
        <v>9</v>
      </c>
      <c r="R5" s="133">
        <f t="shared" si="0"/>
        <v>10</v>
      </c>
      <c r="S5" s="133">
        <f t="shared" si="0"/>
        <v>11</v>
      </c>
      <c r="T5" s="133">
        <f t="shared" si="0"/>
        <v>12</v>
      </c>
      <c r="U5" s="133">
        <f t="shared" si="0"/>
        <v>13</v>
      </c>
      <c r="V5" s="133">
        <f t="shared" si="0"/>
        <v>14</v>
      </c>
      <c r="W5" s="133">
        <f t="shared" si="0"/>
        <v>15</v>
      </c>
      <c r="X5" s="133">
        <f t="shared" si="0"/>
        <v>16</v>
      </c>
      <c r="Y5" s="133">
        <f t="shared" si="0"/>
        <v>17</v>
      </c>
      <c r="Z5" s="133">
        <f t="shared" si="0"/>
        <v>18</v>
      </c>
      <c r="AA5" s="133">
        <f t="shared" si="0"/>
        <v>19</v>
      </c>
      <c r="AB5" s="133">
        <f t="shared" si="0"/>
        <v>20</v>
      </c>
      <c r="AC5" s="133">
        <f t="shared" si="0"/>
        <v>21</v>
      </c>
      <c r="AD5" s="133">
        <f t="shared" si="0"/>
        <v>22</v>
      </c>
      <c r="AE5" s="133">
        <f t="shared" si="0"/>
        <v>23</v>
      </c>
      <c r="AF5" s="133">
        <f t="shared" si="0"/>
        <v>24</v>
      </c>
      <c r="AG5" s="133">
        <f t="shared" si="0"/>
        <v>25</v>
      </c>
      <c r="AH5" s="133">
        <f t="shared" si="0"/>
        <v>26</v>
      </c>
      <c r="AI5" s="133">
        <f t="shared" si="0"/>
        <v>27</v>
      </c>
      <c r="AJ5" s="133">
        <f t="shared" si="0"/>
        <v>28</v>
      </c>
      <c r="AK5" s="133">
        <f t="shared" si="0"/>
        <v>29</v>
      </c>
      <c r="AL5" s="133">
        <f t="shared" si="0"/>
        <v>30</v>
      </c>
      <c r="AM5" s="133">
        <f t="shared" si="0"/>
        <v>31</v>
      </c>
      <c r="AN5" s="133">
        <f t="shared" si="0"/>
        <v>32</v>
      </c>
      <c r="AO5" s="133">
        <f t="shared" si="0"/>
        <v>33</v>
      </c>
      <c r="AP5" s="133">
        <f t="shared" si="0"/>
        <v>34</v>
      </c>
      <c r="AQ5" s="133">
        <f t="shared" si="0"/>
        <v>35</v>
      </c>
    </row>
    <row r="6" spans="1:118" ht="12" thickBot="1">
      <c r="B6" s="9"/>
      <c r="C6" s="8"/>
      <c r="D6" s="8"/>
      <c r="E6" s="9" t="s">
        <v>48</v>
      </c>
      <c r="F6" s="9" t="s">
        <v>72</v>
      </c>
      <c r="G6" s="8"/>
      <c r="H6" s="8"/>
      <c r="I6" s="9">
        <f>YEAR(Now)</f>
        <v>2016</v>
      </c>
      <c r="J6" s="9">
        <f t="shared" ref="J6:AQ6" si="1">IFERROR(IF(I6+1&gt;End,"",I6+1),"")</f>
        <v>2017</v>
      </c>
      <c r="K6" s="9">
        <f t="shared" si="1"/>
        <v>2018</v>
      </c>
      <c r="L6" s="9">
        <f t="shared" si="1"/>
        <v>2019</v>
      </c>
      <c r="M6" s="9">
        <f t="shared" si="1"/>
        <v>2020</v>
      </c>
      <c r="N6" s="9">
        <f t="shared" si="1"/>
        <v>2021</v>
      </c>
      <c r="O6" s="9">
        <f t="shared" si="1"/>
        <v>2022</v>
      </c>
      <c r="P6" s="9">
        <f t="shared" si="1"/>
        <v>2023</v>
      </c>
      <c r="Q6" s="9">
        <f t="shared" si="1"/>
        <v>2024</v>
      </c>
      <c r="R6" s="9">
        <f t="shared" si="1"/>
        <v>2025</v>
      </c>
      <c r="S6" s="9">
        <f t="shared" si="1"/>
        <v>2026</v>
      </c>
      <c r="T6" s="9">
        <f t="shared" si="1"/>
        <v>2027</v>
      </c>
      <c r="U6" s="9">
        <f t="shared" si="1"/>
        <v>2028</v>
      </c>
      <c r="V6" s="9">
        <f t="shared" si="1"/>
        <v>2029</v>
      </c>
      <c r="W6" s="9">
        <f t="shared" si="1"/>
        <v>2030</v>
      </c>
      <c r="X6" s="9">
        <f t="shared" si="1"/>
        <v>2031</v>
      </c>
      <c r="Y6" s="9">
        <f t="shared" si="1"/>
        <v>2032</v>
      </c>
      <c r="Z6" s="9">
        <f t="shared" si="1"/>
        <v>2033</v>
      </c>
      <c r="AA6" s="9">
        <f t="shared" si="1"/>
        <v>2034</v>
      </c>
      <c r="AB6" s="9">
        <f t="shared" si="1"/>
        <v>2035</v>
      </c>
      <c r="AC6" s="9">
        <f t="shared" si="1"/>
        <v>2036</v>
      </c>
      <c r="AD6" s="9">
        <f t="shared" si="1"/>
        <v>2037</v>
      </c>
      <c r="AE6" s="9">
        <f t="shared" si="1"/>
        <v>2038</v>
      </c>
      <c r="AF6" s="9">
        <f t="shared" si="1"/>
        <v>2039</v>
      </c>
      <c r="AG6" s="9">
        <f t="shared" si="1"/>
        <v>2040</v>
      </c>
      <c r="AH6" s="9">
        <f t="shared" si="1"/>
        <v>2041</v>
      </c>
      <c r="AI6" s="9">
        <f t="shared" si="1"/>
        <v>2042</v>
      </c>
      <c r="AJ6" s="9">
        <f t="shared" si="1"/>
        <v>2043</v>
      </c>
      <c r="AK6" s="9">
        <f t="shared" si="1"/>
        <v>2044</v>
      </c>
      <c r="AL6" s="9">
        <f t="shared" si="1"/>
        <v>2045</v>
      </c>
      <c r="AM6" s="9">
        <f t="shared" si="1"/>
        <v>2046</v>
      </c>
      <c r="AN6" s="9">
        <f t="shared" si="1"/>
        <v>2047</v>
      </c>
      <c r="AO6" s="9">
        <f t="shared" si="1"/>
        <v>2048</v>
      </c>
      <c r="AP6" s="9">
        <f t="shared" si="1"/>
        <v>2049</v>
      </c>
      <c r="AQ6" s="9">
        <f t="shared" si="1"/>
        <v>2050</v>
      </c>
    </row>
    <row r="7" spans="1:118">
      <c r="B7" s="3" t="s">
        <v>119</v>
      </c>
      <c r="G7" s="95">
        <v>20</v>
      </c>
    </row>
    <row r="9" spans="1:118">
      <c r="B9" s="11" t="s">
        <v>120</v>
      </c>
    </row>
    <row r="10" spans="1:118">
      <c r="B10" s="100">
        <f>I6</f>
        <v>2016</v>
      </c>
      <c r="C10" s="96">
        <f>HLOOKUP(Depreciation!B10,Model!$I$72:$AQ$78,7)</f>
        <v>218.75</v>
      </c>
      <c r="E10" s="3" t="str">
        <f t="shared" ref="E10:E45" si="2">Currency&amp;"mm"</f>
        <v>CADmm</v>
      </c>
      <c r="F10" s="3" t="s">
        <v>57</v>
      </c>
      <c r="G10" s="70"/>
      <c r="I10" s="70">
        <f>IF(I$6&lt;$B10,0,IF(I$6&gt;$B10+$G$7,0,IF(I$6=$B10+$G$7,$C10-SUM($H10:H10),IF(I$6=$B10,$C10/$G$7/2,$C10/$G$7))))</f>
        <v>5.46875</v>
      </c>
      <c r="J10" s="70">
        <f>IF(J$6&lt;$B10,0,IF(J$6&gt;$B10+$G$7,0,IF(J$6=$B10+$G$7,$C10-SUM($H10:I10),IF(J$6=$B10,$C10/$G$7/2,$C10/$G$7))))</f>
        <v>10.9375</v>
      </c>
      <c r="K10" s="70">
        <f>IF(K$6&lt;$B10,0,IF(K$6&gt;$B10+$G$7,0,IF(K$6=$B10+$G$7,$C10-SUM($H10:J10),IF(K$6=$B10,$C10/$G$7/2,$C10/$G$7))))</f>
        <v>10.9375</v>
      </c>
      <c r="L10" s="70">
        <f>IF(L$6&lt;$B10,0,IF(L$6&gt;$B10+$G$7,0,IF(L$6=$B10+$G$7,$C10-SUM($H10:K10),IF(L$6=$B10,$C10/$G$7/2,$C10/$G$7))))</f>
        <v>10.9375</v>
      </c>
      <c r="M10" s="70">
        <f>IF(M$6&lt;$B10,0,IF(M$6&gt;$B10+$G$7,0,IF(M$6=$B10+$G$7,$C10-SUM($H10:L10),IF(M$6=$B10,$C10/$G$7/2,$C10/$G$7))))</f>
        <v>10.9375</v>
      </c>
      <c r="N10" s="70">
        <f>IF(N$6&lt;$B10,0,IF(N$6&gt;$B10+$G$7,0,IF(N$6=$B10+$G$7,$C10-SUM($H10:M10),IF(N$6=$B10,$C10/$G$7/2,$C10/$G$7))))</f>
        <v>10.9375</v>
      </c>
      <c r="O10" s="70">
        <f>IF(O$6&lt;$B10,0,IF(O$6&gt;$B10+$G$7,0,IF(O$6=$B10+$G$7,$C10-SUM($H10:N10),IF(O$6=$B10,$C10/$G$7/2,$C10/$G$7))))</f>
        <v>10.9375</v>
      </c>
      <c r="P10" s="70">
        <f>IF(P$6&lt;$B10,0,IF(P$6&gt;$B10+$G$7,0,IF(P$6=$B10+$G$7,$C10-SUM($H10:O10),IF(P$6=$B10,$C10/$G$7/2,$C10/$G$7))))</f>
        <v>10.9375</v>
      </c>
      <c r="Q10" s="70">
        <f>IF(Q$6&lt;$B10,0,IF(Q$6&gt;$B10+$G$7,0,IF(Q$6=$B10+$G$7,$C10-SUM($H10:P10),IF(Q$6=$B10,$C10/$G$7/2,$C10/$G$7))))</f>
        <v>10.9375</v>
      </c>
      <c r="R10" s="70">
        <f>IF(R$6&lt;$B10,0,IF(R$6&gt;$B10+$G$7,0,IF(R$6=$B10+$G$7,$C10-SUM($H10:Q10),IF(R$6=$B10,$C10/$G$7/2,$C10/$G$7))))</f>
        <v>10.9375</v>
      </c>
      <c r="S10" s="70">
        <f>IF(S$6&lt;$B10,0,IF(S$6&gt;$B10+$G$7,0,IF(S$6=$B10+$G$7,$C10-SUM($H10:R10),IF(S$6=$B10,$C10/$G$7/2,$C10/$G$7))))</f>
        <v>10.9375</v>
      </c>
      <c r="T10" s="70">
        <f>IF(T$6&lt;$B10,0,IF(T$6&gt;$B10+$G$7,0,IF(T$6=$B10+$G$7,$C10-SUM($H10:S10),IF(T$6=$B10,$C10/$G$7/2,$C10/$G$7))))</f>
        <v>10.9375</v>
      </c>
      <c r="U10" s="70">
        <f>IF(U$6&lt;$B10,0,IF(U$6&gt;$B10+$G$7,0,IF(U$6=$B10+$G$7,$C10-SUM($H10:T10),IF(U$6=$B10,$C10/$G$7/2,$C10/$G$7))))</f>
        <v>10.9375</v>
      </c>
      <c r="V10" s="70">
        <f>IF(V$6&lt;$B10,0,IF(V$6&gt;$B10+$G$7,0,IF(V$6=$B10+$G$7,$C10-SUM($H10:U10),IF(V$6=$B10,$C10/$G$7/2,$C10/$G$7))))</f>
        <v>10.9375</v>
      </c>
      <c r="W10" s="70">
        <f>IF(W$6&lt;$B10,0,IF(W$6&gt;$B10+$G$7,0,IF(W$6=$B10+$G$7,$C10-SUM($H10:V10),IF(W$6=$B10,$C10/$G$7/2,$C10/$G$7))))</f>
        <v>10.9375</v>
      </c>
      <c r="X10" s="70">
        <f>IF(X$6&lt;$B10,0,IF(X$6&gt;$B10+$G$7,0,IF(X$6=$B10+$G$7,$C10-SUM($H10:W10),IF(X$6=$B10,$C10/$G$7/2,$C10/$G$7))))</f>
        <v>10.9375</v>
      </c>
      <c r="Y10" s="70">
        <f>IF(Y$6&lt;$B10,0,IF(Y$6&gt;$B10+$G$7,0,IF(Y$6=$B10+$G$7,$C10-SUM($H10:X10),IF(Y$6=$B10,$C10/$G$7/2,$C10/$G$7))))</f>
        <v>10.9375</v>
      </c>
      <c r="Z10" s="70">
        <f>IF(Z$6&lt;$B10,0,IF(Z$6&gt;$B10+$G$7,0,IF(Z$6=$B10+$G$7,$C10-SUM($H10:Y10),IF(Z$6=$B10,$C10/$G$7/2,$C10/$G$7))))</f>
        <v>10.9375</v>
      </c>
      <c r="AA10" s="70">
        <f>IF(AA$6&lt;$B10,0,IF(AA$6&gt;$B10+$G$7,0,IF(AA$6=$B10+$G$7,$C10-SUM($H10:Z10),IF(AA$6=$B10,$C10/$G$7/2,$C10/$G$7))))</f>
        <v>10.9375</v>
      </c>
      <c r="AB10" s="70">
        <f>IF(AB$6&lt;$B10,0,IF(AB$6&gt;$B10+$G$7,0,IF(AB$6=$B10+$G$7,$C10-SUM($H10:AA10),IF(AB$6=$B10,$C10/$G$7/2,$C10/$G$7))))</f>
        <v>10.9375</v>
      </c>
      <c r="AC10" s="70">
        <f>IF(AC$6&lt;$B10,0,IF(AC$6&gt;$B10+$G$7,0,IF(AC$6=$B10+$G$7,$C10-SUM($H10:AB10),IF(AC$6=$B10,$C10/$G$7/2,$C10/$G$7))))</f>
        <v>5.46875</v>
      </c>
      <c r="AD10" s="70">
        <f>IF(AD$6&lt;$B10,0,IF(AD$6&gt;$B10+$G$7,0,IF(AD$6=$B10+$G$7,$C10-SUM($H10:AC10),IF(AD$6=$B10,$C10/$G$7/2,$C10/$G$7))))</f>
        <v>0</v>
      </c>
      <c r="AE10" s="70">
        <f>IF(AE$6&lt;$B10,0,IF(AE$6&gt;$B10+$G$7,0,IF(AE$6=$B10+$G$7,$C10-SUM($H10:AD10),IF(AE$6=$B10,$C10/$G$7/2,$C10/$G$7))))</f>
        <v>0</v>
      </c>
      <c r="AF10" s="70">
        <f>IF(AF$6&lt;$B10,0,IF(AF$6&gt;$B10+$G$7,0,IF(AF$6=$B10+$G$7,$C10-SUM($H10:AE10),IF(AF$6=$B10,$C10/$G$7/2,$C10/$G$7))))</f>
        <v>0</v>
      </c>
      <c r="AG10" s="70">
        <f>IF(AG$6&lt;$B10,0,IF(AG$6&gt;$B10+$G$7,0,IF(AG$6=$B10+$G$7,$C10-SUM($H10:AF10),IF(AG$6=$B10,$C10/$G$7/2,$C10/$G$7))))</f>
        <v>0</v>
      </c>
      <c r="AH10" s="70">
        <f>IF(AH$6&lt;$B10,0,IF(AH$6&gt;$B10+$G$7,0,IF(AH$6=$B10+$G$7,$C10-SUM($H10:AG10),IF(AH$6=$B10,$C10/$G$7/2,$C10/$G$7))))</f>
        <v>0</v>
      </c>
      <c r="AI10" s="70">
        <f>IF(AI$6&lt;$B10,0,IF(AI$6&gt;$B10+$G$7,0,IF(AI$6=$B10+$G$7,$C10-SUM($H10:AH10),IF(AI$6=$B10,$C10/$G$7/2,$C10/$G$7))))</f>
        <v>0</v>
      </c>
      <c r="AJ10" s="70">
        <f>IF(AJ$6&lt;$B10,0,IF(AJ$6&gt;$B10+$G$7,0,IF(AJ$6=$B10+$G$7,$C10-SUM($H10:AI10),IF(AJ$6=$B10,$C10/$G$7/2,$C10/$G$7))))</f>
        <v>0</v>
      </c>
      <c r="AK10" s="70">
        <f>IF(AK$6&lt;$B10,0,IF(AK$6&gt;$B10+$G$7,0,IF(AK$6=$B10+$G$7,$C10-SUM($H10:AJ10),IF(AK$6=$B10,$C10/$G$7/2,$C10/$G$7))))</f>
        <v>0</v>
      </c>
      <c r="AL10" s="70">
        <f>IF(AL$6&lt;$B10,0,IF(AL$6&gt;$B10+$G$7,0,IF(AL$6=$B10+$G$7,$C10-SUM($H10:AK10),IF(AL$6=$B10,$C10/$G$7/2,$C10/$G$7))))</f>
        <v>0</v>
      </c>
      <c r="AM10" s="70">
        <f>IF(AM$6&lt;$B10,0,IF(AM$6&gt;$B10+$G$7,0,IF(AM$6=$B10+$G$7,$C10-SUM($H10:AL10),IF(AM$6=$B10,$C10/$G$7/2,$C10/$G$7))))</f>
        <v>0</v>
      </c>
      <c r="AN10" s="70">
        <f>IF(AN$6&lt;$B10,0,IF(AN$6&gt;$B10+$G$7,0,IF(AN$6=$B10+$G$7,$C10-SUM($H10:AM10),IF(AN$6=$B10,$C10/$G$7/2,$C10/$G$7))))</f>
        <v>0</v>
      </c>
      <c r="AO10" s="70">
        <f>IF(AO$6&lt;$B10,0,IF(AO$6&gt;$B10+$G$7,0,IF(AO$6=$B10+$G$7,$C10-SUM($H10:AN10),IF(AO$6=$B10,$C10/$G$7/2,$C10/$G$7))))</f>
        <v>0</v>
      </c>
      <c r="AP10" s="70">
        <f>IF(AP$6&lt;$B10,0,IF(AP$6&gt;$B10+$G$7,0,IF(AP$6=$B10+$G$7,$C10-SUM($H10:AO10),IF(AP$6=$B10,$C10/$G$7/2,$C10/$G$7))))</f>
        <v>0</v>
      </c>
      <c r="AQ10" s="70">
        <f>IF(AQ$6&lt;$B10,0,IF(AQ$6&gt;$B10+$G$7,0,IF(AQ$6=$B10+$G$7,$C10-SUM($H10:AP10),IF(AQ$6=$B10,$C10/$G$7/2,$C10/$G$7))))</f>
        <v>0</v>
      </c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</row>
    <row r="11" spans="1:118">
      <c r="B11" s="100">
        <f t="shared" ref="B11:B44" si="3">IFERROR(IF(B10+1&gt;End,"",B10+1),"")</f>
        <v>2017</v>
      </c>
      <c r="C11" s="97">
        <f>HLOOKUP(Depreciation!B11,Model!$I$72:$AQ$78,7)</f>
        <v>125.00000000000004</v>
      </c>
      <c r="E11" s="3" t="str">
        <f t="shared" si="2"/>
        <v>CADmm</v>
      </c>
      <c r="F11" s="3" t="s">
        <v>57</v>
      </c>
      <c r="G11" s="70"/>
      <c r="I11" s="70">
        <f>IF(I$6&lt;$B11,0,IF(I$6&gt;$B11+$G$7,0,IF(I$6=$B11+$G$7,$C11-SUM($H11:H11),IF(I$6=$B11,$C11/$G$7/2,$C11/$G$7))))</f>
        <v>0</v>
      </c>
      <c r="J11" s="70">
        <f>IF(J$6&lt;$B11,0,IF(J$6&gt;$B11+$G$7,0,IF(J$6=$B11+$G$7,$C11-SUM($H11:I11),IF(J$6=$B11,$C11/$G$7/2,$C11/$G$7))))</f>
        <v>3.1250000000000009</v>
      </c>
      <c r="K11" s="70">
        <f>IF(K$6&lt;$B11,0,IF(K$6&gt;$B11+$G$7,0,IF(K$6=$B11+$G$7,$C11-SUM($H11:J11),IF(K$6=$B11,$C11/$G$7/2,$C11/$G$7))))</f>
        <v>6.2500000000000018</v>
      </c>
      <c r="L11" s="70">
        <f>IF(L$6&lt;$B11,0,IF(L$6&gt;$B11+$G$7,0,IF(L$6=$B11+$G$7,$C11-SUM($H11:K11),IF(L$6=$B11,$C11/$G$7/2,$C11/$G$7))))</f>
        <v>6.2500000000000018</v>
      </c>
      <c r="M11" s="70">
        <f>IF(M$6&lt;$B11,0,IF(M$6&gt;$B11+$G$7,0,IF(M$6=$B11+$G$7,$C11-SUM($H11:L11),IF(M$6=$B11,$C11/$G$7/2,$C11/$G$7))))</f>
        <v>6.2500000000000018</v>
      </c>
      <c r="N11" s="70">
        <f>IF(N$6&lt;$B11,0,IF(N$6&gt;$B11+$G$7,0,IF(N$6=$B11+$G$7,$C11-SUM($H11:M11),IF(N$6=$B11,$C11/$G$7/2,$C11/$G$7))))</f>
        <v>6.2500000000000018</v>
      </c>
      <c r="O11" s="70">
        <f>IF(O$6&lt;$B11,0,IF(O$6&gt;$B11+$G$7,0,IF(O$6=$B11+$G$7,$C11-SUM($H11:N11),IF(O$6=$B11,$C11/$G$7/2,$C11/$G$7))))</f>
        <v>6.2500000000000018</v>
      </c>
      <c r="P11" s="70">
        <f>IF(P$6&lt;$B11,0,IF(P$6&gt;$B11+$G$7,0,IF(P$6=$B11+$G$7,$C11-SUM($H11:O11),IF(P$6=$B11,$C11/$G$7/2,$C11/$G$7))))</f>
        <v>6.2500000000000018</v>
      </c>
      <c r="Q11" s="70">
        <f>IF(Q$6&lt;$B11,0,IF(Q$6&gt;$B11+$G$7,0,IF(Q$6=$B11+$G$7,$C11-SUM($H11:P11),IF(Q$6=$B11,$C11/$G$7/2,$C11/$G$7))))</f>
        <v>6.2500000000000018</v>
      </c>
      <c r="R11" s="70">
        <f>IF(R$6&lt;$B11,0,IF(R$6&gt;$B11+$G$7,0,IF(R$6=$B11+$G$7,$C11-SUM($H11:Q11),IF(R$6=$B11,$C11/$G$7/2,$C11/$G$7))))</f>
        <v>6.2500000000000018</v>
      </c>
      <c r="S11" s="70">
        <f>IF(S$6&lt;$B11,0,IF(S$6&gt;$B11+$G$7,0,IF(S$6=$B11+$G$7,$C11-SUM($H11:R11),IF(S$6=$B11,$C11/$G$7/2,$C11/$G$7))))</f>
        <v>6.2500000000000018</v>
      </c>
      <c r="T11" s="70">
        <f>IF(T$6&lt;$B11,0,IF(T$6&gt;$B11+$G$7,0,IF(T$6=$B11+$G$7,$C11-SUM($H11:S11),IF(T$6=$B11,$C11/$G$7/2,$C11/$G$7))))</f>
        <v>6.2500000000000018</v>
      </c>
      <c r="U11" s="70">
        <f>IF(U$6&lt;$B11,0,IF(U$6&gt;$B11+$G$7,0,IF(U$6=$B11+$G$7,$C11-SUM($H11:T11),IF(U$6=$B11,$C11/$G$7/2,$C11/$G$7))))</f>
        <v>6.2500000000000018</v>
      </c>
      <c r="V11" s="70">
        <f>IF(V$6&lt;$B11,0,IF(V$6&gt;$B11+$G$7,0,IF(V$6=$B11+$G$7,$C11-SUM($H11:U11),IF(V$6=$B11,$C11/$G$7/2,$C11/$G$7))))</f>
        <v>6.2500000000000018</v>
      </c>
      <c r="W11" s="70">
        <f>IF(W$6&lt;$B11,0,IF(W$6&gt;$B11+$G$7,0,IF(W$6=$B11+$G$7,$C11-SUM($H11:V11),IF(W$6=$B11,$C11/$G$7/2,$C11/$G$7))))</f>
        <v>6.2500000000000018</v>
      </c>
      <c r="X11" s="70">
        <f>IF(X$6&lt;$B11,0,IF(X$6&gt;$B11+$G$7,0,IF(X$6=$B11+$G$7,$C11-SUM($H11:W11),IF(X$6=$B11,$C11/$G$7/2,$C11/$G$7))))</f>
        <v>6.2500000000000018</v>
      </c>
      <c r="Y11" s="70">
        <f>IF(Y$6&lt;$B11,0,IF(Y$6&gt;$B11+$G$7,0,IF(Y$6=$B11+$G$7,$C11-SUM($H11:X11),IF(Y$6=$B11,$C11/$G$7/2,$C11/$G$7))))</f>
        <v>6.2500000000000018</v>
      </c>
      <c r="Z11" s="70">
        <f>IF(Z$6&lt;$B11,0,IF(Z$6&gt;$B11+$G$7,0,IF(Z$6=$B11+$G$7,$C11-SUM($H11:Y11),IF(Z$6=$B11,$C11/$G$7/2,$C11/$G$7))))</f>
        <v>6.2500000000000018</v>
      </c>
      <c r="AA11" s="70">
        <f>IF(AA$6&lt;$B11,0,IF(AA$6&gt;$B11+$G$7,0,IF(AA$6=$B11+$G$7,$C11-SUM($H11:Z11),IF(AA$6=$B11,$C11/$G$7/2,$C11/$G$7))))</f>
        <v>6.2500000000000018</v>
      </c>
      <c r="AB11" s="70">
        <f>IF(AB$6&lt;$B11,0,IF(AB$6&gt;$B11+$G$7,0,IF(AB$6=$B11+$G$7,$C11-SUM($H11:AA11),IF(AB$6=$B11,$C11/$G$7/2,$C11/$G$7))))</f>
        <v>6.2500000000000018</v>
      </c>
      <c r="AC11" s="70">
        <f>IF(AC$6&lt;$B11,0,IF(AC$6&gt;$B11+$G$7,0,IF(AC$6=$B11+$G$7,$C11-SUM($H11:AB11),IF(AC$6=$B11,$C11/$G$7/2,$C11/$G$7))))</f>
        <v>6.2500000000000018</v>
      </c>
      <c r="AD11" s="70">
        <f>IF(AD$6&lt;$B11,0,IF(AD$6&gt;$B11+$G$7,0,IF(AD$6=$B11+$G$7,$C11-SUM($H11:AC11),IF(AD$6=$B11,$C11/$G$7/2,$C11/$G$7))))</f>
        <v>3.1250000000000284</v>
      </c>
      <c r="AE11" s="70">
        <f>IF(AE$6&lt;$B11,0,IF(AE$6&gt;$B11+$G$7,0,IF(AE$6=$B11+$G$7,$C11-SUM($H11:AD11),IF(AE$6=$B11,$C11/$G$7/2,$C11/$G$7))))</f>
        <v>0</v>
      </c>
      <c r="AF11" s="70">
        <f>IF(AF$6&lt;$B11,0,IF(AF$6&gt;$B11+$G$7,0,IF(AF$6=$B11+$G$7,$C11-SUM($H11:AE11),IF(AF$6=$B11,$C11/$G$7/2,$C11/$G$7))))</f>
        <v>0</v>
      </c>
      <c r="AG11" s="70">
        <f>IF(AG$6&lt;$B11,0,IF(AG$6&gt;$B11+$G$7,0,IF(AG$6=$B11+$G$7,$C11-SUM($H11:AF11),IF(AG$6=$B11,$C11/$G$7/2,$C11/$G$7))))</f>
        <v>0</v>
      </c>
      <c r="AH11" s="70">
        <f>IF(AH$6&lt;$B11,0,IF(AH$6&gt;$B11+$G$7,0,IF(AH$6=$B11+$G$7,$C11-SUM($H11:AG11),IF(AH$6=$B11,$C11/$G$7/2,$C11/$G$7))))</f>
        <v>0</v>
      </c>
      <c r="AI11" s="70">
        <f>IF(AI$6&lt;$B11,0,IF(AI$6&gt;$B11+$G$7,0,IF(AI$6=$B11+$G$7,$C11-SUM($H11:AH11),IF(AI$6=$B11,$C11/$G$7/2,$C11/$G$7))))</f>
        <v>0</v>
      </c>
      <c r="AJ11" s="70">
        <f>IF(AJ$6&lt;$B11,0,IF(AJ$6&gt;$B11+$G$7,0,IF(AJ$6=$B11+$G$7,$C11-SUM($H11:AI11),IF(AJ$6=$B11,$C11/$G$7/2,$C11/$G$7))))</f>
        <v>0</v>
      </c>
      <c r="AK11" s="70">
        <f>IF(AK$6&lt;$B11,0,IF(AK$6&gt;$B11+$G$7,0,IF(AK$6=$B11+$G$7,$C11-SUM($H11:AJ11),IF(AK$6=$B11,$C11/$G$7/2,$C11/$G$7))))</f>
        <v>0</v>
      </c>
      <c r="AL11" s="70">
        <f>IF(AL$6&lt;$B11,0,IF(AL$6&gt;$B11+$G$7,0,IF(AL$6=$B11+$G$7,$C11-SUM($H11:AK11),IF(AL$6=$B11,$C11/$G$7/2,$C11/$G$7))))</f>
        <v>0</v>
      </c>
      <c r="AM11" s="70">
        <f>IF(AM$6&lt;$B11,0,IF(AM$6&gt;$B11+$G$7,0,IF(AM$6=$B11+$G$7,$C11-SUM($H11:AL11),IF(AM$6=$B11,$C11/$G$7/2,$C11/$G$7))))</f>
        <v>0</v>
      </c>
      <c r="AN11" s="70">
        <f>IF(AN$6&lt;$B11,0,IF(AN$6&gt;$B11+$G$7,0,IF(AN$6=$B11+$G$7,$C11-SUM($H11:AM11),IF(AN$6=$B11,$C11/$G$7/2,$C11/$G$7))))</f>
        <v>0</v>
      </c>
      <c r="AO11" s="70">
        <f>IF(AO$6&lt;$B11,0,IF(AO$6&gt;$B11+$G$7,0,IF(AO$6=$B11+$G$7,$C11-SUM($H11:AN11),IF(AO$6=$B11,$C11/$G$7/2,$C11/$G$7))))</f>
        <v>0</v>
      </c>
      <c r="AP11" s="70">
        <f>IF(AP$6&lt;$B11,0,IF(AP$6&gt;$B11+$G$7,0,IF(AP$6=$B11+$G$7,$C11-SUM($H11:AO11),IF(AP$6=$B11,$C11/$G$7/2,$C11/$G$7))))</f>
        <v>0</v>
      </c>
      <c r="AQ11" s="70">
        <f>IF(AQ$6&lt;$B11,0,IF(AQ$6&gt;$B11+$G$7,0,IF(AQ$6=$B11+$G$7,$C11-SUM($H11:AP11),IF(AQ$6=$B11,$C11/$G$7/2,$C11/$G$7))))</f>
        <v>0</v>
      </c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</row>
    <row r="12" spans="1:118">
      <c r="B12" s="100">
        <f t="shared" si="3"/>
        <v>2018</v>
      </c>
      <c r="C12" s="97">
        <f>HLOOKUP(Depreciation!B12,Model!$I$72:$AQ$78,7)</f>
        <v>124.99999999999997</v>
      </c>
      <c r="E12" s="3" t="str">
        <f t="shared" si="2"/>
        <v>CADmm</v>
      </c>
      <c r="F12" s="3" t="s">
        <v>57</v>
      </c>
      <c r="G12" s="70"/>
      <c r="I12" s="70">
        <f>IF(I$6&lt;$B12,0,IF(I$6&gt;$B12+$G$7,0,IF(I$6=$B12+$G$7,$C12-SUM($H12:H12),IF(I$6=$B12,$C12/$G$7/2,$C12/$G$7))))</f>
        <v>0</v>
      </c>
      <c r="J12" s="70">
        <f>IF(J$6&lt;$B12,0,IF(J$6&gt;$B12+$G$7,0,IF(J$6=$B12+$G$7,$C12-SUM($H12:I12),IF(J$6=$B12,$C12/$G$7/2,$C12/$G$7))))</f>
        <v>0</v>
      </c>
      <c r="K12" s="70">
        <f>IF(K$6&lt;$B12,0,IF(K$6&gt;$B12+$G$7,0,IF(K$6=$B12+$G$7,$C12-SUM($H12:J12),IF(K$6=$B12,$C12/$G$7/2,$C12/$G$7))))</f>
        <v>3.1249999999999991</v>
      </c>
      <c r="L12" s="70">
        <f>IF(L$6&lt;$B12,0,IF(L$6&gt;$B12+$G$7,0,IF(L$6=$B12+$G$7,$C12-SUM($H12:K12),IF(L$6=$B12,$C12/$G$7/2,$C12/$G$7))))</f>
        <v>6.2499999999999982</v>
      </c>
      <c r="M12" s="70">
        <f>IF(M$6&lt;$B12,0,IF(M$6&gt;$B12+$G$7,0,IF(M$6=$B12+$G$7,$C12-SUM($H12:L12),IF(M$6=$B12,$C12/$G$7/2,$C12/$G$7))))</f>
        <v>6.2499999999999982</v>
      </c>
      <c r="N12" s="70">
        <f>IF(N$6&lt;$B12,0,IF(N$6&gt;$B12+$G$7,0,IF(N$6=$B12+$G$7,$C12-SUM($H12:M12),IF(N$6=$B12,$C12/$G$7/2,$C12/$G$7))))</f>
        <v>6.2499999999999982</v>
      </c>
      <c r="O12" s="70">
        <f>IF(O$6&lt;$B12,0,IF(O$6&gt;$B12+$G$7,0,IF(O$6=$B12+$G$7,$C12-SUM($H12:N12),IF(O$6=$B12,$C12/$G$7/2,$C12/$G$7))))</f>
        <v>6.2499999999999982</v>
      </c>
      <c r="P12" s="70">
        <f>IF(P$6&lt;$B12,0,IF(P$6&gt;$B12+$G$7,0,IF(P$6=$B12+$G$7,$C12-SUM($H12:O12),IF(P$6=$B12,$C12/$G$7/2,$C12/$G$7))))</f>
        <v>6.2499999999999982</v>
      </c>
      <c r="Q12" s="70">
        <f>IF(Q$6&lt;$B12,0,IF(Q$6&gt;$B12+$G$7,0,IF(Q$6=$B12+$G$7,$C12-SUM($H12:P12),IF(Q$6=$B12,$C12/$G$7/2,$C12/$G$7))))</f>
        <v>6.2499999999999982</v>
      </c>
      <c r="R12" s="70">
        <f>IF(R$6&lt;$B12,0,IF(R$6&gt;$B12+$G$7,0,IF(R$6=$B12+$G$7,$C12-SUM($H12:Q12),IF(R$6=$B12,$C12/$G$7/2,$C12/$G$7))))</f>
        <v>6.2499999999999982</v>
      </c>
      <c r="S12" s="70">
        <f>IF(S$6&lt;$B12,0,IF(S$6&gt;$B12+$G$7,0,IF(S$6=$B12+$G$7,$C12-SUM($H12:R12),IF(S$6=$B12,$C12/$G$7/2,$C12/$G$7))))</f>
        <v>6.2499999999999982</v>
      </c>
      <c r="T12" s="70">
        <f>IF(T$6&lt;$B12,0,IF(T$6&gt;$B12+$G$7,0,IF(T$6=$B12+$G$7,$C12-SUM($H12:S12),IF(T$6=$B12,$C12/$G$7/2,$C12/$G$7))))</f>
        <v>6.2499999999999982</v>
      </c>
      <c r="U12" s="70">
        <f>IF(U$6&lt;$B12,0,IF(U$6&gt;$B12+$G$7,0,IF(U$6=$B12+$G$7,$C12-SUM($H12:T12),IF(U$6=$B12,$C12/$G$7/2,$C12/$G$7))))</f>
        <v>6.2499999999999982</v>
      </c>
      <c r="V12" s="70">
        <f>IF(V$6&lt;$B12,0,IF(V$6&gt;$B12+$G$7,0,IF(V$6=$B12+$G$7,$C12-SUM($H12:U12),IF(V$6=$B12,$C12/$G$7/2,$C12/$G$7))))</f>
        <v>6.2499999999999982</v>
      </c>
      <c r="W12" s="70">
        <f>IF(W$6&lt;$B12,0,IF(W$6&gt;$B12+$G$7,0,IF(W$6=$B12+$G$7,$C12-SUM($H12:V12),IF(W$6=$B12,$C12/$G$7/2,$C12/$G$7))))</f>
        <v>6.2499999999999982</v>
      </c>
      <c r="X12" s="70">
        <f>IF(X$6&lt;$B12,0,IF(X$6&gt;$B12+$G$7,0,IF(X$6=$B12+$G$7,$C12-SUM($H12:W12),IF(X$6=$B12,$C12/$G$7/2,$C12/$G$7))))</f>
        <v>6.2499999999999982</v>
      </c>
      <c r="Y12" s="70">
        <f>IF(Y$6&lt;$B12,0,IF(Y$6&gt;$B12+$G$7,0,IF(Y$6=$B12+$G$7,$C12-SUM($H12:X12),IF(Y$6=$B12,$C12/$G$7/2,$C12/$G$7))))</f>
        <v>6.2499999999999982</v>
      </c>
      <c r="Z12" s="70">
        <f>IF(Z$6&lt;$B12,0,IF(Z$6&gt;$B12+$G$7,0,IF(Z$6=$B12+$G$7,$C12-SUM($H12:Y12),IF(Z$6=$B12,$C12/$G$7/2,$C12/$G$7))))</f>
        <v>6.2499999999999982</v>
      </c>
      <c r="AA12" s="70">
        <f>IF(AA$6&lt;$B12,0,IF(AA$6&gt;$B12+$G$7,0,IF(AA$6=$B12+$G$7,$C12-SUM($H12:Z12),IF(AA$6=$B12,$C12/$G$7/2,$C12/$G$7))))</f>
        <v>6.2499999999999982</v>
      </c>
      <c r="AB12" s="70">
        <f>IF(AB$6&lt;$B12,0,IF(AB$6&gt;$B12+$G$7,0,IF(AB$6=$B12+$G$7,$C12-SUM($H12:AA12),IF(AB$6=$B12,$C12/$G$7/2,$C12/$G$7))))</f>
        <v>6.2499999999999982</v>
      </c>
      <c r="AC12" s="70">
        <f>IF(AC$6&lt;$B12,0,IF(AC$6&gt;$B12+$G$7,0,IF(AC$6=$B12+$G$7,$C12-SUM($H12:AB12),IF(AC$6=$B12,$C12/$G$7/2,$C12/$G$7))))</f>
        <v>6.2499999999999982</v>
      </c>
      <c r="AD12" s="70">
        <f>IF(AD$6&lt;$B12,0,IF(AD$6&gt;$B12+$G$7,0,IF(AD$6=$B12+$G$7,$C12-SUM($H12:AC12),IF(AD$6=$B12,$C12/$G$7/2,$C12/$G$7))))</f>
        <v>6.2499999999999982</v>
      </c>
      <c r="AE12" s="70">
        <f>IF(AE$6&lt;$B12,0,IF(AE$6&gt;$B12+$G$7,0,IF(AE$6=$B12+$G$7,$C12-SUM($H12:AD12),IF(AE$6=$B12,$C12/$G$7/2,$C12/$G$7))))</f>
        <v>3.1249999999999858</v>
      </c>
      <c r="AF12" s="70">
        <f>IF(AF$6&lt;$B12,0,IF(AF$6&gt;$B12+$G$7,0,IF(AF$6=$B12+$G$7,$C12-SUM($H12:AE12),IF(AF$6=$B12,$C12/$G$7/2,$C12/$G$7))))</f>
        <v>0</v>
      </c>
      <c r="AG12" s="70">
        <f>IF(AG$6&lt;$B12,0,IF(AG$6&gt;$B12+$G$7,0,IF(AG$6=$B12+$G$7,$C12-SUM($H12:AF12),IF(AG$6=$B12,$C12/$G$7/2,$C12/$G$7))))</f>
        <v>0</v>
      </c>
      <c r="AH12" s="70">
        <f>IF(AH$6&lt;$B12,0,IF(AH$6&gt;$B12+$G$7,0,IF(AH$6=$B12+$G$7,$C12-SUM($H12:AG12),IF(AH$6=$B12,$C12/$G$7/2,$C12/$G$7))))</f>
        <v>0</v>
      </c>
      <c r="AI12" s="70">
        <f>IF(AI$6&lt;$B12,0,IF(AI$6&gt;$B12+$G$7,0,IF(AI$6=$B12+$G$7,$C12-SUM($H12:AH12),IF(AI$6=$B12,$C12/$G$7/2,$C12/$G$7))))</f>
        <v>0</v>
      </c>
      <c r="AJ12" s="70">
        <f>IF(AJ$6&lt;$B12,0,IF(AJ$6&gt;$B12+$G$7,0,IF(AJ$6=$B12+$G$7,$C12-SUM($H12:AI12),IF(AJ$6=$B12,$C12/$G$7/2,$C12/$G$7))))</f>
        <v>0</v>
      </c>
      <c r="AK12" s="70">
        <f>IF(AK$6&lt;$B12,0,IF(AK$6&gt;$B12+$G$7,0,IF(AK$6=$B12+$G$7,$C12-SUM($H12:AJ12),IF(AK$6=$B12,$C12/$G$7/2,$C12/$G$7))))</f>
        <v>0</v>
      </c>
      <c r="AL12" s="70">
        <f>IF(AL$6&lt;$B12,0,IF(AL$6&gt;$B12+$G$7,0,IF(AL$6=$B12+$G$7,$C12-SUM($H12:AK12),IF(AL$6=$B12,$C12/$G$7/2,$C12/$G$7))))</f>
        <v>0</v>
      </c>
      <c r="AM12" s="70">
        <f>IF(AM$6&lt;$B12,0,IF(AM$6&gt;$B12+$G$7,0,IF(AM$6=$B12+$G$7,$C12-SUM($H12:AL12),IF(AM$6=$B12,$C12/$G$7/2,$C12/$G$7))))</f>
        <v>0</v>
      </c>
      <c r="AN12" s="70">
        <f>IF(AN$6&lt;$B12,0,IF(AN$6&gt;$B12+$G$7,0,IF(AN$6=$B12+$G$7,$C12-SUM($H12:AM12),IF(AN$6=$B12,$C12/$G$7/2,$C12/$G$7))))</f>
        <v>0</v>
      </c>
      <c r="AO12" s="70">
        <f>IF(AO$6&lt;$B12,0,IF(AO$6&gt;$B12+$G$7,0,IF(AO$6=$B12+$G$7,$C12-SUM($H12:AN12),IF(AO$6=$B12,$C12/$G$7/2,$C12/$G$7))))</f>
        <v>0</v>
      </c>
      <c r="AP12" s="70">
        <f>IF(AP$6&lt;$B12,0,IF(AP$6&gt;$B12+$G$7,0,IF(AP$6=$B12+$G$7,$C12-SUM($H12:AO12),IF(AP$6=$B12,$C12/$G$7/2,$C12/$G$7))))</f>
        <v>0</v>
      </c>
      <c r="AQ12" s="70">
        <f>IF(AQ$6&lt;$B12,0,IF(AQ$6&gt;$B12+$G$7,0,IF(AQ$6=$B12+$G$7,$C12-SUM($H12:AP12),IF(AQ$6=$B12,$C12/$G$7/2,$C12/$G$7))))</f>
        <v>0</v>
      </c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</row>
    <row r="13" spans="1:118">
      <c r="B13" s="100">
        <f t="shared" si="3"/>
        <v>2019</v>
      </c>
      <c r="C13" s="97">
        <f>HLOOKUP(Depreciation!B13,Model!$I$72:$AQ$78,7)</f>
        <v>156.25</v>
      </c>
      <c r="E13" s="3" t="str">
        <f t="shared" si="2"/>
        <v>CADmm</v>
      </c>
      <c r="F13" s="3" t="s">
        <v>57</v>
      </c>
      <c r="G13" s="70"/>
      <c r="I13" s="70">
        <f>IF(I$6&lt;$B13,0,IF(I$6&gt;$B13+$G$7,0,IF(I$6=$B13+$G$7,$C13-SUM($H13:H13),IF(I$6=$B13,$C13/$G$7/2,$C13/$G$7))))</f>
        <v>0</v>
      </c>
      <c r="J13" s="70">
        <f>IF(J$6&lt;$B13,0,IF(J$6&gt;$B13+$G$7,0,IF(J$6=$B13+$G$7,$C13-SUM($H13:I13),IF(J$6=$B13,$C13/$G$7/2,$C13/$G$7))))</f>
        <v>0</v>
      </c>
      <c r="K13" s="70">
        <f>IF(K$6&lt;$B13,0,IF(K$6&gt;$B13+$G$7,0,IF(K$6=$B13+$G$7,$C13-SUM($H13:J13),IF(K$6=$B13,$C13/$G$7/2,$C13/$G$7))))</f>
        <v>0</v>
      </c>
      <c r="L13" s="70">
        <f>IF(L$6&lt;$B13,0,IF(L$6&gt;$B13+$G$7,0,IF(L$6=$B13+$G$7,$C13-SUM($H13:K13),IF(L$6=$B13,$C13/$G$7/2,$C13/$G$7))))</f>
        <v>3.90625</v>
      </c>
      <c r="M13" s="70">
        <f>IF(M$6&lt;$B13,0,IF(M$6&gt;$B13+$G$7,0,IF(M$6=$B13+$G$7,$C13-SUM($H13:L13),IF(M$6=$B13,$C13/$G$7/2,$C13/$G$7))))</f>
        <v>7.8125</v>
      </c>
      <c r="N13" s="70">
        <f>IF(N$6&lt;$B13,0,IF(N$6&gt;$B13+$G$7,0,IF(N$6=$B13+$G$7,$C13-SUM($H13:M13),IF(N$6=$B13,$C13/$G$7/2,$C13/$G$7))))</f>
        <v>7.8125</v>
      </c>
      <c r="O13" s="70">
        <f>IF(O$6&lt;$B13,0,IF(O$6&gt;$B13+$G$7,0,IF(O$6=$B13+$G$7,$C13-SUM($H13:N13),IF(O$6=$B13,$C13/$G$7/2,$C13/$G$7))))</f>
        <v>7.8125</v>
      </c>
      <c r="P13" s="70">
        <f>IF(P$6&lt;$B13,0,IF(P$6&gt;$B13+$G$7,0,IF(P$6=$B13+$G$7,$C13-SUM($H13:O13),IF(P$6=$B13,$C13/$G$7/2,$C13/$G$7))))</f>
        <v>7.8125</v>
      </c>
      <c r="Q13" s="70">
        <f>IF(Q$6&lt;$B13,0,IF(Q$6&gt;$B13+$G$7,0,IF(Q$6=$B13+$G$7,$C13-SUM($H13:P13),IF(Q$6=$B13,$C13/$G$7/2,$C13/$G$7))))</f>
        <v>7.8125</v>
      </c>
      <c r="R13" s="70">
        <f>IF(R$6&lt;$B13,0,IF(R$6&gt;$B13+$G$7,0,IF(R$6=$B13+$G$7,$C13-SUM($H13:Q13),IF(R$6=$B13,$C13/$G$7/2,$C13/$G$7))))</f>
        <v>7.8125</v>
      </c>
      <c r="S13" s="70">
        <f>IF(S$6&lt;$B13,0,IF(S$6&gt;$B13+$G$7,0,IF(S$6=$B13+$G$7,$C13-SUM($H13:R13),IF(S$6=$B13,$C13/$G$7/2,$C13/$G$7))))</f>
        <v>7.8125</v>
      </c>
      <c r="T13" s="70">
        <f>IF(T$6&lt;$B13,0,IF(T$6&gt;$B13+$G$7,0,IF(T$6=$B13+$G$7,$C13-SUM($H13:S13),IF(T$6=$B13,$C13/$G$7/2,$C13/$G$7))))</f>
        <v>7.8125</v>
      </c>
      <c r="U13" s="70">
        <f>IF(U$6&lt;$B13,0,IF(U$6&gt;$B13+$G$7,0,IF(U$6=$B13+$G$7,$C13-SUM($H13:T13),IF(U$6=$B13,$C13/$G$7/2,$C13/$G$7))))</f>
        <v>7.8125</v>
      </c>
      <c r="V13" s="70">
        <f>IF(V$6&lt;$B13,0,IF(V$6&gt;$B13+$G$7,0,IF(V$6=$B13+$G$7,$C13-SUM($H13:U13),IF(V$6=$B13,$C13/$G$7/2,$C13/$G$7))))</f>
        <v>7.8125</v>
      </c>
      <c r="W13" s="70">
        <f>IF(W$6&lt;$B13,0,IF(W$6&gt;$B13+$G$7,0,IF(W$6=$B13+$G$7,$C13-SUM($H13:V13),IF(W$6=$B13,$C13/$G$7/2,$C13/$G$7))))</f>
        <v>7.8125</v>
      </c>
      <c r="X13" s="70">
        <f>IF(X$6&lt;$B13,0,IF(X$6&gt;$B13+$G$7,0,IF(X$6=$B13+$G$7,$C13-SUM($H13:W13),IF(X$6=$B13,$C13/$G$7/2,$C13/$G$7))))</f>
        <v>7.8125</v>
      </c>
      <c r="Y13" s="70">
        <f>IF(Y$6&lt;$B13,0,IF(Y$6&gt;$B13+$G$7,0,IF(Y$6=$B13+$G$7,$C13-SUM($H13:X13),IF(Y$6=$B13,$C13/$G$7/2,$C13/$G$7))))</f>
        <v>7.8125</v>
      </c>
      <c r="Z13" s="70">
        <f>IF(Z$6&lt;$B13,0,IF(Z$6&gt;$B13+$G$7,0,IF(Z$6=$B13+$G$7,$C13-SUM($H13:Y13),IF(Z$6=$B13,$C13/$G$7/2,$C13/$G$7))))</f>
        <v>7.8125</v>
      </c>
      <c r="AA13" s="70">
        <f>IF(AA$6&lt;$B13,0,IF(AA$6&gt;$B13+$G$7,0,IF(AA$6=$B13+$G$7,$C13-SUM($H13:Z13),IF(AA$6=$B13,$C13/$G$7/2,$C13/$G$7))))</f>
        <v>7.8125</v>
      </c>
      <c r="AB13" s="70">
        <f>IF(AB$6&lt;$B13,0,IF(AB$6&gt;$B13+$G$7,0,IF(AB$6=$B13+$G$7,$C13-SUM($H13:AA13),IF(AB$6=$B13,$C13/$G$7/2,$C13/$G$7))))</f>
        <v>7.8125</v>
      </c>
      <c r="AC13" s="70">
        <f>IF(AC$6&lt;$B13,0,IF(AC$6&gt;$B13+$G$7,0,IF(AC$6=$B13+$G$7,$C13-SUM($H13:AB13),IF(AC$6=$B13,$C13/$G$7/2,$C13/$G$7))))</f>
        <v>7.8125</v>
      </c>
      <c r="AD13" s="70">
        <f>IF(AD$6&lt;$B13,0,IF(AD$6&gt;$B13+$G$7,0,IF(AD$6=$B13+$G$7,$C13-SUM($H13:AC13),IF(AD$6=$B13,$C13/$G$7/2,$C13/$G$7))))</f>
        <v>7.8125</v>
      </c>
      <c r="AE13" s="70">
        <f>IF(AE$6&lt;$B13,0,IF(AE$6&gt;$B13+$G$7,0,IF(AE$6=$B13+$G$7,$C13-SUM($H13:AD13),IF(AE$6=$B13,$C13/$G$7/2,$C13/$G$7))))</f>
        <v>7.8125</v>
      </c>
      <c r="AF13" s="70">
        <f>IF(AF$6&lt;$B13,0,IF(AF$6&gt;$B13+$G$7,0,IF(AF$6=$B13+$G$7,$C13-SUM($H13:AE13),IF(AF$6=$B13,$C13/$G$7/2,$C13/$G$7))))</f>
        <v>3.90625</v>
      </c>
      <c r="AG13" s="70">
        <f>IF(AG$6&lt;$B13,0,IF(AG$6&gt;$B13+$G$7,0,IF(AG$6=$B13+$G$7,$C13-SUM($H13:AF13),IF(AG$6=$B13,$C13/$G$7/2,$C13/$G$7))))</f>
        <v>0</v>
      </c>
      <c r="AH13" s="70">
        <f>IF(AH$6&lt;$B13,0,IF(AH$6&gt;$B13+$G$7,0,IF(AH$6=$B13+$G$7,$C13-SUM($H13:AG13),IF(AH$6=$B13,$C13/$G$7/2,$C13/$G$7))))</f>
        <v>0</v>
      </c>
      <c r="AI13" s="70">
        <f>IF(AI$6&lt;$B13,0,IF(AI$6&gt;$B13+$G$7,0,IF(AI$6=$B13+$G$7,$C13-SUM($H13:AH13),IF(AI$6=$B13,$C13/$G$7/2,$C13/$G$7))))</f>
        <v>0</v>
      </c>
      <c r="AJ13" s="70">
        <f>IF(AJ$6&lt;$B13,0,IF(AJ$6&gt;$B13+$G$7,0,IF(AJ$6=$B13+$G$7,$C13-SUM($H13:AI13),IF(AJ$6=$B13,$C13/$G$7/2,$C13/$G$7))))</f>
        <v>0</v>
      </c>
      <c r="AK13" s="70">
        <f>IF(AK$6&lt;$B13,0,IF(AK$6&gt;$B13+$G$7,0,IF(AK$6=$B13+$G$7,$C13-SUM($H13:AJ13),IF(AK$6=$B13,$C13/$G$7/2,$C13/$G$7))))</f>
        <v>0</v>
      </c>
      <c r="AL13" s="70">
        <f>IF(AL$6&lt;$B13,0,IF(AL$6&gt;$B13+$G$7,0,IF(AL$6=$B13+$G$7,$C13-SUM($H13:AK13),IF(AL$6=$B13,$C13/$G$7/2,$C13/$G$7))))</f>
        <v>0</v>
      </c>
      <c r="AM13" s="70">
        <f>IF(AM$6&lt;$B13,0,IF(AM$6&gt;$B13+$G$7,0,IF(AM$6=$B13+$G$7,$C13-SUM($H13:AL13),IF(AM$6=$B13,$C13/$G$7/2,$C13/$G$7))))</f>
        <v>0</v>
      </c>
      <c r="AN13" s="70">
        <f>IF(AN$6&lt;$B13,0,IF(AN$6&gt;$B13+$G$7,0,IF(AN$6=$B13+$G$7,$C13-SUM($H13:AM13),IF(AN$6=$B13,$C13/$G$7/2,$C13/$G$7))))</f>
        <v>0</v>
      </c>
      <c r="AO13" s="70">
        <f>IF(AO$6&lt;$B13,0,IF(AO$6&gt;$B13+$G$7,0,IF(AO$6=$B13+$G$7,$C13-SUM($H13:AN13),IF(AO$6=$B13,$C13/$G$7/2,$C13/$G$7))))</f>
        <v>0</v>
      </c>
      <c r="AP13" s="70">
        <f>IF(AP$6&lt;$B13,0,IF(AP$6&gt;$B13+$G$7,0,IF(AP$6=$B13+$G$7,$C13-SUM($H13:AO13),IF(AP$6=$B13,$C13/$G$7/2,$C13/$G$7))))</f>
        <v>0</v>
      </c>
      <c r="AQ13" s="70">
        <f>IF(AQ$6&lt;$B13,0,IF(AQ$6&gt;$B13+$G$7,0,IF(AQ$6=$B13+$G$7,$C13-SUM($H13:AP13),IF(AQ$6=$B13,$C13/$G$7/2,$C13/$G$7))))</f>
        <v>0</v>
      </c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</row>
    <row r="14" spans="1:118">
      <c r="B14" s="100">
        <f t="shared" si="3"/>
        <v>2020</v>
      </c>
      <c r="C14" s="97">
        <f>HLOOKUP(Depreciation!B14,Model!$I$72:$AQ$78,7)</f>
        <v>156.25</v>
      </c>
      <c r="E14" s="3" t="str">
        <f t="shared" si="2"/>
        <v>CADmm</v>
      </c>
      <c r="F14" s="3" t="s">
        <v>57</v>
      </c>
      <c r="G14" s="70"/>
      <c r="I14" s="70">
        <f>IF(I$6&lt;$B14,0,IF(I$6&gt;$B14+$G$7,0,IF(I$6=$B14+$G$7,$C14-SUM($H14:H14),IF(I$6=$B14,$C14/$G$7/2,$C14/$G$7))))</f>
        <v>0</v>
      </c>
      <c r="J14" s="70">
        <f>IF(J$6&lt;$B14,0,IF(J$6&gt;$B14+$G$7,0,IF(J$6=$B14+$G$7,$C14-SUM($H14:I14),IF(J$6=$B14,$C14/$G$7/2,$C14/$G$7))))</f>
        <v>0</v>
      </c>
      <c r="K14" s="70">
        <f>IF(K$6&lt;$B14,0,IF(K$6&gt;$B14+$G$7,0,IF(K$6=$B14+$G$7,$C14-SUM($H14:J14),IF(K$6=$B14,$C14/$G$7/2,$C14/$G$7))))</f>
        <v>0</v>
      </c>
      <c r="L14" s="70">
        <f>IF(L$6&lt;$B14,0,IF(L$6&gt;$B14+$G$7,0,IF(L$6=$B14+$G$7,$C14-SUM($H14:K14),IF(L$6=$B14,$C14/$G$7/2,$C14/$G$7))))</f>
        <v>0</v>
      </c>
      <c r="M14" s="70">
        <f>IF(M$6&lt;$B14,0,IF(M$6&gt;$B14+$G$7,0,IF(M$6=$B14+$G$7,$C14-SUM($H14:L14),IF(M$6=$B14,$C14/$G$7/2,$C14/$G$7))))</f>
        <v>3.90625</v>
      </c>
      <c r="N14" s="70">
        <f>IF(N$6&lt;$B14,0,IF(N$6&gt;$B14+$G$7,0,IF(N$6=$B14+$G$7,$C14-SUM($H14:M14),IF(N$6=$B14,$C14/$G$7/2,$C14/$G$7))))</f>
        <v>7.8125</v>
      </c>
      <c r="O14" s="70">
        <f>IF(O$6&lt;$B14,0,IF(O$6&gt;$B14+$G$7,0,IF(O$6=$B14+$G$7,$C14-SUM($H14:N14),IF(O$6=$B14,$C14/$G$7/2,$C14/$G$7))))</f>
        <v>7.8125</v>
      </c>
      <c r="P14" s="70">
        <f>IF(P$6&lt;$B14,0,IF(P$6&gt;$B14+$G$7,0,IF(P$6=$B14+$G$7,$C14-SUM($H14:O14),IF(P$6=$B14,$C14/$G$7/2,$C14/$G$7))))</f>
        <v>7.8125</v>
      </c>
      <c r="Q14" s="70">
        <f>IF(Q$6&lt;$B14,0,IF(Q$6&gt;$B14+$G$7,0,IF(Q$6=$B14+$G$7,$C14-SUM($H14:P14),IF(Q$6=$B14,$C14/$G$7/2,$C14/$G$7))))</f>
        <v>7.8125</v>
      </c>
      <c r="R14" s="70">
        <f>IF(R$6&lt;$B14,0,IF(R$6&gt;$B14+$G$7,0,IF(R$6=$B14+$G$7,$C14-SUM($H14:Q14),IF(R$6=$B14,$C14/$G$7/2,$C14/$G$7))))</f>
        <v>7.8125</v>
      </c>
      <c r="S14" s="70">
        <f>IF(S$6&lt;$B14,0,IF(S$6&gt;$B14+$G$7,0,IF(S$6=$B14+$G$7,$C14-SUM($H14:R14),IF(S$6=$B14,$C14/$G$7/2,$C14/$G$7))))</f>
        <v>7.8125</v>
      </c>
      <c r="T14" s="70">
        <f>IF(T$6&lt;$B14,0,IF(T$6&gt;$B14+$G$7,0,IF(T$6=$B14+$G$7,$C14-SUM($H14:S14),IF(T$6=$B14,$C14/$G$7/2,$C14/$G$7))))</f>
        <v>7.8125</v>
      </c>
      <c r="U14" s="70">
        <f>IF(U$6&lt;$B14,0,IF(U$6&gt;$B14+$G$7,0,IF(U$6=$B14+$G$7,$C14-SUM($H14:T14),IF(U$6=$B14,$C14/$G$7/2,$C14/$G$7))))</f>
        <v>7.8125</v>
      </c>
      <c r="V14" s="70">
        <f>IF(V$6&lt;$B14,0,IF(V$6&gt;$B14+$G$7,0,IF(V$6=$B14+$G$7,$C14-SUM($H14:U14),IF(V$6=$B14,$C14/$G$7/2,$C14/$G$7))))</f>
        <v>7.8125</v>
      </c>
      <c r="W14" s="70">
        <f>IF(W$6&lt;$B14,0,IF(W$6&gt;$B14+$G$7,0,IF(W$6=$B14+$G$7,$C14-SUM($H14:V14),IF(W$6=$B14,$C14/$G$7/2,$C14/$G$7))))</f>
        <v>7.8125</v>
      </c>
      <c r="X14" s="70">
        <f>IF(X$6&lt;$B14,0,IF(X$6&gt;$B14+$G$7,0,IF(X$6=$B14+$G$7,$C14-SUM($H14:W14),IF(X$6=$B14,$C14/$G$7/2,$C14/$G$7))))</f>
        <v>7.8125</v>
      </c>
      <c r="Y14" s="70">
        <f>IF(Y$6&lt;$B14,0,IF(Y$6&gt;$B14+$G$7,0,IF(Y$6=$B14+$G$7,$C14-SUM($H14:X14),IF(Y$6=$B14,$C14/$G$7/2,$C14/$G$7))))</f>
        <v>7.8125</v>
      </c>
      <c r="Z14" s="70">
        <f>IF(Z$6&lt;$B14,0,IF(Z$6&gt;$B14+$G$7,0,IF(Z$6=$B14+$G$7,$C14-SUM($H14:Y14),IF(Z$6=$B14,$C14/$G$7/2,$C14/$G$7))))</f>
        <v>7.8125</v>
      </c>
      <c r="AA14" s="70">
        <f>IF(AA$6&lt;$B14,0,IF(AA$6&gt;$B14+$G$7,0,IF(AA$6=$B14+$G$7,$C14-SUM($H14:Z14),IF(AA$6=$B14,$C14/$G$7/2,$C14/$G$7))))</f>
        <v>7.8125</v>
      </c>
      <c r="AB14" s="70">
        <f>IF(AB$6&lt;$B14,0,IF(AB$6&gt;$B14+$G$7,0,IF(AB$6=$B14+$G$7,$C14-SUM($H14:AA14),IF(AB$6=$B14,$C14/$G$7/2,$C14/$G$7))))</f>
        <v>7.8125</v>
      </c>
      <c r="AC14" s="70">
        <f>IF(AC$6&lt;$B14,0,IF(AC$6&gt;$B14+$G$7,0,IF(AC$6=$B14+$G$7,$C14-SUM($H14:AB14),IF(AC$6=$B14,$C14/$G$7/2,$C14/$G$7))))</f>
        <v>7.8125</v>
      </c>
      <c r="AD14" s="70">
        <f>IF(AD$6&lt;$B14,0,IF(AD$6&gt;$B14+$G$7,0,IF(AD$6=$B14+$G$7,$C14-SUM($H14:AC14),IF(AD$6=$B14,$C14/$G$7/2,$C14/$G$7))))</f>
        <v>7.8125</v>
      </c>
      <c r="AE14" s="70">
        <f>IF(AE$6&lt;$B14,0,IF(AE$6&gt;$B14+$G$7,0,IF(AE$6=$B14+$G$7,$C14-SUM($H14:AD14),IF(AE$6=$B14,$C14/$G$7/2,$C14/$G$7))))</f>
        <v>7.8125</v>
      </c>
      <c r="AF14" s="70">
        <f>IF(AF$6&lt;$B14,0,IF(AF$6&gt;$B14+$G$7,0,IF(AF$6=$B14+$G$7,$C14-SUM($H14:AE14),IF(AF$6=$B14,$C14/$G$7/2,$C14/$G$7))))</f>
        <v>7.8125</v>
      </c>
      <c r="AG14" s="70">
        <f>IF(AG$6&lt;$B14,0,IF(AG$6&gt;$B14+$G$7,0,IF(AG$6=$B14+$G$7,$C14-SUM($H14:AF14),IF(AG$6=$B14,$C14/$G$7/2,$C14/$G$7))))</f>
        <v>3.90625</v>
      </c>
      <c r="AH14" s="70">
        <f>IF(AH$6&lt;$B14,0,IF(AH$6&gt;$B14+$G$7,0,IF(AH$6=$B14+$G$7,$C14-SUM($H14:AG14),IF(AH$6=$B14,$C14/$G$7/2,$C14/$G$7))))</f>
        <v>0</v>
      </c>
      <c r="AI14" s="70">
        <f>IF(AI$6&lt;$B14,0,IF(AI$6&gt;$B14+$G$7,0,IF(AI$6=$B14+$G$7,$C14-SUM($H14:AH14),IF(AI$6=$B14,$C14/$G$7/2,$C14/$G$7))))</f>
        <v>0</v>
      </c>
      <c r="AJ14" s="70">
        <f>IF(AJ$6&lt;$B14,0,IF(AJ$6&gt;$B14+$G$7,0,IF(AJ$6=$B14+$G$7,$C14-SUM($H14:AI14),IF(AJ$6=$B14,$C14/$G$7/2,$C14/$G$7))))</f>
        <v>0</v>
      </c>
      <c r="AK14" s="70">
        <f>IF(AK$6&lt;$B14,0,IF(AK$6&gt;$B14+$G$7,0,IF(AK$6=$B14+$G$7,$C14-SUM($H14:AJ14),IF(AK$6=$B14,$C14/$G$7/2,$C14/$G$7))))</f>
        <v>0</v>
      </c>
      <c r="AL14" s="70">
        <f>IF(AL$6&lt;$B14,0,IF(AL$6&gt;$B14+$G$7,0,IF(AL$6=$B14+$G$7,$C14-SUM($H14:AK14),IF(AL$6=$B14,$C14/$G$7/2,$C14/$G$7))))</f>
        <v>0</v>
      </c>
      <c r="AM14" s="70">
        <f>IF(AM$6&lt;$B14,0,IF(AM$6&gt;$B14+$G$7,0,IF(AM$6=$B14+$G$7,$C14-SUM($H14:AL14),IF(AM$6=$B14,$C14/$G$7/2,$C14/$G$7))))</f>
        <v>0</v>
      </c>
      <c r="AN14" s="70">
        <f>IF(AN$6&lt;$B14,0,IF(AN$6&gt;$B14+$G$7,0,IF(AN$6=$B14+$G$7,$C14-SUM($H14:AM14),IF(AN$6=$B14,$C14/$G$7/2,$C14/$G$7))))</f>
        <v>0</v>
      </c>
      <c r="AO14" s="70">
        <f>IF(AO$6&lt;$B14,0,IF(AO$6&gt;$B14+$G$7,0,IF(AO$6=$B14+$G$7,$C14-SUM($H14:AN14),IF(AO$6=$B14,$C14/$G$7/2,$C14/$G$7))))</f>
        <v>0</v>
      </c>
      <c r="AP14" s="70">
        <f>IF(AP$6&lt;$B14,0,IF(AP$6&gt;$B14+$G$7,0,IF(AP$6=$B14+$G$7,$C14-SUM($H14:AO14),IF(AP$6=$B14,$C14/$G$7/2,$C14/$G$7))))</f>
        <v>0</v>
      </c>
      <c r="AQ14" s="70">
        <f>IF(AQ$6&lt;$B14,0,IF(AQ$6&gt;$B14+$G$7,0,IF(AQ$6=$B14+$G$7,$C14-SUM($H14:AP14),IF(AQ$6=$B14,$C14/$G$7/2,$C14/$G$7))))</f>
        <v>0</v>
      </c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</row>
    <row r="15" spans="1:118">
      <c r="B15" s="100">
        <f t="shared" si="3"/>
        <v>2021</v>
      </c>
      <c r="C15" s="97">
        <f>HLOOKUP(Depreciation!B15,Model!$I$72:$AQ$78,7)</f>
        <v>156.25</v>
      </c>
      <c r="E15" s="3" t="str">
        <f t="shared" si="2"/>
        <v>CADmm</v>
      </c>
      <c r="F15" s="3" t="s">
        <v>57</v>
      </c>
      <c r="G15" s="70"/>
      <c r="I15" s="70">
        <f>IF(I$6&lt;$B15,0,IF(I$6&gt;$B15+$G$7,0,IF(I$6=$B15+$G$7,$C15-SUM($H15:H15),IF(I$6=$B15,$C15/$G$7/2,$C15/$G$7))))</f>
        <v>0</v>
      </c>
      <c r="J15" s="70">
        <f>IF(J$6&lt;$B15,0,IF(J$6&gt;$B15+$G$7,0,IF(J$6=$B15+$G$7,$C15-SUM($H15:I15),IF(J$6=$B15,$C15/$G$7/2,$C15/$G$7))))</f>
        <v>0</v>
      </c>
      <c r="K15" s="70">
        <f>IF(K$6&lt;$B15,0,IF(K$6&gt;$B15+$G$7,0,IF(K$6=$B15+$G$7,$C15-SUM($H15:J15),IF(K$6=$B15,$C15/$G$7/2,$C15/$G$7))))</f>
        <v>0</v>
      </c>
      <c r="L15" s="70">
        <f>IF(L$6&lt;$B15,0,IF(L$6&gt;$B15+$G$7,0,IF(L$6=$B15+$G$7,$C15-SUM($H15:K15),IF(L$6=$B15,$C15/$G$7/2,$C15/$G$7))))</f>
        <v>0</v>
      </c>
      <c r="M15" s="70">
        <f>IF(M$6&lt;$B15,0,IF(M$6&gt;$B15+$G$7,0,IF(M$6=$B15+$G$7,$C15-SUM($H15:L15),IF(M$6=$B15,$C15/$G$7/2,$C15/$G$7))))</f>
        <v>0</v>
      </c>
      <c r="N15" s="70">
        <f>IF(N$6&lt;$B15,0,IF(N$6&gt;$B15+$G$7,0,IF(N$6=$B15+$G$7,$C15-SUM($H15:M15),IF(N$6=$B15,$C15/$G$7/2,$C15/$G$7))))</f>
        <v>3.90625</v>
      </c>
      <c r="O15" s="70">
        <f>IF(O$6&lt;$B15,0,IF(O$6&gt;$B15+$G$7,0,IF(O$6=$B15+$G$7,$C15-SUM($H15:N15),IF(O$6=$B15,$C15/$G$7/2,$C15/$G$7))))</f>
        <v>7.8125</v>
      </c>
      <c r="P15" s="70">
        <f>IF(P$6&lt;$B15,0,IF(P$6&gt;$B15+$G$7,0,IF(P$6=$B15+$G$7,$C15-SUM($H15:O15),IF(P$6=$B15,$C15/$G$7/2,$C15/$G$7))))</f>
        <v>7.8125</v>
      </c>
      <c r="Q15" s="70">
        <f>IF(Q$6&lt;$B15,0,IF(Q$6&gt;$B15+$G$7,0,IF(Q$6=$B15+$G$7,$C15-SUM($H15:P15),IF(Q$6=$B15,$C15/$G$7/2,$C15/$G$7))))</f>
        <v>7.8125</v>
      </c>
      <c r="R15" s="70">
        <f>IF(R$6&lt;$B15,0,IF(R$6&gt;$B15+$G$7,0,IF(R$6=$B15+$G$7,$C15-SUM($H15:Q15),IF(R$6=$B15,$C15/$G$7/2,$C15/$G$7))))</f>
        <v>7.8125</v>
      </c>
      <c r="S15" s="70">
        <f>IF(S$6&lt;$B15,0,IF(S$6&gt;$B15+$G$7,0,IF(S$6=$B15+$G$7,$C15-SUM($H15:R15),IF(S$6=$B15,$C15/$G$7/2,$C15/$G$7))))</f>
        <v>7.8125</v>
      </c>
      <c r="T15" s="70">
        <f>IF(T$6&lt;$B15,0,IF(T$6&gt;$B15+$G$7,0,IF(T$6=$B15+$G$7,$C15-SUM($H15:S15),IF(T$6=$B15,$C15/$G$7/2,$C15/$G$7))))</f>
        <v>7.8125</v>
      </c>
      <c r="U15" s="70">
        <f>IF(U$6&lt;$B15,0,IF(U$6&gt;$B15+$G$7,0,IF(U$6=$B15+$G$7,$C15-SUM($H15:T15),IF(U$6=$B15,$C15/$G$7/2,$C15/$G$7))))</f>
        <v>7.8125</v>
      </c>
      <c r="V15" s="70">
        <f>IF(V$6&lt;$B15,0,IF(V$6&gt;$B15+$G$7,0,IF(V$6=$B15+$G$7,$C15-SUM($H15:U15),IF(V$6=$B15,$C15/$G$7/2,$C15/$G$7))))</f>
        <v>7.8125</v>
      </c>
      <c r="W15" s="70">
        <f>IF(W$6&lt;$B15,0,IF(W$6&gt;$B15+$G$7,0,IF(W$6=$B15+$G$7,$C15-SUM($H15:V15),IF(W$6=$B15,$C15/$G$7/2,$C15/$G$7))))</f>
        <v>7.8125</v>
      </c>
      <c r="X15" s="70">
        <f>IF(X$6&lt;$B15,0,IF(X$6&gt;$B15+$G$7,0,IF(X$6=$B15+$G$7,$C15-SUM($H15:W15),IF(X$6=$B15,$C15/$G$7/2,$C15/$G$7))))</f>
        <v>7.8125</v>
      </c>
      <c r="Y15" s="70">
        <f>IF(Y$6&lt;$B15,0,IF(Y$6&gt;$B15+$G$7,0,IF(Y$6=$B15+$G$7,$C15-SUM($H15:X15),IF(Y$6=$B15,$C15/$G$7/2,$C15/$G$7))))</f>
        <v>7.8125</v>
      </c>
      <c r="Z15" s="70">
        <f>IF(Z$6&lt;$B15,0,IF(Z$6&gt;$B15+$G$7,0,IF(Z$6=$B15+$G$7,$C15-SUM($H15:Y15),IF(Z$6=$B15,$C15/$G$7/2,$C15/$G$7))))</f>
        <v>7.8125</v>
      </c>
      <c r="AA15" s="70">
        <f>IF(AA$6&lt;$B15,0,IF(AA$6&gt;$B15+$G$7,0,IF(AA$6=$B15+$G$7,$C15-SUM($H15:Z15),IF(AA$6=$B15,$C15/$G$7/2,$C15/$G$7))))</f>
        <v>7.8125</v>
      </c>
      <c r="AB15" s="70">
        <f>IF(AB$6&lt;$B15,0,IF(AB$6&gt;$B15+$G$7,0,IF(AB$6=$B15+$G$7,$C15-SUM($H15:AA15),IF(AB$6=$B15,$C15/$G$7/2,$C15/$G$7))))</f>
        <v>7.8125</v>
      </c>
      <c r="AC15" s="70">
        <f>IF(AC$6&lt;$B15,0,IF(AC$6&gt;$B15+$G$7,0,IF(AC$6=$B15+$G$7,$C15-SUM($H15:AB15),IF(AC$6=$B15,$C15/$G$7/2,$C15/$G$7))))</f>
        <v>7.8125</v>
      </c>
      <c r="AD15" s="70">
        <f>IF(AD$6&lt;$B15,0,IF(AD$6&gt;$B15+$G$7,0,IF(AD$6=$B15+$G$7,$C15-SUM($H15:AC15),IF(AD$6=$B15,$C15/$G$7/2,$C15/$G$7))))</f>
        <v>7.8125</v>
      </c>
      <c r="AE15" s="70">
        <f>IF(AE$6&lt;$B15,0,IF(AE$6&gt;$B15+$G$7,0,IF(AE$6=$B15+$G$7,$C15-SUM($H15:AD15),IF(AE$6=$B15,$C15/$G$7/2,$C15/$G$7))))</f>
        <v>7.8125</v>
      </c>
      <c r="AF15" s="70">
        <f>IF(AF$6&lt;$B15,0,IF(AF$6&gt;$B15+$G$7,0,IF(AF$6=$B15+$G$7,$C15-SUM($H15:AE15),IF(AF$6=$B15,$C15/$G$7/2,$C15/$G$7))))</f>
        <v>7.8125</v>
      </c>
      <c r="AG15" s="70">
        <f>IF(AG$6&lt;$B15,0,IF(AG$6&gt;$B15+$G$7,0,IF(AG$6=$B15+$G$7,$C15-SUM($H15:AF15),IF(AG$6=$B15,$C15/$G$7/2,$C15/$G$7))))</f>
        <v>7.8125</v>
      </c>
      <c r="AH15" s="70">
        <f>IF(AH$6&lt;$B15,0,IF(AH$6&gt;$B15+$G$7,0,IF(AH$6=$B15+$G$7,$C15-SUM($H15:AG15),IF(AH$6=$B15,$C15/$G$7/2,$C15/$G$7))))</f>
        <v>3.90625</v>
      </c>
      <c r="AI15" s="70">
        <f>IF(AI$6&lt;$B15,0,IF(AI$6&gt;$B15+$G$7,0,IF(AI$6=$B15+$G$7,$C15-SUM($H15:AH15),IF(AI$6=$B15,$C15/$G$7/2,$C15/$G$7))))</f>
        <v>0</v>
      </c>
      <c r="AJ15" s="70">
        <f>IF(AJ$6&lt;$B15,0,IF(AJ$6&gt;$B15+$G$7,0,IF(AJ$6=$B15+$G$7,$C15-SUM($H15:AI15),IF(AJ$6=$B15,$C15/$G$7/2,$C15/$G$7))))</f>
        <v>0</v>
      </c>
      <c r="AK15" s="70">
        <f>IF(AK$6&lt;$B15,0,IF(AK$6&gt;$B15+$G$7,0,IF(AK$6=$B15+$G$7,$C15-SUM($H15:AJ15),IF(AK$6=$B15,$C15/$G$7/2,$C15/$G$7))))</f>
        <v>0</v>
      </c>
      <c r="AL15" s="70">
        <f>IF(AL$6&lt;$B15,0,IF(AL$6&gt;$B15+$G$7,0,IF(AL$6=$B15+$G$7,$C15-SUM($H15:AK15),IF(AL$6=$B15,$C15/$G$7/2,$C15/$G$7))))</f>
        <v>0</v>
      </c>
      <c r="AM15" s="70">
        <f>IF(AM$6&lt;$B15,0,IF(AM$6&gt;$B15+$G$7,0,IF(AM$6=$B15+$G$7,$C15-SUM($H15:AL15),IF(AM$6=$B15,$C15/$G$7/2,$C15/$G$7))))</f>
        <v>0</v>
      </c>
      <c r="AN15" s="70">
        <f>IF(AN$6&lt;$B15,0,IF(AN$6&gt;$B15+$G$7,0,IF(AN$6=$B15+$G$7,$C15-SUM($H15:AM15),IF(AN$6=$B15,$C15/$G$7/2,$C15/$G$7))))</f>
        <v>0</v>
      </c>
      <c r="AO15" s="70">
        <f>IF(AO$6&lt;$B15,0,IF(AO$6&gt;$B15+$G$7,0,IF(AO$6=$B15+$G$7,$C15-SUM($H15:AN15),IF(AO$6=$B15,$C15/$G$7/2,$C15/$G$7))))</f>
        <v>0</v>
      </c>
      <c r="AP15" s="70">
        <f>IF(AP$6&lt;$B15,0,IF(AP$6&gt;$B15+$G$7,0,IF(AP$6=$B15+$G$7,$C15-SUM($H15:AO15),IF(AP$6=$B15,$C15/$G$7/2,$C15/$G$7))))</f>
        <v>0</v>
      </c>
      <c r="AQ15" s="70">
        <f>IF(AQ$6&lt;$B15,0,IF(AQ$6&gt;$B15+$G$7,0,IF(AQ$6=$B15+$G$7,$C15-SUM($H15:AP15),IF(AQ$6=$B15,$C15/$G$7/2,$C15/$G$7))))</f>
        <v>0</v>
      </c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</row>
    <row r="16" spans="1:118">
      <c r="B16" s="100">
        <f t="shared" si="3"/>
        <v>2022</v>
      </c>
      <c r="C16" s="97">
        <f>HLOOKUP(Depreciation!B16,Model!$I$72:$AQ$78,7)</f>
        <v>156.25</v>
      </c>
      <c r="E16" s="3" t="str">
        <f t="shared" si="2"/>
        <v>CADmm</v>
      </c>
      <c r="F16" s="3" t="s">
        <v>57</v>
      </c>
      <c r="G16" s="70"/>
      <c r="I16" s="70">
        <f>IF(I$6&lt;$B16,0,IF(I$6&gt;$B16+$G$7,0,IF(I$6=$B16+$G$7,$C16-SUM($H16:H16),IF(I$6=$B16,$C16/$G$7/2,$C16/$G$7))))</f>
        <v>0</v>
      </c>
      <c r="J16" s="70">
        <f>IF(J$6&lt;$B16,0,IF(J$6&gt;$B16+$G$7,0,IF(J$6=$B16+$G$7,$C16-SUM($H16:I16),IF(J$6=$B16,$C16/$G$7/2,$C16/$G$7))))</f>
        <v>0</v>
      </c>
      <c r="K16" s="70">
        <f>IF(K$6&lt;$B16,0,IF(K$6&gt;$B16+$G$7,0,IF(K$6=$B16+$G$7,$C16-SUM($H16:J16),IF(K$6=$B16,$C16/$G$7/2,$C16/$G$7))))</f>
        <v>0</v>
      </c>
      <c r="L16" s="70">
        <f>IF(L$6&lt;$B16,0,IF(L$6&gt;$B16+$G$7,0,IF(L$6=$B16+$G$7,$C16-SUM($H16:K16),IF(L$6=$B16,$C16/$G$7/2,$C16/$G$7))))</f>
        <v>0</v>
      </c>
      <c r="M16" s="70">
        <f>IF(M$6&lt;$B16,0,IF(M$6&gt;$B16+$G$7,0,IF(M$6=$B16+$G$7,$C16-SUM($H16:L16),IF(M$6=$B16,$C16/$G$7/2,$C16/$G$7))))</f>
        <v>0</v>
      </c>
      <c r="N16" s="70">
        <f>IF(N$6&lt;$B16,0,IF(N$6&gt;$B16+$G$7,0,IF(N$6=$B16+$G$7,$C16-SUM($H16:M16),IF(N$6=$B16,$C16/$G$7/2,$C16/$G$7))))</f>
        <v>0</v>
      </c>
      <c r="O16" s="70">
        <f>IF(O$6&lt;$B16,0,IF(O$6&gt;$B16+$G$7,0,IF(O$6=$B16+$G$7,$C16-SUM($H16:N16),IF(O$6=$B16,$C16/$G$7/2,$C16/$G$7))))</f>
        <v>3.90625</v>
      </c>
      <c r="P16" s="70">
        <f>IF(P$6&lt;$B16,0,IF(P$6&gt;$B16+$G$7,0,IF(P$6=$B16+$G$7,$C16-SUM($H16:O16),IF(P$6=$B16,$C16/$G$7/2,$C16/$G$7))))</f>
        <v>7.8125</v>
      </c>
      <c r="Q16" s="70">
        <f>IF(Q$6&lt;$B16,0,IF(Q$6&gt;$B16+$G$7,0,IF(Q$6=$B16+$G$7,$C16-SUM($H16:P16),IF(Q$6=$B16,$C16/$G$7/2,$C16/$G$7))))</f>
        <v>7.8125</v>
      </c>
      <c r="R16" s="70">
        <f>IF(R$6&lt;$B16,0,IF(R$6&gt;$B16+$G$7,0,IF(R$6=$B16+$G$7,$C16-SUM($H16:Q16),IF(R$6=$B16,$C16/$G$7/2,$C16/$G$7))))</f>
        <v>7.8125</v>
      </c>
      <c r="S16" s="70">
        <f>IF(S$6&lt;$B16,0,IF(S$6&gt;$B16+$G$7,0,IF(S$6=$B16+$G$7,$C16-SUM($H16:R16),IF(S$6=$B16,$C16/$G$7/2,$C16/$G$7))))</f>
        <v>7.8125</v>
      </c>
      <c r="T16" s="70">
        <f>IF(T$6&lt;$B16,0,IF(T$6&gt;$B16+$G$7,0,IF(T$6=$B16+$G$7,$C16-SUM($H16:S16),IF(T$6=$B16,$C16/$G$7/2,$C16/$G$7))))</f>
        <v>7.8125</v>
      </c>
      <c r="U16" s="70">
        <f>IF(U$6&lt;$B16,0,IF(U$6&gt;$B16+$G$7,0,IF(U$6=$B16+$G$7,$C16-SUM($H16:T16),IF(U$6=$B16,$C16/$G$7/2,$C16/$G$7))))</f>
        <v>7.8125</v>
      </c>
      <c r="V16" s="70">
        <f>IF(V$6&lt;$B16,0,IF(V$6&gt;$B16+$G$7,0,IF(V$6=$B16+$G$7,$C16-SUM($H16:U16),IF(V$6=$B16,$C16/$G$7/2,$C16/$G$7))))</f>
        <v>7.8125</v>
      </c>
      <c r="W16" s="70">
        <f>IF(W$6&lt;$B16,0,IF(W$6&gt;$B16+$G$7,0,IF(W$6=$B16+$G$7,$C16-SUM($H16:V16),IF(W$6=$B16,$C16/$G$7/2,$C16/$G$7))))</f>
        <v>7.8125</v>
      </c>
      <c r="X16" s="70">
        <f>IF(X$6&lt;$B16,0,IF(X$6&gt;$B16+$G$7,0,IF(X$6=$B16+$G$7,$C16-SUM($H16:W16),IF(X$6=$B16,$C16/$G$7/2,$C16/$G$7))))</f>
        <v>7.8125</v>
      </c>
      <c r="Y16" s="70">
        <f>IF(Y$6&lt;$B16,0,IF(Y$6&gt;$B16+$G$7,0,IF(Y$6=$B16+$G$7,$C16-SUM($H16:X16),IF(Y$6=$B16,$C16/$G$7/2,$C16/$G$7))))</f>
        <v>7.8125</v>
      </c>
      <c r="Z16" s="70">
        <f>IF(Z$6&lt;$B16,0,IF(Z$6&gt;$B16+$G$7,0,IF(Z$6=$B16+$G$7,$C16-SUM($H16:Y16),IF(Z$6=$B16,$C16/$G$7/2,$C16/$G$7))))</f>
        <v>7.8125</v>
      </c>
      <c r="AA16" s="70">
        <f>IF(AA$6&lt;$B16,0,IF(AA$6&gt;$B16+$G$7,0,IF(AA$6=$B16+$G$7,$C16-SUM($H16:Z16),IF(AA$6=$B16,$C16/$G$7/2,$C16/$G$7))))</f>
        <v>7.8125</v>
      </c>
      <c r="AB16" s="70">
        <f>IF(AB$6&lt;$B16,0,IF(AB$6&gt;$B16+$G$7,0,IF(AB$6=$B16+$G$7,$C16-SUM($H16:AA16),IF(AB$6=$B16,$C16/$G$7/2,$C16/$G$7))))</f>
        <v>7.8125</v>
      </c>
      <c r="AC16" s="70">
        <f>IF(AC$6&lt;$B16,0,IF(AC$6&gt;$B16+$G$7,0,IF(AC$6=$B16+$G$7,$C16-SUM($H16:AB16),IF(AC$6=$B16,$C16/$G$7/2,$C16/$G$7))))</f>
        <v>7.8125</v>
      </c>
      <c r="AD16" s="70">
        <f>IF(AD$6&lt;$B16,0,IF(AD$6&gt;$B16+$G$7,0,IF(AD$6=$B16+$G$7,$C16-SUM($H16:AC16),IF(AD$6=$B16,$C16/$G$7/2,$C16/$G$7))))</f>
        <v>7.8125</v>
      </c>
      <c r="AE16" s="70">
        <f>IF(AE$6&lt;$B16,0,IF(AE$6&gt;$B16+$G$7,0,IF(AE$6=$B16+$G$7,$C16-SUM($H16:AD16),IF(AE$6=$B16,$C16/$G$7/2,$C16/$G$7))))</f>
        <v>7.8125</v>
      </c>
      <c r="AF16" s="70">
        <f>IF(AF$6&lt;$B16,0,IF(AF$6&gt;$B16+$G$7,0,IF(AF$6=$B16+$G$7,$C16-SUM($H16:AE16),IF(AF$6=$B16,$C16/$G$7/2,$C16/$G$7))))</f>
        <v>7.8125</v>
      </c>
      <c r="AG16" s="70">
        <f>IF(AG$6&lt;$B16,0,IF(AG$6&gt;$B16+$G$7,0,IF(AG$6=$B16+$G$7,$C16-SUM($H16:AF16),IF(AG$6=$B16,$C16/$G$7/2,$C16/$G$7))))</f>
        <v>7.8125</v>
      </c>
      <c r="AH16" s="70">
        <f>IF(AH$6&lt;$B16,0,IF(AH$6&gt;$B16+$G$7,0,IF(AH$6=$B16+$G$7,$C16-SUM($H16:AG16),IF(AH$6=$B16,$C16/$G$7/2,$C16/$G$7))))</f>
        <v>7.8125</v>
      </c>
      <c r="AI16" s="70">
        <f>IF(AI$6&lt;$B16,0,IF(AI$6&gt;$B16+$G$7,0,IF(AI$6=$B16+$G$7,$C16-SUM($H16:AH16),IF(AI$6=$B16,$C16/$G$7/2,$C16/$G$7))))</f>
        <v>3.90625</v>
      </c>
      <c r="AJ16" s="70">
        <f>IF(AJ$6&lt;$B16,0,IF(AJ$6&gt;$B16+$G$7,0,IF(AJ$6=$B16+$G$7,$C16-SUM($H16:AI16),IF(AJ$6=$B16,$C16/$G$7/2,$C16/$G$7))))</f>
        <v>0</v>
      </c>
      <c r="AK16" s="70">
        <f>IF(AK$6&lt;$B16,0,IF(AK$6&gt;$B16+$G$7,0,IF(AK$6=$B16+$G$7,$C16-SUM($H16:AJ16),IF(AK$6=$B16,$C16/$G$7/2,$C16/$G$7))))</f>
        <v>0</v>
      </c>
      <c r="AL16" s="70">
        <f>IF(AL$6&lt;$B16,0,IF(AL$6&gt;$B16+$G$7,0,IF(AL$6=$B16+$G$7,$C16-SUM($H16:AK16),IF(AL$6=$B16,$C16/$G$7/2,$C16/$G$7))))</f>
        <v>0</v>
      </c>
      <c r="AM16" s="70">
        <f>IF(AM$6&lt;$B16,0,IF(AM$6&gt;$B16+$G$7,0,IF(AM$6=$B16+$G$7,$C16-SUM($H16:AL16),IF(AM$6=$B16,$C16/$G$7/2,$C16/$G$7))))</f>
        <v>0</v>
      </c>
      <c r="AN16" s="70">
        <f>IF(AN$6&lt;$B16,0,IF(AN$6&gt;$B16+$G$7,0,IF(AN$6=$B16+$G$7,$C16-SUM($H16:AM16),IF(AN$6=$B16,$C16/$G$7/2,$C16/$G$7))))</f>
        <v>0</v>
      </c>
      <c r="AO16" s="70">
        <f>IF(AO$6&lt;$B16,0,IF(AO$6&gt;$B16+$G$7,0,IF(AO$6=$B16+$G$7,$C16-SUM($H16:AN16),IF(AO$6=$B16,$C16/$G$7/2,$C16/$G$7))))</f>
        <v>0</v>
      </c>
      <c r="AP16" s="70">
        <f>IF(AP$6&lt;$B16,0,IF(AP$6&gt;$B16+$G$7,0,IF(AP$6=$B16+$G$7,$C16-SUM($H16:AO16),IF(AP$6=$B16,$C16/$G$7/2,$C16/$G$7))))</f>
        <v>0</v>
      </c>
      <c r="AQ16" s="70">
        <f>IF(AQ$6&lt;$B16,0,IF(AQ$6&gt;$B16+$G$7,0,IF(AQ$6=$B16+$G$7,$C16-SUM($H16:AP16),IF(AQ$6=$B16,$C16/$G$7/2,$C16/$G$7))))</f>
        <v>0</v>
      </c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</row>
    <row r="17" spans="2:55">
      <c r="B17" s="100">
        <f t="shared" si="3"/>
        <v>2023</v>
      </c>
      <c r="C17" s="97">
        <f>HLOOKUP(Depreciation!B17,Model!$I$72:$AQ$78,7)</f>
        <v>156.25</v>
      </c>
      <c r="E17" s="3" t="str">
        <f t="shared" si="2"/>
        <v>CADmm</v>
      </c>
      <c r="F17" s="3" t="s">
        <v>57</v>
      </c>
      <c r="G17" s="70"/>
      <c r="I17" s="70">
        <f>IF(I$6&lt;$B17,0,IF(I$6&gt;$B17+$G$7,0,IF(I$6=$B17+$G$7,$C17-SUM($H17:H17),IF(I$6=$B17,$C17/$G$7/2,$C17/$G$7))))</f>
        <v>0</v>
      </c>
      <c r="J17" s="70">
        <f>IF(J$6&lt;$B17,0,IF(J$6&gt;$B17+$G$7,0,IF(J$6=$B17+$G$7,$C17-SUM($H17:I17),IF(J$6=$B17,$C17/$G$7/2,$C17/$G$7))))</f>
        <v>0</v>
      </c>
      <c r="K17" s="70">
        <f>IF(K$6&lt;$B17,0,IF(K$6&gt;$B17+$G$7,0,IF(K$6=$B17+$G$7,$C17-SUM($H17:J17),IF(K$6=$B17,$C17/$G$7/2,$C17/$G$7))))</f>
        <v>0</v>
      </c>
      <c r="L17" s="70">
        <f>IF(L$6&lt;$B17,0,IF(L$6&gt;$B17+$G$7,0,IF(L$6=$B17+$G$7,$C17-SUM($H17:K17),IF(L$6=$B17,$C17/$G$7/2,$C17/$G$7))))</f>
        <v>0</v>
      </c>
      <c r="M17" s="70">
        <f>IF(M$6&lt;$B17,0,IF(M$6&gt;$B17+$G$7,0,IF(M$6=$B17+$G$7,$C17-SUM($H17:L17),IF(M$6=$B17,$C17/$G$7/2,$C17/$G$7))))</f>
        <v>0</v>
      </c>
      <c r="N17" s="70">
        <f>IF(N$6&lt;$B17,0,IF(N$6&gt;$B17+$G$7,0,IF(N$6=$B17+$G$7,$C17-SUM($H17:M17),IF(N$6=$B17,$C17/$G$7/2,$C17/$G$7))))</f>
        <v>0</v>
      </c>
      <c r="O17" s="70">
        <f>IF(O$6&lt;$B17,0,IF(O$6&gt;$B17+$G$7,0,IF(O$6=$B17+$G$7,$C17-SUM($H17:N17),IF(O$6=$B17,$C17/$G$7/2,$C17/$G$7))))</f>
        <v>0</v>
      </c>
      <c r="P17" s="70">
        <f>IF(P$6&lt;$B17,0,IF(P$6&gt;$B17+$G$7,0,IF(P$6=$B17+$G$7,$C17-SUM($H17:O17),IF(P$6=$B17,$C17/$G$7/2,$C17/$G$7))))</f>
        <v>3.90625</v>
      </c>
      <c r="Q17" s="70">
        <f>IF(Q$6&lt;$B17,0,IF(Q$6&gt;$B17+$G$7,0,IF(Q$6=$B17+$G$7,$C17-SUM($H17:P17),IF(Q$6=$B17,$C17/$G$7/2,$C17/$G$7))))</f>
        <v>7.8125</v>
      </c>
      <c r="R17" s="70">
        <f>IF(R$6&lt;$B17,0,IF(R$6&gt;$B17+$G$7,0,IF(R$6=$B17+$G$7,$C17-SUM($H17:Q17),IF(R$6=$B17,$C17/$G$7/2,$C17/$G$7))))</f>
        <v>7.8125</v>
      </c>
      <c r="S17" s="70">
        <f>IF(S$6&lt;$B17,0,IF(S$6&gt;$B17+$G$7,0,IF(S$6=$B17+$G$7,$C17-SUM($H17:R17),IF(S$6=$B17,$C17/$G$7/2,$C17/$G$7))))</f>
        <v>7.8125</v>
      </c>
      <c r="T17" s="70">
        <f>IF(T$6&lt;$B17,0,IF(T$6&gt;$B17+$G$7,0,IF(T$6=$B17+$G$7,$C17-SUM($H17:S17),IF(T$6=$B17,$C17/$G$7/2,$C17/$G$7))))</f>
        <v>7.8125</v>
      </c>
      <c r="U17" s="70">
        <f>IF(U$6&lt;$B17,0,IF(U$6&gt;$B17+$G$7,0,IF(U$6=$B17+$G$7,$C17-SUM($H17:T17),IF(U$6=$B17,$C17/$G$7/2,$C17/$G$7))))</f>
        <v>7.8125</v>
      </c>
      <c r="V17" s="70">
        <f>IF(V$6&lt;$B17,0,IF(V$6&gt;$B17+$G$7,0,IF(V$6=$B17+$G$7,$C17-SUM($H17:U17),IF(V$6=$B17,$C17/$G$7/2,$C17/$G$7))))</f>
        <v>7.8125</v>
      </c>
      <c r="W17" s="70">
        <f>IF(W$6&lt;$B17,0,IF(W$6&gt;$B17+$G$7,0,IF(W$6=$B17+$G$7,$C17-SUM($H17:V17),IF(W$6=$B17,$C17/$G$7/2,$C17/$G$7))))</f>
        <v>7.8125</v>
      </c>
      <c r="X17" s="70">
        <f>IF(X$6&lt;$B17,0,IF(X$6&gt;$B17+$G$7,0,IF(X$6=$B17+$G$7,$C17-SUM($H17:W17),IF(X$6=$B17,$C17/$G$7/2,$C17/$G$7))))</f>
        <v>7.8125</v>
      </c>
      <c r="Y17" s="70">
        <f>IF(Y$6&lt;$B17,0,IF(Y$6&gt;$B17+$G$7,0,IF(Y$6=$B17+$G$7,$C17-SUM($H17:X17),IF(Y$6=$B17,$C17/$G$7/2,$C17/$G$7))))</f>
        <v>7.8125</v>
      </c>
      <c r="Z17" s="70">
        <f>IF(Z$6&lt;$B17,0,IF(Z$6&gt;$B17+$G$7,0,IF(Z$6=$B17+$G$7,$C17-SUM($H17:Y17),IF(Z$6=$B17,$C17/$G$7/2,$C17/$G$7))))</f>
        <v>7.8125</v>
      </c>
      <c r="AA17" s="70">
        <f>IF(AA$6&lt;$B17,0,IF(AA$6&gt;$B17+$G$7,0,IF(AA$6=$B17+$G$7,$C17-SUM($H17:Z17),IF(AA$6=$B17,$C17/$G$7/2,$C17/$G$7))))</f>
        <v>7.8125</v>
      </c>
      <c r="AB17" s="70">
        <f>IF(AB$6&lt;$B17,0,IF(AB$6&gt;$B17+$G$7,0,IF(AB$6=$B17+$G$7,$C17-SUM($H17:AA17),IF(AB$6=$B17,$C17/$G$7/2,$C17/$G$7))))</f>
        <v>7.8125</v>
      </c>
      <c r="AC17" s="70">
        <f>IF(AC$6&lt;$B17,0,IF(AC$6&gt;$B17+$G$7,0,IF(AC$6=$B17+$G$7,$C17-SUM($H17:AB17),IF(AC$6=$B17,$C17/$G$7/2,$C17/$G$7))))</f>
        <v>7.8125</v>
      </c>
      <c r="AD17" s="70">
        <f>IF(AD$6&lt;$B17,0,IF(AD$6&gt;$B17+$G$7,0,IF(AD$6=$B17+$G$7,$C17-SUM($H17:AC17),IF(AD$6=$B17,$C17/$G$7/2,$C17/$G$7))))</f>
        <v>7.8125</v>
      </c>
      <c r="AE17" s="70">
        <f>IF(AE$6&lt;$B17,0,IF(AE$6&gt;$B17+$G$7,0,IF(AE$6=$B17+$G$7,$C17-SUM($H17:AD17),IF(AE$6=$B17,$C17/$G$7/2,$C17/$G$7))))</f>
        <v>7.8125</v>
      </c>
      <c r="AF17" s="70">
        <f>IF(AF$6&lt;$B17,0,IF(AF$6&gt;$B17+$G$7,0,IF(AF$6=$B17+$G$7,$C17-SUM($H17:AE17),IF(AF$6=$B17,$C17/$G$7/2,$C17/$G$7))))</f>
        <v>7.8125</v>
      </c>
      <c r="AG17" s="70">
        <f>IF(AG$6&lt;$B17,0,IF(AG$6&gt;$B17+$G$7,0,IF(AG$6=$B17+$G$7,$C17-SUM($H17:AF17),IF(AG$6=$B17,$C17/$G$7/2,$C17/$G$7))))</f>
        <v>7.8125</v>
      </c>
      <c r="AH17" s="70">
        <f>IF(AH$6&lt;$B17,0,IF(AH$6&gt;$B17+$G$7,0,IF(AH$6=$B17+$G$7,$C17-SUM($H17:AG17),IF(AH$6=$B17,$C17/$G$7/2,$C17/$G$7))))</f>
        <v>7.8125</v>
      </c>
      <c r="AI17" s="70">
        <f>IF(AI$6&lt;$B17,0,IF(AI$6&gt;$B17+$G$7,0,IF(AI$6=$B17+$G$7,$C17-SUM($H17:AH17),IF(AI$6=$B17,$C17/$G$7/2,$C17/$G$7))))</f>
        <v>7.8125</v>
      </c>
      <c r="AJ17" s="70">
        <f>IF(AJ$6&lt;$B17,0,IF(AJ$6&gt;$B17+$G$7,0,IF(AJ$6=$B17+$G$7,$C17-SUM($H17:AI17),IF(AJ$6=$B17,$C17/$G$7/2,$C17/$G$7))))</f>
        <v>3.90625</v>
      </c>
      <c r="AK17" s="70">
        <f>IF(AK$6&lt;$B17,0,IF(AK$6&gt;$B17+$G$7,0,IF(AK$6=$B17+$G$7,$C17-SUM($H17:AJ17),IF(AK$6=$B17,$C17/$G$7/2,$C17/$G$7))))</f>
        <v>0</v>
      </c>
      <c r="AL17" s="70">
        <f>IF(AL$6&lt;$B17,0,IF(AL$6&gt;$B17+$G$7,0,IF(AL$6=$B17+$G$7,$C17-SUM($H17:AK17),IF(AL$6=$B17,$C17/$G$7/2,$C17/$G$7))))</f>
        <v>0</v>
      </c>
      <c r="AM17" s="70">
        <f>IF(AM$6&lt;$B17,0,IF(AM$6&gt;$B17+$G$7,0,IF(AM$6=$B17+$G$7,$C17-SUM($H17:AL17),IF(AM$6=$B17,$C17/$G$7/2,$C17/$G$7))))</f>
        <v>0</v>
      </c>
      <c r="AN17" s="70">
        <f>IF(AN$6&lt;$B17,0,IF(AN$6&gt;$B17+$G$7,0,IF(AN$6=$B17+$G$7,$C17-SUM($H17:AM17),IF(AN$6=$B17,$C17/$G$7/2,$C17/$G$7))))</f>
        <v>0</v>
      </c>
      <c r="AO17" s="70">
        <f>IF(AO$6&lt;$B17,0,IF(AO$6&gt;$B17+$G$7,0,IF(AO$6=$B17+$G$7,$C17-SUM($H17:AN17),IF(AO$6=$B17,$C17/$G$7/2,$C17/$G$7))))</f>
        <v>0</v>
      </c>
      <c r="AP17" s="70">
        <f>IF(AP$6&lt;$B17,0,IF(AP$6&gt;$B17+$G$7,0,IF(AP$6=$B17+$G$7,$C17-SUM($H17:AO17),IF(AP$6=$B17,$C17/$G$7/2,$C17/$G$7))))</f>
        <v>0</v>
      </c>
      <c r="AQ17" s="70">
        <f>IF(AQ$6&lt;$B17,0,IF(AQ$6&gt;$B17+$G$7,0,IF(AQ$6=$B17+$G$7,$C17-SUM($H17:AP17),IF(AQ$6=$B17,$C17/$G$7/2,$C17/$G$7))))</f>
        <v>0</v>
      </c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</row>
    <row r="18" spans="2:55">
      <c r="B18" s="100">
        <f t="shared" si="3"/>
        <v>2024</v>
      </c>
      <c r="C18" s="97">
        <f>HLOOKUP(Depreciation!B18,Model!$I$72:$AQ$78,7)</f>
        <v>156.25</v>
      </c>
      <c r="E18" s="3" t="str">
        <f t="shared" si="2"/>
        <v>CADmm</v>
      </c>
      <c r="F18" s="3" t="s">
        <v>57</v>
      </c>
      <c r="G18" s="70"/>
      <c r="I18" s="70">
        <f>IF(I$6&lt;$B18,0,IF(I$6&gt;$B18+$G$7,0,IF(I$6=$B18+$G$7,$C18-SUM($H18:H18),IF(I$6=$B18,$C18/$G$7/2,$C18/$G$7))))</f>
        <v>0</v>
      </c>
      <c r="J18" s="70">
        <f>IF(J$6&lt;$B18,0,IF(J$6&gt;$B18+$G$7,0,IF(J$6=$B18+$G$7,$C18-SUM($H18:I18),IF(J$6=$B18,$C18/$G$7/2,$C18/$G$7))))</f>
        <v>0</v>
      </c>
      <c r="K18" s="70">
        <f>IF(K$6&lt;$B18,0,IF(K$6&gt;$B18+$G$7,0,IF(K$6=$B18+$G$7,$C18-SUM($H18:J18),IF(K$6=$B18,$C18/$G$7/2,$C18/$G$7))))</f>
        <v>0</v>
      </c>
      <c r="L18" s="70">
        <f>IF(L$6&lt;$B18,0,IF(L$6&gt;$B18+$G$7,0,IF(L$6=$B18+$G$7,$C18-SUM($H18:K18),IF(L$6=$B18,$C18/$G$7/2,$C18/$G$7))))</f>
        <v>0</v>
      </c>
      <c r="M18" s="70">
        <f>IF(M$6&lt;$B18,0,IF(M$6&gt;$B18+$G$7,0,IF(M$6=$B18+$G$7,$C18-SUM($H18:L18),IF(M$6=$B18,$C18/$G$7/2,$C18/$G$7))))</f>
        <v>0</v>
      </c>
      <c r="N18" s="70">
        <f>IF(N$6&lt;$B18,0,IF(N$6&gt;$B18+$G$7,0,IF(N$6=$B18+$G$7,$C18-SUM($H18:M18),IF(N$6=$B18,$C18/$G$7/2,$C18/$G$7))))</f>
        <v>0</v>
      </c>
      <c r="O18" s="70">
        <f>IF(O$6&lt;$B18,0,IF(O$6&gt;$B18+$G$7,0,IF(O$6=$B18+$G$7,$C18-SUM($H18:N18),IF(O$6=$B18,$C18/$G$7/2,$C18/$G$7))))</f>
        <v>0</v>
      </c>
      <c r="P18" s="70">
        <f>IF(P$6&lt;$B18,0,IF(P$6&gt;$B18+$G$7,0,IF(P$6=$B18+$G$7,$C18-SUM($H18:O18),IF(P$6=$B18,$C18/$G$7/2,$C18/$G$7))))</f>
        <v>0</v>
      </c>
      <c r="Q18" s="70">
        <f>IF(Q$6&lt;$B18,0,IF(Q$6&gt;$B18+$G$7,0,IF(Q$6=$B18+$G$7,$C18-SUM($H18:P18),IF(Q$6=$B18,$C18/$G$7/2,$C18/$G$7))))</f>
        <v>3.90625</v>
      </c>
      <c r="R18" s="70">
        <f>IF(R$6&lt;$B18,0,IF(R$6&gt;$B18+$G$7,0,IF(R$6=$B18+$G$7,$C18-SUM($H18:Q18),IF(R$6=$B18,$C18/$G$7/2,$C18/$G$7))))</f>
        <v>7.8125</v>
      </c>
      <c r="S18" s="70">
        <f>IF(S$6&lt;$B18,0,IF(S$6&gt;$B18+$G$7,0,IF(S$6=$B18+$G$7,$C18-SUM($H18:R18),IF(S$6=$B18,$C18/$G$7/2,$C18/$G$7))))</f>
        <v>7.8125</v>
      </c>
      <c r="T18" s="70">
        <f>IF(T$6&lt;$B18,0,IF(T$6&gt;$B18+$G$7,0,IF(T$6=$B18+$G$7,$C18-SUM($H18:S18),IF(T$6=$B18,$C18/$G$7/2,$C18/$G$7))))</f>
        <v>7.8125</v>
      </c>
      <c r="U18" s="70">
        <f>IF(U$6&lt;$B18,0,IF(U$6&gt;$B18+$G$7,0,IF(U$6=$B18+$G$7,$C18-SUM($H18:T18),IF(U$6=$B18,$C18/$G$7/2,$C18/$G$7))))</f>
        <v>7.8125</v>
      </c>
      <c r="V18" s="70">
        <f>IF(V$6&lt;$B18,0,IF(V$6&gt;$B18+$G$7,0,IF(V$6=$B18+$G$7,$C18-SUM($H18:U18),IF(V$6=$B18,$C18/$G$7/2,$C18/$G$7))))</f>
        <v>7.8125</v>
      </c>
      <c r="W18" s="70">
        <f>IF(W$6&lt;$B18,0,IF(W$6&gt;$B18+$G$7,0,IF(W$6=$B18+$G$7,$C18-SUM($H18:V18),IF(W$6=$B18,$C18/$G$7/2,$C18/$G$7))))</f>
        <v>7.8125</v>
      </c>
      <c r="X18" s="70">
        <f>IF(X$6&lt;$B18,0,IF(X$6&gt;$B18+$G$7,0,IF(X$6=$B18+$G$7,$C18-SUM($H18:W18),IF(X$6=$B18,$C18/$G$7/2,$C18/$G$7))))</f>
        <v>7.8125</v>
      </c>
      <c r="Y18" s="70">
        <f>IF(Y$6&lt;$B18,0,IF(Y$6&gt;$B18+$G$7,0,IF(Y$6=$B18+$G$7,$C18-SUM($H18:X18),IF(Y$6=$B18,$C18/$G$7/2,$C18/$G$7))))</f>
        <v>7.8125</v>
      </c>
      <c r="Z18" s="70">
        <f>IF(Z$6&lt;$B18,0,IF(Z$6&gt;$B18+$G$7,0,IF(Z$6=$B18+$G$7,$C18-SUM($H18:Y18),IF(Z$6=$B18,$C18/$G$7/2,$C18/$G$7))))</f>
        <v>7.8125</v>
      </c>
      <c r="AA18" s="70">
        <f>IF(AA$6&lt;$B18,0,IF(AA$6&gt;$B18+$G$7,0,IF(AA$6=$B18+$G$7,$C18-SUM($H18:Z18),IF(AA$6=$B18,$C18/$G$7/2,$C18/$G$7))))</f>
        <v>7.8125</v>
      </c>
      <c r="AB18" s="70">
        <f>IF(AB$6&lt;$B18,0,IF(AB$6&gt;$B18+$G$7,0,IF(AB$6=$B18+$G$7,$C18-SUM($H18:AA18),IF(AB$6=$B18,$C18/$G$7/2,$C18/$G$7))))</f>
        <v>7.8125</v>
      </c>
      <c r="AC18" s="70">
        <f>IF(AC$6&lt;$B18,0,IF(AC$6&gt;$B18+$G$7,0,IF(AC$6=$B18+$G$7,$C18-SUM($H18:AB18),IF(AC$6=$B18,$C18/$G$7/2,$C18/$G$7))))</f>
        <v>7.8125</v>
      </c>
      <c r="AD18" s="70">
        <f>IF(AD$6&lt;$B18,0,IF(AD$6&gt;$B18+$G$7,0,IF(AD$6=$B18+$G$7,$C18-SUM($H18:AC18),IF(AD$6=$B18,$C18/$G$7/2,$C18/$G$7))))</f>
        <v>7.8125</v>
      </c>
      <c r="AE18" s="70">
        <f>IF(AE$6&lt;$B18,0,IF(AE$6&gt;$B18+$G$7,0,IF(AE$6=$B18+$G$7,$C18-SUM($H18:AD18),IF(AE$6=$B18,$C18/$G$7/2,$C18/$G$7))))</f>
        <v>7.8125</v>
      </c>
      <c r="AF18" s="70">
        <f>IF(AF$6&lt;$B18,0,IF(AF$6&gt;$B18+$G$7,0,IF(AF$6=$B18+$G$7,$C18-SUM($H18:AE18),IF(AF$6=$B18,$C18/$G$7/2,$C18/$G$7))))</f>
        <v>7.8125</v>
      </c>
      <c r="AG18" s="70">
        <f>IF(AG$6&lt;$B18,0,IF(AG$6&gt;$B18+$G$7,0,IF(AG$6=$B18+$G$7,$C18-SUM($H18:AF18),IF(AG$6=$B18,$C18/$G$7/2,$C18/$G$7))))</f>
        <v>7.8125</v>
      </c>
      <c r="AH18" s="70">
        <f>IF(AH$6&lt;$B18,0,IF(AH$6&gt;$B18+$G$7,0,IF(AH$6=$B18+$G$7,$C18-SUM($H18:AG18),IF(AH$6=$B18,$C18/$G$7/2,$C18/$G$7))))</f>
        <v>7.8125</v>
      </c>
      <c r="AI18" s="70">
        <f>IF(AI$6&lt;$B18,0,IF(AI$6&gt;$B18+$G$7,0,IF(AI$6=$B18+$G$7,$C18-SUM($H18:AH18),IF(AI$6=$B18,$C18/$G$7/2,$C18/$G$7))))</f>
        <v>7.8125</v>
      </c>
      <c r="AJ18" s="70">
        <f>IF(AJ$6&lt;$B18,0,IF(AJ$6&gt;$B18+$G$7,0,IF(AJ$6=$B18+$G$7,$C18-SUM($H18:AI18),IF(AJ$6=$B18,$C18/$G$7/2,$C18/$G$7))))</f>
        <v>7.8125</v>
      </c>
      <c r="AK18" s="70">
        <f>IF(AK$6&lt;$B18,0,IF(AK$6&gt;$B18+$G$7,0,IF(AK$6=$B18+$G$7,$C18-SUM($H18:AJ18),IF(AK$6=$B18,$C18/$G$7/2,$C18/$G$7))))</f>
        <v>3.90625</v>
      </c>
      <c r="AL18" s="70">
        <f>IF(AL$6&lt;$B18,0,IF(AL$6&gt;$B18+$G$7,0,IF(AL$6=$B18+$G$7,$C18-SUM($H18:AK18),IF(AL$6=$B18,$C18/$G$7/2,$C18/$G$7))))</f>
        <v>0</v>
      </c>
      <c r="AM18" s="70">
        <f>IF(AM$6&lt;$B18,0,IF(AM$6&gt;$B18+$G$7,0,IF(AM$6=$B18+$G$7,$C18-SUM($H18:AL18),IF(AM$6=$B18,$C18/$G$7/2,$C18/$G$7))))</f>
        <v>0</v>
      </c>
      <c r="AN18" s="70">
        <f>IF(AN$6&lt;$B18,0,IF(AN$6&gt;$B18+$G$7,0,IF(AN$6=$B18+$G$7,$C18-SUM($H18:AM18),IF(AN$6=$B18,$C18/$G$7/2,$C18/$G$7))))</f>
        <v>0</v>
      </c>
      <c r="AO18" s="70">
        <f>IF(AO$6&lt;$B18,0,IF(AO$6&gt;$B18+$G$7,0,IF(AO$6=$B18+$G$7,$C18-SUM($H18:AN18),IF(AO$6=$B18,$C18/$G$7/2,$C18/$G$7))))</f>
        <v>0</v>
      </c>
      <c r="AP18" s="70">
        <f>IF(AP$6&lt;$B18,0,IF(AP$6&gt;$B18+$G$7,0,IF(AP$6=$B18+$G$7,$C18-SUM($H18:AO18),IF(AP$6=$B18,$C18/$G$7/2,$C18/$G$7))))</f>
        <v>0</v>
      </c>
      <c r="AQ18" s="70">
        <f>IF(AQ$6&lt;$B18,0,IF(AQ$6&gt;$B18+$G$7,0,IF(AQ$6=$B18+$G$7,$C18-SUM($H18:AP18),IF(AQ$6=$B18,$C18/$G$7/2,$C18/$G$7))))</f>
        <v>0</v>
      </c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</row>
    <row r="19" spans="2:55">
      <c r="B19" s="100">
        <f t="shared" si="3"/>
        <v>2025</v>
      </c>
      <c r="C19" s="97">
        <f>HLOOKUP(Depreciation!B19,Model!$I$72:$AQ$78,7)</f>
        <v>156.25</v>
      </c>
      <c r="E19" s="3" t="str">
        <f t="shared" si="2"/>
        <v>CADmm</v>
      </c>
      <c r="F19" s="3" t="s">
        <v>57</v>
      </c>
      <c r="G19" s="70"/>
      <c r="I19" s="70">
        <f>IF(I$6&lt;$B19,0,IF(I$6&gt;$B19+$G$7,0,IF(I$6=$B19+$G$7,$C19-SUM($H19:H19),IF(I$6=$B19,$C19/$G$7/2,$C19/$G$7))))</f>
        <v>0</v>
      </c>
      <c r="J19" s="70">
        <f>IF(J$6&lt;$B19,0,IF(J$6&gt;$B19+$G$7,0,IF(J$6=$B19+$G$7,$C19-SUM($H19:I19),IF(J$6=$B19,$C19/$G$7/2,$C19/$G$7))))</f>
        <v>0</v>
      </c>
      <c r="K19" s="70">
        <f>IF(K$6&lt;$B19,0,IF(K$6&gt;$B19+$G$7,0,IF(K$6=$B19+$G$7,$C19-SUM($H19:J19),IF(K$6=$B19,$C19/$G$7/2,$C19/$G$7))))</f>
        <v>0</v>
      </c>
      <c r="L19" s="70">
        <f>IF(L$6&lt;$B19,0,IF(L$6&gt;$B19+$G$7,0,IF(L$6=$B19+$G$7,$C19-SUM($H19:K19),IF(L$6=$B19,$C19/$G$7/2,$C19/$G$7))))</f>
        <v>0</v>
      </c>
      <c r="M19" s="70">
        <f>IF(M$6&lt;$B19,0,IF(M$6&gt;$B19+$G$7,0,IF(M$6=$B19+$G$7,$C19-SUM($H19:L19),IF(M$6=$B19,$C19/$G$7/2,$C19/$G$7))))</f>
        <v>0</v>
      </c>
      <c r="N19" s="70">
        <f>IF(N$6&lt;$B19,0,IF(N$6&gt;$B19+$G$7,0,IF(N$6=$B19+$G$7,$C19-SUM($H19:M19),IF(N$6=$B19,$C19/$G$7/2,$C19/$G$7))))</f>
        <v>0</v>
      </c>
      <c r="O19" s="70">
        <f>IF(O$6&lt;$B19,0,IF(O$6&gt;$B19+$G$7,0,IF(O$6=$B19+$G$7,$C19-SUM($H19:N19),IF(O$6=$B19,$C19/$G$7/2,$C19/$G$7))))</f>
        <v>0</v>
      </c>
      <c r="P19" s="70">
        <f>IF(P$6&lt;$B19,0,IF(P$6&gt;$B19+$G$7,0,IF(P$6=$B19+$G$7,$C19-SUM($H19:O19),IF(P$6=$B19,$C19/$G$7/2,$C19/$G$7))))</f>
        <v>0</v>
      </c>
      <c r="Q19" s="70">
        <f>IF(Q$6&lt;$B19,0,IF(Q$6&gt;$B19+$G$7,0,IF(Q$6=$B19+$G$7,$C19-SUM($H19:P19),IF(Q$6=$B19,$C19/$G$7/2,$C19/$G$7))))</f>
        <v>0</v>
      </c>
      <c r="R19" s="70">
        <f>IF(R$6&lt;$B19,0,IF(R$6&gt;$B19+$G$7,0,IF(R$6=$B19+$G$7,$C19-SUM($H19:Q19),IF(R$6=$B19,$C19/$G$7/2,$C19/$G$7))))</f>
        <v>3.90625</v>
      </c>
      <c r="S19" s="70">
        <f>IF(S$6&lt;$B19,0,IF(S$6&gt;$B19+$G$7,0,IF(S$6=$B19+$G$7,$C19-SUM($H19:R19),IF(S$6=$B19,$C19/$G$7/2,$C19/$G$7))))</f>
        <v>7.8125</v>
      </c>
      <c r="T19" s="70">
        <f>IF(T$6&lt;$B19,0,IF(T$6&gt;$B19+$G$7,0,IF(T$6=$B19+$G$7,$C19-SUM($H19:S19),IF(T$6=$B19,$C19/$G$7/2,$C19/$G$7))))</f>
        <v>7.8125</v>
      </c>
      <c r="U19" s="70">
        <f>IF(U$6&lt;$B19,0,IF(U$6&gt;$B19+$G$7,0,IF(U$6=$B19+$G$7,$C19-SUM($H19:T19),IF(U$6=$B19,$C19/$G$7/2,$C19/$G$7))))</f>
        <v>7.8125</v>
      </c>
      <c r="V19" s="70">
        <f>IF(V$6&lt;$B19,0,IF(V$6&gt;$B19+$G$7,0,IF(V$6=$B19+$G$7,$C19-SUM($H19:U19),IF(V$6=$B19,$C19/$G$7/2,$C19/$G$7))))</f>
        <v>7.8125</v>
      </c>
      <c r="W19" s="70">
        <f>IF(W$6&lt;$B19,0,IF(W$6&gt;$B19+$G$7,0,IF(W$6=$B19+$G$7,$C19-SUM($H19:V19),IF(W$6=$B19,$C19/$G$7/2,$C19/$G$7))))</f>
        <v>7.8125</v>
      </c>
      <c r="X19" s="70">
        <f>IF(X$6&lt;$B19,0,IF(X$6&gt;$B19+$G$7,0,IF(X$6=$B19+$G$7,$C19-SUM($H19:W19),IF(X$6=$B19,$C19/$G$7/2,$C19/$G$7))))</f>
        <v>7.8125</v>
      </c>
      <c r="Y19" s="70">
        <f>IF(Y$6&lt;$B19,0,IF(Y$6&gt;$B19+$G$7,0,IF(Y$6=$B19+$G$7,$C19-SUM($H19:X19),IF(Y$6=$B19,$C19/$G$7/2,$C19/$G$7))))</f>
        <v>7.8125</v>
      </c>
      <c r="Z19" s="70">
        <f>IF(Z$6&lt;$B19,0,IF(Z$6&gt;$B19+$G$7,0,IF(Z$6=$B19+$G$7,$C19-SUM($H19:Y19),IF(Z$6=$B19,$C19/$G$7/2,$C19/$G$7))))</f>
        <v>7.8125</v>
      </c>
      <c r="AA19" s="70">
        <f>IF(AA$6&lt;$B19,0,IF(AA$6&gt;$B19+$G$7,0,IF(AA$6=$B19+$G$7,$C19-SUM($H19:Z19),IF(AA$6=$B19,$C19/$G$7/2,$C19/$G$7))))</f>
        <v>7.8125</v>
      </c>
      <c r="AB19" s="70">
        <f>IF(AB$6&lt;$B19,0,IF(AB$6&gt;$B19+$G$7,0,IF(AB$6=$B19+$G$7,$C19-SUM($H19:AA19),IF(AB$6=$B19,$C19/$G$7/2,$C19/$G$7))))</f>
        <v>7.8125</v>
      </c>
      <c r="AC19" s="70">
        <f>IF(AC$6&lt;$B19,0,IF(AC$6&gt;$B19+$G$7,0,IF(AC$6=$B19+$G$7,$C19-SUM($H19:AB19),IF(AC$6=$B19,$C19/$G$7/2,$C19/$G$7))))</f>
        <v>7.8125</v>
      </c>
      <c r="AD19" s="70">
        <f>IF(AD$6&lt;$B19,0,IF(AD$6&gt;$B19+$G$7,0,IF(AD$6=$B19+$G$7,$C19-SUM($H19:AC19),IF(AD$6=$B19,$C19/$G$7/2,$C19/$G$7))))</f>
        <v>7.8125</v>
      </c>
      <c r="AE19" s="70">
        <f>IF(AE$6&lt;$B19,0,IF(AE$6&gt;$B19+$G$7,0,IF(AE$6=$B19+$G$7,$C19-SUM($H19:AD19),IF(AE$6=$B19,$C19/$G$7/2,$C19/$G$7))))</f>
        <v>7.8125</v>
      </c>
      <c r="AF19" s="70">
        <f>IF(AF$6&lt;$B19,0,IF(AF$6&gt;$B19+$G$7,0,IF(AF$6=$B19+$G$7,$C19-SUM($H19:AE19),IF(AF$6=$B19,$C19/$G$7/2,$C19/$G$7))))</f>
        <v>7.8125</v>
      </c>
      <c r="AG19" s="70">
        <f>IF(AG$6&lt;$B19,0,IF(AG$6&gt;$B19+$G$7,0,IF(AG$6=$B19+$G$7,$C19-SUM($H19:AF19),IF(AG$6=$B19,$C19/$G$7/2,$C19/$G$7))))</f>
        <v>7.8125</v>
      </c>
      <c r="AH19" s="70">
        <f>IF(AH$6&lt;$B19,0,IF(AH$6&gt;$B19+$G$7,0,IF(AH$6=$B19+$G$7,$C19-SUM($H19:AG19),IF(AH$6=$B19,$C19/$G$7/2,$C19/$G$7))))</f>
        <v>7.8125</v>
      </c>
      <c r="AI19" s="70">
        <f>IF(AI$6&lt;$B19,0,IF(AI$6&gt;$B19+$G$7,0,IF(AI$6=$B19+$G$7,$C19-SUM($H19:AH19),IF(AI$6=$B19,$C19/$G$7/2,$C19/$G$7))))</f>
        <v>7.8125</v>
      </c>
      <c r="AJ19" s="70">
        <f>IF(AJ$6&lt;$B19,0,IF(AJ$6&gt;$B19+$G$7,0,IF(AJ$6=$B19+$G$7,$C19-SUM($H19:AI19),IF(AJ$6=$B19,$C19/$G$7/2,$C19/$G$7))))</f>
        <v>7.8125</v>
      </c>
      <c r="AK19" s="70">
        <f>IF(AK$6&lt;$B19,0,IF(AK$6&gt;$B19+$G$7,0,IF(AK$6=$B19+$G$7,$C19-SUM($H19:AJ19),IF(AK$6=$B19,$C19/$G$7/2,$C19/$G$7))))</f>
        <v>7.8125</v>
      </c>
      <c r="AL19" s="70">
        <f>IF(AL$6&lt;$B19,0,IF(AL$6&gt;$B19+$G$7,0,IF(AL$6=$B19+$G$7,$C19-SUM($H19:AK19),IF(AL$6=$B19,$C19/$G$7/2,$C19/$G$7))))</f>
        <v>3.90625</v>
      </c>
      <c r="AM19" s="70">
        <f>IF(AM$6&lt;$B19,0,IF(AM$6&gt;$B19+$G$7,0,IF(AM$6=$B19+$G$7,$C19-SUM($H19:AL19),IF(AM$6=$B19,$C19/$G$7/2,$C19/$G$7))))</f>
        <v>0</v>
      </c>
      <c r="AN19" s="70">
        <f>IF(AN$6&lt;$B19,0,IF(AN$6&gt;$B19+$G$7,0,IF(AN$6=$B19+$G$7,$C19-SUM($H19:AM19),IF(AN$6=$B19,$C19/$G$7/2,$C19/$G$7))))</f>
        <v>0</v>
      </c>
      <c r="AO19" s="70">
        <f>IF(AO$6&lt;$B19,0,IF(AO$6&gt;$B19+$G$7,0,IF(AO$6=$B19+$G$7,$C19-SUM($H19:AN19),IF(AO$6=$B19,$C19/$G$7/2,$C19/$G$7))))</f>
        <v>0</v>
      </c>
      <c r="AP19" s="70">
        <f>IF(AP$6&lt;$B19,0,IF(AP$6&gt;$B19+$G$7,0,IF(AP$6=$B19+$G$7,$C19-SUM($H19:AO19),IF(AP$6=$B19,$C19/$G$7/2,$C19/$G$7))))</f>
        <v>0</v>
      </c>
      <c r="AQ19" s="70">
        <f>IF(AQ$6&lt;$B19,0,IF(AQ$6&gt;$B19+$G$7,0,IF(AQ$6=$B19+$G$7,$C19-SUM($H19:AP19),IF(AQ$6=$B19,$C19/$G$7/2,$C19/$G$7))))</f>
        <v>0</v>
      </c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</row>
    <row r="20" spans="2:55">
      <c r="B20" s="100">
        <f t="shared" si="3"/>
        <v>2026</v>
      </c>
      <c r="C20" s="97">
        <f>HLOOKUP(Depreciation!B20,Model!$I$72:$AQ$78,7)</f>
        <v>156.25</v>
      </c>
      <c r="E20" s="3" t="str">
        <f t="shared" si="2"/>
        <v>CADmm</v>
      </c>
      <c r="F20" s="3" t="s">
        <v>57</v>
      </c>
      <c r="G20" s="70"/>
      <c r="I20" s="70">
        <f>IF(I$6&lt;$B20,0,IF(I$6&gt;$B20+$G$7,0,IF(I$6=$B20+$G$7,$C20-SUM($H20:H20),IF(I$6=$B20,$C20/$G$7/2,$C20/$G$7))))</f>
        <v>0</v>
      </c>
      <c r="J20" s="70">
        <f>IF(J$6&lt;$B20,0,IF(J$6&gt;$B20+$G$7,0,IF(J$6=$B20+$G$7,$C20-SUM($H20:I20),IF(J$6=$B20,$C20/$G$7/2,$C20/$G$7))))</f>
        <v>0</v>
      </c>
      <c r="K20" s="70">
        <f>IF(K$6&lt;$B20,0,IF(K$6&gt;$B20+$G$7,0,IF(K$6=$B20+$G$7,$C20-SUM($H20:J20),IF(K$6=$B20,$C20/$G$7/2,$C20/$G$7))))</f>
        <v>0</v>
      </c>
      <c r="L20" s="70">
        <f>IF(L$6&lt;$B20,0,IF(L$6&gt;$B20+$G$7,0,IF(L$6=$B20+$G$7,$C20-SUM($H20:K20),IF(L$6=$B20,$C20/$G$7/2,$C20/$G$7))))</f>
        <v>0</v>
      </c>
      <c r="M20" s="70">
        <f>IF(M$6&lt;$B20,0,IF(M$6&gt;$B20+$G$7,0,IF(M$6=$B20+$G$7,$C20-SUM($H20:L20),IF(M$6=$B20,$C20/$G$7/2,$C20/$G$7))))</f>
        <v>0</v>
      </c>
      <c r="N20" s="70">
        <f>IF(N$6&lt;$B20,0,IF(N$6&gt;$B20+$G$7,0,IF(N$6=$B20+$G$7,$C20-SUM($H20:M20),IF(N$6=$B20,$C20/$G$7/2,$C20/$G$7))))</f>
        <v>0</v>
      </c>
      <c r="O20" s="70">
        <f>IF(O$6&lt;$B20,0,IF(O$6&gt;$B20+$G$7,0,IF(O$6=$B20+$G$7,$C20-SUM($H20:N20),IF(O$6=$B20,$C20/$G$7/2,$C20/$G$7))))</f>
        <v>0</v>
      </c>
      <c r="P20" s="70">
        <f>IF(P$6&lt;$B20,0,IF(P$6&gt;$B20+$G$7,0,IF(P$6=$B20+$G$7,$C20-SUM($H20:O20),IF(P$6=$B20,$C20/$G$7/2,$C20/$G$7))))</f>
        <v>0</v>
      </c>
      <c r="Q20" s="70">
        <f>IF(Q$6&lt;$B20,0,IF(Q$6&gt;$B20+$G$7,0,IF(Q$6=$B20+$G$7,$C20-SUM($H20:P20),IF(Q$6=$B20,$C20/$G$7/2,$C20/$G$7))))</f>
        <v>0</v>
      </c>
      <c r="R20" s="70">
        <f>IF(R$6&lt;$B20,0,IF(R$6&gt;$B20+$G$7,0,IF(R$6=$B20+$G$7,$C20-SUM($H20:Q20),IF(R$6=$B20,$C20/$G$7/2,$C20/$G$7))))</f>
        <v>0</v>
      </c>
      <c r="S20" s="70">
        <f>IF(S$6&lt;$B20,0,IF(S$6&gt;$B20+$G$7,0,IF(S$6=$B20+$G$7,$C20-SUM($H20:R20),IF(S$6=$B20,$C20/$G$7/2,$C20/$G$7))))</f>
        <v>3.90625</v>
      </c>
      <c r="T20" s="70">
        <f>IF(T$6&lt;$B20,0,IF(T$6&gt;$B20+$G$7,0,IF(T$6=$B20+$G$7,$C20-SUM($H20:S20),IF(T$6=$B20,$C20/$G$7/2,$C20/$G$7))))</f>
        <v>7.8125</v>
      </c>
      <c r="U20" s="70">
        <f>IF(U$6&lt;$B20,0,IF(U$6&gt;$B20+$G$7,0,IF(U$6=$B20+$G$7,$C20-SUM($H20:T20),IF(U$6=$B20,$C20/$G$7/2,$C20/$G$7))))</f>
        <v>7.8125</v>
      </c>
      <c r="V20" s="70">
        <f>IF(V$6&lt;$B20,0,IF(V$6&gt;$B20+$G$7,0,IF(V$6=$B20+$G$7,$C20-SUM($H20:U20),IF(V$6=$B20,$C20/$G$7/2,$C20/$G$7))))</f>
        <v>7.8125</v>
      </c>
      <c r="W20" s="70">
        <f>IF(W$6&lt;$B20,0,IF(W$6&gt;$B20+$G$7,0,IF(W$6=$B20+$G$7,$C20-SUM($H20:V20),IF(W$6=$B20,$C20/$G$7/2,$C20/$G$7))))</f>
        <v>7.8125</v>
      </c>
      <c r="X20" s="70">
        <f>IF(X$6&lt;$B20,0,IF(X$6&gt;$B20+$G$7,0,IF(X$6=$B20+$G$7,$C20-SUM($H20:W20),IF(X$6=$B20,$C20/$G$7/2,$C20/$G$7))))</f>
        <v>7.8125</v>
      </c>
      <c r="Y20" s="70">
        <f>IF(Y$6&lt;$B20,0,IF(Y$6&gt;$B20+$G$7,0,IF(Y$6=$B20+$G$7,$C20-SUM($H20:X20),IF(Y$6=$B20,$C20/$G$7/2,$C20/$G$7))))</f>
        <v>7.8125</v>
      </c>
      <c r="Z20" s="70">
        <f>IF(Z$6&lt;$B20,0,IF(Z$6&gt;$B20+$G$7,0,IF(Z$6=$B20+$G$7,$C20-SUM($H20:Y20),IF(Z$6=$B20,$C20/$G$7/2,$C20/$G$7))))</f>
        <v>7.8125</v>
      </c>
      <c r="AA20" s="70">
        <f>IF(AA$6&lt;$B20,0,IF(AA$6&gt;$B20+$G$7,0,IF(AA$6=$B20+$G$7,$C20-SUM($H20:Z20),IF(AA$6=$B20,$C20/$G$7/2,$C20/$G$7))))</f>
        <v>7.8125</v>
      </c>
      <c r="AB20" s="70">
        <f>IF(AB$6&lt;$B20,0,IF(AB$6&gt;$B20+$G$7,0,IF(AB$6=$B20+$G$7,$C20-SUM($H20:AA20),IF(AB$6=$B20,$C20/$G$7/2,$C20/$G$7))))</f>
        <v>7.8125</v>
      </c>
      <c r="AC20" s="70">
        <f>IF(AC$6&lt;$B20,0,IF(AC$6&gt;$B20+$G$7,0,IF(AC$6=$B20+$G$7,$C20-SUM($H20:AB20),IF(AC$6=$B20,$C20/$G$7/2,$C20/$G$7))))</f>
        <v>7.8125</v>
      </c>
      <c r="AD20" s="70">
        <f>IF(AD$6&lt;$B20,0,IF(AD$6&gt;$B20+$G$7,0,IF(AD$6=$B20+$G$7,$C20-SUM($H20:AC20),IF(AD$6=$B20,$C20/$G$7/2,$C20/$G$7))))</f>
        <v>7.8125</v>
      </c>
      <c r="AE20" s="70">
        <f>IF(AE$6&lt;$B20,0,IF(AE$6&gt;$B20+$G$7,0,IF(AE$6=$B20+$G$7,$C20-SUM($H20:AD20),IF(AE$6=$B20,$C20/$G$7/2,$C20/$G$7))))</f>
        <v>7.8125</v>
      </c>
      <c r="AF20" s="70">
        <f>IF(AF$6&lt;$B20,0,IF(AF$6&gt;$B20+$G$7,0,IF(AF$6=$B20+$G$7,$C20-SUM($H20:AE20),IF(AF$6=$B20,$C20/$G$7/2,$C20/$G$7))))</f>
        <v>7.8125</v>
      </c>
      <c r="AG20" s="70">
        <f>IF(AG$6&lt;$B20,0,IF(AG$6&gt;$B20+$G$7,0,IF(AG$6=$B20+$G$7,$C20-SUM($H20:AF20),IF(AG$6=$B20,$C20/$G$7/2,$C20/$G$7))))</f>
        <v>7.8125</v>
      </c>
      <c r="AH20" s="70">
        <f>IF(AH$6&lt;$B20,0,IF(AH$6&gt;$B20+$G$7,0,IF(AH$6=$B20+$G$7,$C20-SUM($H20:AG20),IF(AH$6=$B20,$C20/$G$7/2,$C20/$G$7))))</f>
        <v>7.8125</v>
      </c>
      <c r="AI20" s="70">
        <f>IF(AI$6&lt;$B20,0,IF(AI$6&gt;$B20+$G$7,0,IF(AI$6=$B20+$G$7,$C20-SUM($H20:AH20),IF(AI$6=$B20,$C20/$G$7/2,$C20/$G$7))))</f>
        <v>7.8125</v>
      </c>
      <c r="AJ20" s="70">
        <f>IF(AJ$6&lt;$B20,0,IF(AJ$6&gt;$B20+$G$7,0,IF(AJ$6=$B20+$G$7,$C20-SUM($H20:AI20),IF(AJ$6=$B20,$C20/$G$7/2,$C20/$G$7))))</f>
        <v>7.8125</v>
      </c>
      <c r="AK20" s="70">
        <f>IF(AK$6&lt;$B20,0,IF(AK$6&gt;$B20+$G$7,0,IF(AK$6=$B20+$G$7,$C20-SUM($H20:AJ20),IF(AK$6=$B20,$C20/$G$7/2,$C20/$G$7))))</f>
        <v>7.8125</v>
      </c>
      <c r="AL20" s="70">
        <f>IF(AL$6&lt;$B20,0,IF(AL$6&gt;$B20+$G$7,0,IF(AL$6=$B20+$G$7,$C20-SUM($H20:AK20),IF(AL$6=$B20,$C20/$G$7/2,$C20/$G$7))))</f>
        <v>7.8125</v>
      </c>
      <c r="AM20" s="70">
        <f>IF(AM$6&lt;$B20,0,IF(AM$6&gt;$B20+$G$7,0,IF(AM$6=$B20+$G$7,$C20-SUM($H20:AL20),IF(AM$6=$B20,$C20/$G$7/2,$C20/$G$7))))</f>
        <v>3.90625</v>
      </c>
      <c r="AN20" s="70">
        <f>IF(AN$6&lt;$B20,0,IF(AN$6&gt;$B20+$G$7,0,IF(AN$6=$B20+$G$7,$C20-SUM($H20:AM20),IF(AN$6=$B20,$C20/$G$7/2,$C20/$G$7))))</f>
        <v>0</v>
      </c>
      <c r="AO20" s="70">
        <f>IF(AO$6&lt;$B20,0,IF(AO$6&gt;$B20+$G$7,0,IF(AO$6=$B20+$G$7,$C20-SUM($H20:AN20),IF(AO$6=$B20,$C20/$G$7/2,$C20/$G$7))))</f>
        <v>0</v>
      </c>
      <c r="AP20" s="70">
        <f>IF(AP$6&lt;$B20,0,IF(AP$6&gt;$B20+$G$7,0,IF(AP$6=$B20+$G$7,$C20-SUM($H20:AO20),IF(AP$6=$B20,$C20/$G$7/2,$C20/$G$7))))</f>
        <v>0</v>
      </c>
      <c r="AQ20" s="70">
        <f>IF(AQ$6&lt;$B20,0,IF(AQ$6&gt;$B20+$G$7,0,IF(AQ$6=$B20+$G$7,$C20-SUM($H20:AP20),IF(AQ$6=$B20,$C20/$G$7/2,$C20/$G$7))))</f>
        <v>0</v>
      </c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</row>
    <row r="21" spans="2:55">
      <c r="B21" s="100">
        <f t="shared" si="3"/>
        <v>2027</v>
      </c>
      <c r="C21" s="97">
        <f>HLOOKUP(Depreciation!B21,Model!$I$72:$AQ$78,7)</f>
        <v>156.25</v>
      </c>
      <c r="E21" s="3" t="str">
        <f t="shared" si="2"/>
        <v>CADmm</v>
      </c>
      <c r="F21" s="3" t="s">
        <v>57</v>
      </c>
      <c r="G21" s="70"/>
      <c r="I21" s="70">
        <f>IF(I$6&lt;$B21,0,IF(I$6&gt;$B21+$G$7,0,IF(I$6=$B21+$G$7,$C21-SUM($H21:H21),IF(I$6=$B21,$C21/$G$7/2,$C21/$G$7))))</f>
        <v>0</v>
      </c>
      <c r="J21" s="70">
        <f>IF(J$6&lt;$B21,0,IF(J$6&gt;$B21+$G$7,0,IF(J$6=$B21+$G$7,$C21-SUM($H21:I21),IF(J$6=$B21,$C21/$G$7/2,$C21/$G$7))))</f>
        <v>0</v>
      </c>
      <c r="K21" s="70">
        <f>IF(K$6&lt;$B21,0,IF(K$6&gt;$B21+$G$7,0,IF(K$6=$B21+$G$7,$C21-SUM($H21:J21),IF(K$6=$B21,$C21/$G$7/2,$C21/$G$7))))</f>
        <v>0</v>
      </c>
      <c r="L21" s="70">
        <f>IF(L$6&lt;$B21,0,IF(L$6&gt;$B21+$G$7,0,IF(L$6=$B21+$G$7,$C21-SUM($H21:K21),IF(L$6=$B21,$C21/$G$7/2,$C21/$G$7))))</f>
        <v>0</v>
      </c>
      <c r="M21" s="70">
        <f>IF(M$6&lt;$B21,0,IF(M$6&gt;$B21+$G$7,0,IF(M$6=$B21+$G$7,$C21-SUM($H21:L21),IF(M$6=$B21,$C21/$G$7/2,$C21/$G$7))))</f>
        <v>0</v>
      </c>
      <c r="N21" s="70">
        <f>IF(N$6&lt;$B21,0,IF(N$6&gt;$B21+$G$7,0,IF(N$6=$B21+$G$7,$C21-SUM($H21:M21),IF(N$6=$B21,$C21/$G$7/2,$C21/$G$7))))</f>
        <v>0</v>
      </c>
      <c r="O21" s="70">
        <f>IF(O$6&lt;$B21,0,IF(O$6&gt;$B21+$G$7,0,IF(O$6=$B21+$G$7,$C21-SUM($H21:N21),IF(O$6=$B21,$C21/$G$7/2,$C21/$G$7))))</f>
        <v>0</v>
      </c>
      <c r="P21" s="70">
        <f>IF(P$6&lt;$B21,0,IF(P$6&gt;$B21+$G$7,0,IF(P$6=$B21+$G$7,$C21-SUM($H21:O21),IF(P$6=$B21,$C21/$G$7/2,$C21/$G$7))))</f>
        <v>0</v>
      </c>
      <c r="Q21" s="70">
        <f>IF(Q$6&lt;$B21,0,IF(Q$6&gt;$B21+$G$7,0,IF(Q$6=$B21+$G$7,$C21-SUM($H21:P21),IF(Q$6=$B21,$C21/$G$7/2,$C21/$G$7))))</f>
        <v>0</v>
      </c>
      <c r="R21" s="70">
        <f>IF(R$6&lt;$B21,0,IF(R$6&gt;$B21+$G$7,0,IF(R$6=$B21+$G$7,$C21-SUM($H21:Q21),IF(R$6=$B21,$C21/$G$7/2,$C21/$G$7))))</f>
        <v>0</v>
      </c>
      <c r="S21" s="70">
        <f>IF(S$6&lt;$B21,0,IF(S$6&gt;$B21+$G$7,0,IF(S$6=$B21+$G$7,$C21-SUM($H21:R21),IF(S$6=$B21,$C21/$G$7/2,$C21/$G$7))))</f>
        <v>0</v>
      </c>
      <c r="T21" s="70">
        <f>IF(T$6&lt;$B21,0,IF(T$6&gt;$B21+$G$7,0,IF(T$6=$B21+$G$7,$C21-SUM($H21:S21),IF(T$6=$B21,$C21/$G$7/2,$C21/$G$7))))</f>
        <v>3.90625</v>
      </c>
      <c r="U21" s="70">
        <f>IF(U$6&lt;$B21,0,IF(U$6&gt;$B21+$G$7,0,IF(U$6=$B21+$G$7,$C21-SUM($H21:T21),IF(U$6=$B21,$C21/$G$7/2,$C21/$G$7))))</f>
        <v>7.8125</v>
      </c>
      <c r="V21" s="70">
        <f>IF(V$6&lt;$B21,0,IF(V$6&gt;$B21+$G$7,0,IF(V$6=$B21+$G$7,$C21-SUM($H21:U21),IF(V$6=$B21,$C21/$G$7/2,$C21/$G$7))))</f>
        <v>7.8125</v>
      </c>
      <c r="W21" s="70">
        <f>IF(W$6&lt;$B21,0,IF(W$6&gt;$B21+$G$7,0,IF(W$6=$B21+$G$7,$C21-SUM($H21:V21),IF(W$6=$B21,$C21/$G$7/2,$C21/$G$7))))</f>
        <v>7.8125</v>
      </c>
      <c r="X21" s="70">
        <f>IF(X$6&lt;$B21,0,IF(X$6&gt;$B21+$G$7,0,IF(X$6=$B21+$G$7,$C21-SUM($H21:W21),IF(X$6=$B21,$C21/$G$7/2,$C21/$G$7))))</f>
        <v>7.8125</v>
      </c>
      <c r="Y21" s="70">
        <f>IF(Y$6&lt;$B21,0,IF(Y$6&gt;$B21+$G$7,0,IF(Y$6=$B21+$G$7,$C21-SUM($H21:X21),IF(Y$6=$B21,$C21/$G$7/2,$C21/$G$7))))</f>
        <v>7.8125</v>
      </c>
      <c r="Z21" s="70">
        <f>IF(Z$6&lt;$B21,0,IF(Z$6&gt;$B21+$G$7,0,IF(Z$6=$B21+$G$7,$C21-SUM($H21:Y21),IF(Z$6=$B21,$C21/$G$7/2,$C21/$G$7))))</f>
        <v>7.8125</v>
      </c>
      <c r="AA21" s="70">
        <f>IF(AA$6&lt;$B21,0,IF(AA$6&gt;$B21+$G$7,0,IF(AA$6=$B21+$G$7,$C21-SUM($H21:Z21),IF(AA$6=$B21,$C21/$G$7/2,$C21/$G$7))))</f>
        <v>7.8125</v>
      </c>
      <c r="AB21" s="70">
        <f>IF(AB$6&lt;$B21,0,IF(AB$6&gt;$B21+$G$7,0,IF(AB$6=$B21+$G$7,$C21-SUM($H21:AA21),IF(AB$6=$B21,$C21/$G$7/2,$C21/$G$7))))</f>
        <v>7.8125</v>
      </c>
      <c r="AC21" s="70">
        <f>IF(AC$6&lt;$B21,0,IF(AC$6&gt;$B21+$G$7,0,IF(AC$6=$B21+$G$7,$C21-SUM($H21:AB21),IF(AC$6=$B21,$C21/$G$7/2,$C21/$G$7))))</f>
        <v>7.8125</v>
      </c>
      <c r="AD21" s="70">
        <f>IF(AD$6&lt;$B21,0,IF(AD$6&gt;$B21+$G$7,0,IF(AD$6=$B21+$G$7,$C21-SUM($H21:AC21),IF(AD$6=$B21,$C21/$G$7/2,$C21/$G$7))))</f>
        <v>7.8125</v>
      </c>
      <c r="AE21" s="70">
        <f>IF(AE$6&lt;$B21,0,IF(AE$6&gt;$B21+$G$7,0,IF(AE$6=$B21+$G$7,$C21-SUM($H21:AD21),IF(AE$6=$B21,$C21/$G$7/2,$C21/$G$7))))</f>
        <v>7.8125</v>
      </c>
      <c r="AF21" s="70">
        <f>IF(AF$6&lt;$B21,0,IF(AF$6&gt;$B21+$G$7,0,IF(AF$6=$B21+$G$7,$C21-SUM($H21:AE21),IF(AF$6=$B21,$C21/$G$7/2,$C21/$G$7))))</f>
        <v>7.8125</v>
      </c>
      <c r="AG21" s="70">
        <f>IF(AG$6&lt;$B21,0,IF(AG$6&gt;$B21+$G$7,0,IF(AG$6=$B21+$G$7,$C21-SUM($H21:AF21),IF(AG$6=$B21,$C21/$G$7/2,$C21/$G$7))))</f>
        <v>7.8125</v>
      </c>
      <c r="AH21" s="70">
        <f>IF(AH$6&lt;$B21,0,IF(AH$6&gt;$B21+$G$7,0,IF(AH$6=$B21+$G$7,$C21-SUM($H21:AG21),IF(AH$6=$B21,$C21/$G$7/2,$C21/$G$7))))</f>
        <v>7.8125</v>
      </c>
      <c r="AI21" s="70">
        <f>IF(AI$6&lt;$B21,0,IF(AI$6&gt;$B21+$G$7,0,IF(AI$6=$B21+$G$7,$C21-SUM($H21:AH21),IF(AI$6=$B21,$C21/$G$7/2,$C21/$G$7))))</f>
        <v>7.8125</v>
      </c>
      <c r="AJ21" s="70">
        <f>IF(AJ$6&lt;$B21,0,IF(AJ$6&gt;$B21+$G$7,0,IF(AJ$6=$B21+$G$7,$C21-SUM($H21:AI21),IF(AJ$6=$B21,$C21/$G$7/2,$C21/$G$7))))</f>
        <v>7.8125</v>
      </c>
      <c r="AK21" s="70">
        <f>IF(AK$6&lt;$B21,0,IF(AK$6&gt;$B21+$G$7,0,IF(AK$6=$B21+$G$7,$C21-SUM($H21:AJ21),IF(AK$6=$B21,$C21/$G$7/2,$C21/$G$7))))</f>
        <v>7.8125</v>
      </c>
      <c r="AL21" s="70">
        <f>IF(AL$6&lt;$B21,0,IF(AL$6&gt;$B21+$G$7,0,IF(AL$6=$B21+$G$7,$C21-SUM($H21:AK21),IF(AL$6=$B21,$C21/$G$7/2,$C21/$G$7))))</f>
        <v>7.8125</v>
      </c>
      <c r="AM21" s="70">
        <f>IF(AM$6&lt;$B21,0,IF(AM$6&gt;$B21+$G$7,0,IF(AM$6=$B21+$G$7,$C21-SUM($H21:AL21),IF(AM$6=$B21,$C21/$G$7/2,$C21/$G$7))))</f>
        <v>7.8125</v>
      </c>
      <c r="AN21" s="70">
        <f>IF(AN$6&lt;$B21,0,IF(AN$6&gt;$B21+$G$7,0,IF(AN$6=$B21+$G$7,$C21-SUM($H21:AM21),IF(AN$6=$B21,$C21/$G$7/2,$C21/$G$7))))</f>
        <v>3.90625</v>
      </c>
      <c r="AO21" s="70">
        <f>IF(AO$6&lt;$B21,0,IF(AO$6&gt;$B21+$G$7,0,IF(AO$6=$B21+$G$7,$C21-SUM($H21:AN21),IF(AO$6=$B21,$C21/$G$7/2,$C21/$G$7))))</f>
        <v>0</v>
      </c>
      <c r="AP21" s="70">
        <f>IF(AP$6&lt;$B21,0,IF(AP$6&gt;$B21+$G$7,0,IF(AP$6=$B21+$G$7,$C21-SUM($H21:AO21),IF(AP$6=$B21,$C21/$G$7/2,$C21/$G$7))))</f>
        <v>0</v>
      </c>
      <c r="AQ21" s="70">
        <f>IF(AQ$6&lt;$B21,0,IF(AQ$6&gt;$B21+$G$7,0,IF(AQ$6=$B21+$G$7,$C21-SUM($H21:AP21),IF(AQ$6=$B21,$C21/$G$7/2,$C21/$G$7))))</f>
        <v>0</v>
      </c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</row>
    <row r="22" spans="2:55">
      <c r="B22" s="100">
        <f t="shared" si="3"/>
        <v>2028</v>
      </c>
      <c r="C22" s="97">
        <f>HLOOKUP(Depreciation!B22,Model!$I$72:$AQ$78,7)</f>
        <v>262.5</v>
      </c>
      <c r="E22" s="3" t="str">
        <f t="shared" si="2"/>
        <v>CADmm</v>
      </c>
      <c r="F22" s="3" t="s">
        <v>57</v>
      </c>
      <c r="G22" s="70"/>
      <c r="I22" s="70">
        <f>IF(I$6&lt;$B22,0,IF(I$6&gt;$B22+$G$7,0,IF(I$6=$B22+$G$7,$C22-SUM($H22:H22),IF(I$6=$B22,$C22/$G$7/2,$C22/$G$7))))</f>
        <v>0</v>
      </c>
      <c r="J22" s="70">
        <f>IF(J$6&lt;$B22,0,IF(J$6&gt;$B22+$G$7,0,IF(J$6=$B22+$G$7,$C22-SUM($H22:I22),IF(J$6=$B22,$C22/$G$7/2,$C22/$G$7))))</f>
        <v>0</v>
      </c>
      <c r="K22" s="70">
        <f>IF(K$6&lt;$B22,0,IF(K$6&gt;$B22+$G$7,0,IF(K$6=$B22+$G$7,$C22-SUM($H22:J22),IF(K$6=$B22,$C22/$G$7/2,$C22/$G$7))))</f>
        <v>0</v>
      </c>
      <c r="L22" s="70">
        <f>IF(L$6&lt;$B22,0,IF(L$6&gt;$B22+$G$7,0,IF(L$6=$B22+$G$7,$C22-SUM($H22:K22),IF(L$6=$B22,$C22/$G$7/2,$C22/$G$7))))</f>
        <v>0</v>
      </c>
      <c r="M22" s="70">
        <f>IF(M$6&lt;$B22,0,IF(M$6&gt;$B22+$G$7,0,IF(M$6=$B22+$G$7,$C22-SUM($H22:L22),IF(M$6=$B22,$C22/$G$7/2,$C22/$G$7))))</f>
        <v>0</v>
      </c>
      <c r="N22" s="70">
        <f>IF(N$6&lt;$B22,0,IF(N$6&gt;$B22+$G$7,0,IF(N$6=$B22+$G$7,$C22-SUM($H22:M22),IF(N$6=$B22,$C22/$G$7/2,$C22/$G$7))))</f>
        <v>0</v>
      </c>
      <c r="O22" s="70">
        <f>IF(O$6&lt;$B22,0,IF(O$6&gt;$B22+$G$7,0,IF(O$6=$B22+$G$7,$C22-SUM($H22:N22),IF(O$6=$B22,$C22/$G$7/2,$C22/$G$7))))</f>
        <v>0</v>
      </c>
      <c r="P22" s="70">
        <f>IF(P$6&lt;$B22,0,IF(P$6&gt;$B22+$G$7,0,IF(P$6=$B22+$G$7,$C22-SUM($H22:O22),IF(P$6=$B22,$C22/$G$7/2,$C22/$G$7))))</f>
        <v>0</v>
      </c>
      <c r="Q22" s="70">
        <f>IF(Q$6&lt;$B22,0,IF(Q$6&gt;$B22+$G$7,0,IF(Q$6=$B22+$G$7,$C22-SUM($H22:P22),IF(Q$6=$B22,$C22/$G$7/2,$C22/$G$7))))</f>
        <v>0</v>
      </c>
      <c r="R22" s="70">
        <f>IF(R$6&lt;$B22,0,IF(R$6&gt;$B22+$G$7,0,IF(R$6=$B22+$G$7,$C22-SUM($H22:Q22),IF(R$6=$B22,$C22/$G$7/2,$C22/$G$7))))</f>
        <v>0</v>
      </c>
      <c r="S22" s="70">
        <f>IF(S$6&lt;$B22,0,IF(S$6&gt;$B22+$G$7,0,IF(S$6=$B22+$G$7,$C22-SUM($H22:R22),IF(S$6=$B22,$C22/$G$7/2,$C22/$G$7))))</f>
        <v>0</v>
      </c>
      <c r="T22" s="70">
        <f>IF(T$6&lt;$B22,0,IF(T$6&gt;$B22+$G$7,0,IF(T$6=$B22+$G$7,$C22-SUM($H22:S22),IF(T$6=$B22,$C22/$G$7/2,$C22/$G$7))))</f>
        <v>0</v>
      </c>
      <c r="U22" s="70">
        <f>IF(U$6&lt;$B22,0,IF(U$6&gt;$B22+$G$7,0,IF(U$6=$B22+$G$7,$C22-SUM($H22:T22),IF(U$6=$B22,$C22/$G$7/2,$C22/$G$7))))</f>
        <v>6.5625</v>
      </c>
      <c r="V22" s="70">
        <f>IF(V$6&lt;$B22,0,IF(V$6&gt;$B22+$G$7,0,IF(V$6=$B22+$G$7,$C22-SUM($H22:U22),IF(V$6=$B22,$C22/$G$7/2,$C22/$G$7))))</f>
        <v>13.125</v>
      </c>
      <c r="W22" s="70">
        <f>IF(W$6&lt;$B22,0,IF(W$6&gt;$B22+$G$7,0,IF(W$6=$B22+$G$7,$C22-SUM($H22:V22),IF(W$6=$B22,$C22/$G$7/2,$C22/$G$7))))</f>
        <v>13.125</v>
      </c>
      <c r="X22" s="70">
        <f>IF(X$6&lt;$B22,0,IF(X$6&gt;$B22+$G$7,0,IF(X$6=$B22+$G$7,$C22-SUM($H22:W22),IF(X$6=$B22,$C22/$G$7/2,$C22/$G$7))))</f>
        <v>13.125</v>
      </c>
      <c r="Y22" s="70">
        <f>IF(Y$6&lt;$B22,0,IF(Y$6&gt;$B22+$G$7,0,IF(Y$6=$B22+$G$7,$C22-SUM($H22:X22),IF(Y$6=$B22,$C22/$G$7/2,$C22/$G$7))))</f>
        <v>13.125</v>
      </c>
      <c r="Z22" s="70">
        <f>IF(Z$6&lt;$B22,0,IF(Z$6&gt;$B22+$G$7,0,IF(Z$6=$B22+$G$7,$C22-SUM($H22:Y22),IF(Z$6=$B22,$C22/$G$7/2,$C22/$G$7))))</f>
        <v>13.125</v>
      </c>
      <c r="AA22" s="70">
        <f>IF(AA$6&lt;$B22,0,IF(AA$6&gt;$B22+$G$7,0,IF(AA$6=$B22+$G$7,$C22-SUM($H22:Z22),IF(AA$6=$B22,$C22/$G$7/2,$C22/$G$7))))</f>
        <v>13.125</v>
      </c>
      <c r="AB22" s="70">
        <f>IF(AB$6&lt;$B22,0,IF(AB$6&gt;$B22+$G$7,0,IF(AB$6=$B22+$G$7,$C22-SUM($H22:AA22),IF(AB$6=$B22,$C22/$G$7/2,$C22/$G$7))))</f>
        <v>13.125</v>
      </c>
      <c r="AC22" s="70">
        <f>IF(AC$6&lt;$B22,0,IF(AC$6&gt;$B22+$G$7,0,IF(AC$6=$B22+$G$7,$C22-SUM($H22:AB22),IF(AC$6=$B22,$C22/$G$7/2,$C22/$G$7))))</f>
        <v>13.125</v>
      </c>
      <c r="AD22" s="70">
        <f>IF(AD$6&lt;$B22,0,IF(AD$6&gt;$B22+$G$7,0,IF(AD$6=$B22+$G$7,$C22-SUM($H22:AC22),IF(AD$6=$B22,$C22/$G$7/2,$C22/$G$7))))</f>
        <v>13.125</v>
      </c>
      <c r="AE22" s="70">
        <f>IF(AE$6&lt;$B22,0,IF(AE$6&gt;$B22+$G$7,0,IF(AE$6=$B22+$G$7,$C22-SUM($H22:AD22),IF(AE$6=$B22,$C22/$G$7/2,$C22/$G$7))))</f>
        <v>13.125</v>
      </c>
      <c r="AF22" s="70">
        <f>IF(AF$6&lt;$B22,0,IF(AF$6&gt;$B22+$G$7,0,IF(AF$6=$B22+$G$7,$C22-SUM($H22:AE22),IF(AF$6=$B22,$C22/$G$7/2,$C22/$G$7))))</f>
        <v>13.125</v>
      </c>
      <c r="AG22" s="70">
        <f>IF(AG$6&lt;$B22,0,IF(AG$6&gt;$B22+$G$7,0,IF(AG$6=$B22+$G$7,$C22-SUM($H22:AF22),IF(AG$6=$B22,$C22/$G$7/2,$C22/$G$7))))</f>
        <v>13.125</v>
      </c>
      <c r="AH22" s="70">
        <f>IF(AH$6&lt;$B22,0,IF(AH$6&gt;$B22+$G$7,0,IF(AH$6=$B22+$G$7,$C22-SUM($H22:AG22),IF(AH$6=$B22,$C22/$G$7/2,$C22/$G$7))))</f>
        <v>13.125</v>
      </c>
      <c r="AI22" s="70">
        <f>IF(AI$6&lt;$B22,0,IF(AI$6&gt;$B22+$G$7,0,IF(AI$6=$B22+$G$7,$C22-SUM($H22:AH22),IF(AI$6=$B22,$C22/$G$7/2,$C22/$G$7))))</f>
        <v>13.125</v>
      </c>
      <c r="AJ22" s="70">
        <f>IF(AJ$6&lt;$B22,0,IF(AJ$6&gt;$B22+$G$7,0,IF(AJ$6=$B22+$G$7,$C22-SUM($H22:AI22),IF(AJ$6=$B22,$C22/$G$7/2,$C22/$G$7))))</f>
        <v>13.125</v>
      </c>
      <c r="AK22" s="70">
        <f>IF(AK$6&lt;$B22,0,IF(AK$6&gt;$B22+$G$7,0,IF(AK$6=$B22+$G$7,$C22-SUM($H22:AJ22),IF(AK$6=$B22,$C22/$G$7/2,$C22/$G$7))))</f>
        <v>13.125</v>
      </c>
      <c r="AL22" s="70">
        <f>IF(AL$6&lt;$B22,0,IF(AL$6&gt;$B22+$G$7,0,IF(AL$6=$B22+$G$7,$C22-SUM($H22:AK22),IF(AL$6=$B22,$C22/$G$7/2,$C22/$G$7))))</f>
        <v>13.125</v>
      </c>
      <c r="AM22" s="70">
        <f>IF(AM$6&lt;$B22,0,IF(AM$6&gt;$B22+$G$7,0,IF(AM$6=$B22+$G$7,$C22-SUM($H22:AL22),IF(AM$6=$B22,$C22/$G$7/2,$C22/$G$7))))</f>
        <v>13.125</v>
      </c>
      <c r="AN22" s="70">
        <f>IF(AN$6&lt;$B22,0,IF(AN$6&gt;$B22+$G$7,0,IF(AN$6=$B22+$G$7,$C22-SUM($H22:AM22),IF(AN$6=$B22,$C22/$G$7/2,$C22/$G$7))))</f>
        <v>13.125</v>
      </c>
      <c r="AO22" s="70">
        <f>IF(AO$6&lt;$B22,0,IF(AO$6&gt;$B22+$G$7,0,IF(AO$6=$B22+$G$7,$C22-SUM($H22:AN22),IF(AO$6=$B22,$C22/$G$7/2,$C22/$G$7))))</f>
        <v>6.5625</v>
      </c>
      <c r="AP22" s="70">
        <f>IF(AP$6&lt;$B22,0,IF(AP$6&gt;$B22+$G$7,0,IF(AP$6=$B22+$G$7,$C22-SUM($H22:AO22),IF(AP$6=$B22,$C22/$G$7/2,$C22/$G$7))))</f>
        <v>0</v>
      </c>
      <c r="AQ22" s="70">
        <f>IF(AQ$6&lt;$B22,0,IF(AQ$6&gt;$B22+$G$7,0,IF(AQ$6=$B22+$G$7,$C22-SUM($H22:AP22),IF(AQ$6=$B22,$C22/$G$7/2,$C22/$G$7))))</f>
        <v>0</v>
      </c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</row>
    <row r="23" spans="2:55">
      <c r="B23" s="100">
        <f t="shared" si="3"/>
        <v>2029</v>
      </c>
      <c r="C23" s="97">
        <f>HLOOKUP(Depreciation!B23,Model!$I$72:$AQ$78,7)</f>
        <v>156.25</v>
      </c>
      <c r="E23" s="3" t="str">
        <f t="shared" si="2"/>
        <v>CADmm</v>
      </c>
      <c r="F23" s="3" t="s">
        <v>57</v>
      </c>
      <c r="I23" s="70">
        <f>IF(I$6&lt;$B23,0,IF(I$6&gt;$B23+$G$7,0,IF(I$6=$B23+$G$7,$C23-SUM($H23:H23),IF(I$6=$B23,$C23/$G$7/2,$C23/$G$7))))</f>
        <v>0</v>
      </c>
      <c r="J23" s="70">
        <f>IF(J$6&lt;$B23,0,IF(J$6&gt;$B23+$G$7,0,IF(J$6=$B23+$G$7,$C23-SUM($H23:I23),IF(J$6=$B23,$C23/$G$7/2,$C23/$G$7))))</f>
        <v>0</v>
      </c>
      <c r="K23" s="70">
        <f>IF(K$6&lt;$B23,0,IF(K$6&gt;$B23+$G$7,0,IF(K$6=$B23+$G$7,$C23-SUM($H23:J23),IF(K$6=$B23,$C23/$G$7/2,$C23/$G$7))))</f>
        <v>0</v>
      </c>
      <c r="L23" s="70">
        <f>IF(L$6&lt;$B23,0,IF(L$6&gt;$B23+$G$7,0,IF(L$6=$B23+$G$7,$C23-SUM($H23:K23),IF(L$6=$B23,$C23/$G$7/2,$C23/$G$7))))</f>
        <v>0</v>
      </c>
      <c r="M23" s="70">
        <f>IF(M$6&lt;$B23,0,IF(M$6&gt;$B23+$G$7,0,IF(M$6=$B23+$G$7,$C23-SUM($H23:L23),IF(M$6=$B23,$C23/$G$7/2,$C23/$G$7))))</f>
        <v>0</v>
      </c>
      <c r="N23" s="70">
        <f>IF(N$6&lt;$B23,0,IF(N$6&gt;$B23+$G$7,0,IF(N$6=$B23+$G$7,$C23-SUM($H23:M23),IF(N$6=$B23,$C23/$G$7/2,$C23/$G$7))))</f>
        <v>0</v>
      </c>
      <c r="O23" s="70">
        <f>IF(O$6&lt;$B23,0,IF(O$6&gt;$B23+$G$7,0,IF(O$6=$B23+$G$7,$C23-SUM($H23:N23),IF(O$6=$B23,$C23/$G$7/2,$C23/$G$7))))</f>
        <v>0</v>
      </c>
      <c r="P23" s="70">
        <f>IF(P$6&lt;$B23,0,IF(P$6&gt;$B23+$G$7,0,IF(P$6=$B23+$G$7,$C23-SUM($H23:O23),IF(P$6=$B23,$C23/$G$7/2,$C23/$G$7))))</f>
        <v>0</v>
      </c>
      <c r="Q23" s="70">
        <f>IF(Q$6&lt;$B23,0,IF(Q$6&gt;$B23+$G$7,0,IF(Q$6=$B23+$G$7,$C23-SUM($H23:P23),IF(Q$6=$B23,$C23/$G$7/2,$C23/$G$7))))</f>
        <v>0</v>
      </c>
      <c r="R23" s="70">
        <f>IF(R$6&lt;$B23,0,IF(R$6&gt;$B23+$G$7,0,IF(R$6=$B23+$G$7,$C23-SUM($H23:Q23),IF(R$6=$B23,$C23/$G$7/2,$C23/$G$7))))</f>
        <v>0</v>
      </c>
      <c r="S23" s="70">
        <f>IF(S$6&lt;$B23,0,IF(S$6&gt;$B23+$G$7,0,IF(S$6=$B23+$G$7,$C23-SUM($H23:R23),IF(S$6=$B23,$C23/$G$7/2,$C23/$G$7))))</f>
        <v>0</v>
      </c>
      <c r="T23" s="70">
        <f>IF(T$6&lt;$B23,0,IF(T$6&gt;$B23+$G$7,0,IF(T$6=$B23+$G$7,$C23-SUM($H23:S23),IF(T$6=$B23,$C23/$G$7/2,$C23/$G$7))))</f>
        <v>0</v>
      </c>
      <c r="U23" s="70">
        <f>IF(U$6&lt;$B23,0,IF(U$6&gt;$B23+$G$7,0,IF(U$6=$B23+$G$7,$C23-SUM($H23:T23),IF(U$6=$B23,$C23/$G$7/2,$C23/$G$7))))</f>
        <v>0</v>
      </c>
      <c r="V23" s="70">
        <f>IF(V$6&lt;$B23,0,IF(V$6&gt;$B23+$G$7,0,IF(V$6=$B23+$G$7,$C23-SUM($H23:U23),IF(V$6=$B23,$C23/$G$7/2,$C23/$G$7))))</f>
        <v>3.90625</v>
      </c>
      <c r="W23" s="70">
        <f>IF(W$6&lt;$B23,0,IF(W$6&gt;$B23+$G$7,0,IF(W$6=$B23+$G$7,$C23-SUM($H23:V23),IF(W$6=$B23,$C23/$G$7/2,$C23/$G$7))))</f>
        <v>7.8125</v>
      </c>
      <c r="X23" s="70">
        <f>IF(X$6&lt;$B23,0,IF(X$6&gt;$B23+$G$7,0,IF(X$6=$B23+$G$7,$C23-SUM($H23:W23),IF(X$6=$B23,$C23/$G$7/2,$C23/$G$7))))</f>
        <v>7.8125</v>
      </c>
      <c r="Y23" s="70">
        <f>IF(Y$6&lt;$B23,0,IF(Y$6&gt;$B23+$G$7,0,IF(Y$6=$B23+$G$7,$C23-SUM($H23:X23),IF(Y$6=$B23,$C23/$G$7/2,$C23/$G$7))))</f>
        <v>7.8125</v>
      </c>
      <c r="Z23" s="70">
        <f>IF(Z$6&lt;$B23,0,IF(Z$6&gt;$B23+$G$7,0,IF(Z$6=$B23+$G$7,$C23-SUM($H23:Y23),IF(Z$6=$B23,$C23/$G$7/2,$C23/$G$7))))</f>
        <v>7.8125</v>
      </c>
      <c r="AA23" s="70">
        <f>IF(AA$6&lt;$B23,0,IF(AA$6&gt;$B23+$G$7,0,IF(AA$6=$B23+$G$7,$C23-SUM($H23:Z23),IF(AA$6=$B23,$C23/$G$7/2,$C23/$G$7))))</f>
        <v>7.8125</v>
      </c>
      <c r="AB23" s="70">
        <f>IF(AB$6&lt;$B23,0,IF(AB$6&gt;$B23+$G$7,0,IF(AB$6=$B23+$G$7,$C23-SUM($H23:AA23),IF(AB$6=$B23,$C23/$G$7/2,$C23/$G$7))))</f>
        <v>7.8125</v>
      </c>
      <c r="AC23" s="70">
        <f>IF(AC$6&lt;$B23,0,IF(AC$6&gt;$B23+$G$7,0,IF(AC$6=$B23+$G$7,$C23-SUM($H23:AB23),IF(AC$6=$B23,$C23/$G$7/2,$C23/$G$7))))</f>
        <v>7.8125</v>
      </c>
      <c r="AD23" s="70">
        <f>IF(AD$6&lt;$B23,0,IF(AD$6&gt;$B23+$G$7,0,IF(AD$6=$B23+$G$7,$C23-SUM($H23:AC23),IF(AD$6=$B23,$C23/$G$7/2,$C23/$G$7))))</f>
        <v>7.8125</v>
      </c>
      <c r="AE23" s="70">
        <f>IF(AE$6&lt;$B23,0,IF(AE$6&gt;$B23+$G$7,0,IF(AE$6=$B23+$G$7,$C23-SUM($H23:AD23),IF(AE$6=$B23,$C23/$G$7/2,$C23/$G$7))))</f>
        <v>7.8125</v>
      </c>
      <c r="AF23" s="70">
        <f>IF(AF$6&lt;$B23,0,IF(AF$6&gt;$B23+$G$7,0,IF(AF$6=$B23+$G$7,$C23-SUM($H23:AE23),IF(AF$6=$B23,$C23/$G$7/2,$C23/$G$7))))</f>
        <v>7.8125</v>
      </c>
      <c r="AG23" s="70">
        <f>IF(AG$6&lt;$B23,0,IF(AG$6&gt;$B23+$G$7,0,IF(AG$6=$B23+$G$7,$C23-SUM($H23:AF23),IF(AG$6=$B23,$C23/$G$7/2,$C23/$G$7))))</f>
        <v>7.8125</v>
      </c>
      <c r="AH23" s="70">
        <f>IF(AH$6&lt;$B23,0,IF(AH$6&gt;$B23+$G$7,0,IF(AH$6=$B23+$G$7,$C23-SUM($H23:AG23),IF(AH$6=$B23,$C23/$G$7/2,$C23/$G$7))))</f>
        <v>7.8125</v>
      </c>
      <c r="AI23" s="70">
        <f>IF(AI$6&lt;$B23,0,IF(AI$6&gt;$B23+$G$7,0,IF(AI$6=$B23+$G$7,$C23-SUM($H23:AH23),IF(AI$6=$B23,$C23/$G$7/2,$C23/$G$7))))</f>
        <v>7.8125</v>
      </c>
      <c r="AJ23" s="70">
        <f>IF(AJ$6&lt;$B23,0,IF(AJ$6&gt;$B23+$G$7,0,IF(AJ$6=$B23+$G$7,$C23-SUM($H23:AI23),IF(AJ$6=$B23,$C23/$G$7/2,$C23/$G$7))))</f>
        <v>7.8125</v>
      </c>
      <c r="AK23" s="70">
        <f>IF(AK$6&lt;$B23,0,IF(AK$6&gt;$B23+$G$7,0,IF(AK$6=$B23+$G$7,$C23-SUM($H23:AJ23),IF(AK$6=$B23,$C23/$G$7/2,$C23/$G$7))))</f>
        <v>7.8125</v>
      </c>
      <c r="AL23" s="70">
        <f>IF(AL$6&lt;$B23,0,IF(AL$6&gt;$B23+$G$7,0,IF(AL$6=$B23+$G$7,$C23-SUM($H23:AK23),IF(AL$6=$B23,$C23/$G$7/2,$C23/$G$7))))</f>
        <v>7.8125</v>
      </c>
      <c r="AM23" s="70">
        <f>IF(AM$6&lt;$B23,0,IF(AM$6&gt;$B23+$G$7,0,IF(AM$6=$B23+$G$7,$C23-SUM($H23:AL23),IF(AM$6=$B23,$C23/$G$7/2,$C23/$G$7))))</f>
        <v>7.8125</v>
      </c>
      <c r="AN23" s="70">
        <f>IF(AN$6&lt;$B23,0,IF(AN$6&gt;$B23+$G$7,0,IF(AN$6=$B23+$G$7,$C23-SUM($H23:AM23),IF(AN$6=$B23,$C23/$G$7/2,$C23/$G$7))))</f>
        <v>7.8125</v>
      </c>
      <c r="AO23" s="70">
        <f>IF(AO$6&lt;$B23,0,IF(AO$6&gt;$B23+$G$7,0,IF(AO$6=$B23+$G$7,$C23-SUM($H23:AN23),IF(AO$6=$B23,$C23/$G$7/2,$C23/$G$7))))</f>
        <v>7.8125</v>
      </c>
      <c r="AP23" s="70">
        <f>IF(AP$6&lt;$B23,0,IF(AP$6&gt;$B23+$G$7,0,IF(AP$6=$B23+$G$7,$C23-SUM($H23:AO23),IF(AP$6=$B23,$C23/$G$7/2,$C23/$G$7))))</f>
        <v>3.90625</v>
      </c>
      <c r="AQ23" s="70">
        <f>IF(AQ$6&lt;$B23,0,IF(AQ$6&gt;$B23+$G$7,0,IF(AQ$6=$B23+$G$7,$C23-SUM($H23:AP23),IF(AQ$6=$B23,$C23/$G$7/2,$C23/$G$7))))</f>
        <v>0</v>
      </c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</row>
    <row r="24" spans="2:55">
      <c r="B24" s="100">
        <f t="shared" si="3"/>
        <v>2030</v>
      </c>
      <c r="C24" s="97">
        <f>HLOOKUP(Depreciation!B24,Model!$I$72:$AQ$78,7)</f>
        <v>156.25</v>
      </c>
      <c r="E24" s="3" t="str">
        <f t="shared" si="2"/>
        <v>CADmm</v>
      </c>
      <c r="F24" s="3" t="s">
        <v>57</v>
      </c>
      <c r="I24" s="70">
        <f>IF(I$6&lt;$B24,0,IF(I$6&gt;$B24+$G$7,0,IF(I$6=$B24+$G$7,$C24-SUM($H24:H24),IF(I$6=$B24,$C24/$G$7/2,$C24/$G$7))))</f>
        <v>0</v>
      </c>
      <c r="J24" s="70">
        <f>IF(J$6&lt;$B24,0,IF(J$6&gt;$B24+$G$7,0,IF(J$6=$B24+$G$7,$C24-SUM($H24:I24),IF(J$6=$B24,$C24/$G$7/2,$C24/$G$7))))</f>
        <v>0</v>
      </c>
      <c r="K24" s="70">
        <f>IF(K$6&lt;$B24,0,IF(K$6&gt;$B24+$G$7,0,IF(K$6=$B24+$G$7,$C24-SUM($H24:J24),IF(K$6=$B24,$C24/$G$7/2,$C24/$G$7))))</f>
        <v>0</v>
      </c>
      <c r="L24" s="70">
        <f>IF(L$6&lt;$B24,0,IF(L$6&gt;$B24+$G$7,0,IF(L$6=$B24+$G$7,$C24-SUM($H24:K24),IF(L$6=$B24,$C24/$G$7/2,$C24/$G$7))))</f>
        <v>0</v>
      </c>
      <c r="M24" s="70">
        <f>IF(M$6&lt;$B24,0,IF(M$6&gt;$B24+$G$7,0,IF(M$6=$B24+$G$7,$C24-SUM($H24:L24),IF(M$6=$B24,$C24/$G$7/2,$C24/$G$7))))</f>
        <v>0</v>
      </c>
      <c r="N24" s="70">
        <f>IF(N$6&lt;$B24,0,IF(N$6&gt;$B24+$G$7,0,IF(N$6=$B24+$G$7,$C24-SUM($H24:M24),IF(N$6=$B24,$C24/$G$7/2,$C24/$G$7))))</f>
        <v>0</v>
      </c>
      <c r="O24" s="70">
        <f>IF(O$6&lt;$B24,0,IF(O$6&gt;$B24+$G$7,0,IF(O$6=$B24+$G$7,$C24-SUM($H24:N24),IF(O$6=$B24,$C24/$G$7/2,$C24/$G$7))))</f>
        <v>0</v>
      </c>
      <c r="P24" s="70">
        <f>IF(P$6&lt;$B24,0,IF(P$6&gt;$B24+$G$7,0,IF(P$6=$B24+$G$7,$C24-SUM($H24:O24),IF(P$6=$B24,$C24/$G$7/2,$C24/$G$7))))</f>
        <v>0</v>
      </c>
      <c r="Q24" s="70">
        <f>IF(Q$6&lt;$B24,0,IF(Q$6&gt;$B24+$G$7,0,IF(Q$6=$B24+$G$7,$C24-SUM($H24:P24),IF(Q$6=$B24,$C24/$G$7/2,$C24/$G$7))))</f>
        <v>0</v>
      </c>
      <c r="R24" s="70">
        <f>IF(R$6&lt;$B24,0,IF(R$6&gt;$B24+$G$7,0,IF(R$6=$B24+$G$7,$C24-SUM($H24:Q24),IF(R$6=$B24,$C24/$G$7/2,$C24/$G$7))))</f>
        <v>0</v>
      </c>
      <c r="S24" s="70">
        <f>IF(S$6&lt;$B24,0,IF(S$6&gt;$B24+$G$7,0,IF(S$6=$B24+$G$7,$C24-SUM($H24:R24),IF(S$6=$B24,$C24/$G$7/2,$C24/$G$7))))</f>
        <v>0</v>
      </c>
      <c r="T24" s="70">
        <f>IF(T$6&lt;$B24,0,IF(T$6&gt;$B24+$G$7,0,IF(T$6=$B24+$G$7,$C24-SUM($H24:S24),IF(T$6=$B24,$C24/$G$7/2,$C24/$G$7))))</f>
        <v>0</v>
      </c>
      <c r="U24" s="70">
        <f>IF(U$6&lt;$B24,0,IF(U$6&gt;$B24+$G$7,0,IF(U$6=$B24+$G$7,$C24-SUM($H24:T24),IF(U$6=$B24,$C24/$G$7/2,$C24/$G$7))))</f>
        <v>0</v>
      </c>
      <c r="V24" s="70">
        <f>IF(V$6&lt;$B24,0,IF(V$6&gt;$B24+$G$7,0,IF(V$6=$B24+$G$7,$C24-SUM($H24:U24),IF(V$6=$B24,$C24/$G$7/2,$C24/$G$7))))</f>
        <v>0</v>
      </c>
      <c r="W24" s="70">
        <f>IF(W$6&lt;$B24,0,IF(W$6&gt;$B24+$G$7,0,IF(W$6=$B24+$G$7,$C24-SUM($H24:V24),IF(W$6=$B24,$C24/$G$7/2,$C24/$G$7))))</f>
        <v>3.90625</v>
      </c>
      <c r="X24" s="70">
        <f>IF(X$6&lt;$B24,0,IF(X$6&gt;$B24+$G$7,0,IF(X$6=$B24+$G$7,$C24-SUM($H24:W24),IF(X$6=$B24,$C24/$G$7/2,$C24/$G$7))))</f>
        <v>7.8125</v>
      </c>
      <c r="Y24" s="70">
        <f>IF(Y$6&lt;$B24,0,IF(Y$6&gt;$B24+$G$7,0,IF(Y$6=$B24+$G$7,$C24-SUM($H24:X24),IF(Y$6=$B24,$C24/$G$7/2,$C24/$G$7))))</f>
        <v>7.8125</v>
      </c>
      <c r="Z24" s="70">
        <f>IF(Z$6&lt;$B24,0,IF(Z$6&gt;$B24+$G$7,0,IF(Z$6=$B24+$G$7,$C24-SUM($H24:Y24),IF(Z$6=$B24,$C24/$G$7/2,$C24/$G$7))))</f>
        <v>7.8125</v>
      </c>
      <c r="AA24" s="70">
        <f>IF(AA$6&lt;$B24,0,IF(AA$6&gt;$B24+$G$7,0,IF(AA$6=$B24+$G$7,$C24-SUM($H24:Z24),IF(AA$6=$B24,$C24/$G$7/2,$C24/$G$7))))</f>
        <v>7.8125</v>
      </c>
      <c r="AB24" s="70">
        <f>IF(AB$6&lt;$B24,0,IF(AB$6&gt;$B24+$G$7,0,IF(AB$6=$B24+$G$7,$C24-SUM($H24:AA24),IF(AB$6=$B24,$C24/$G$7/2,$C24/$G$7))))</f>
        <v>7.8125</v>
      </c>
      <c r="AC24" s="70">
        <f>IF(AC$6&lt;$B24,0,IF(AC$6&gt;$B24+$G$7,0,IF(AC$6=$B24+$G$7,$C24-SUM($H24:AB24),IF(AC$6=$B24,$C24/$G$7/2,$C24/$G$7))))</f>
        <v>7.8125</v>
      </c>
      <c r="AD24" s="70">
        <f>IF(AD$6&lt;$B24,0,IF(AD$6&gt;$B24+$G$7,0,IF(AD$6=$B24+$G$7,$C24-SUM($H24:AC24),IF(AD$6=$B24,$C24/$G$7/2,$C24/$G$7))))</f>
        <v>7.8125</v>
      </c>
      <c r="AE24" s="70">
        <f>IF(AE$6&lt;$B24,0,IF(AE$6&gt;$B24+$G$7,0,IF(AE$6=$B24+$G$7,$C24-SUM($H24:AD24),IF(AE$6=$B24,$C24/$G$7/2,$C24/$G$7))))</f>
        <v>7.8125</v>
      </c>
      <c r="AF24" s="70">
        <f>IF(AF$6&lt;$B24,0,IF(AF$6&gt;$B24+$G$7,0,IF(AF$6=$B24+$G$7,$C24-SUM($H24:AE24),IF(AF$6=$B24,$C24/$G$7/2,$C24/$G$7))))</f>
        <v>7.8125</v>
      </c>
      <c r="AG24" s="70">
        <f>IF(AG$6&lt;$B24,0,IF(AG$6&gt;$B24+$G$7,0,IF(AG$6=$B24+$G$7,$C24-SUM($H24:AF24),IF(AG$6=$B24,$C24/$G$7/2,$C24/$G$7))))</f>
        <v>7.8125</v>
      </c>
      <c r="AH24" s="70">
        <f>IF(AH$6&lt;$B24,0,IF(AH$6&gt;$B24+$G$7,0,IF(AH$6=$B24+$G$7,$C24-SUM($H24:AG24),IF(AH$6=$B24,$C24/$G$7/2,$C24/$G$7))))</f>
        <v>7.8125</v>
      </c>
      <c r="AI24" s="70">
        <f>IF(AI$6&lt;$B24,0,IF(AI$6&gt;$B24+$G$7,0,IF(AI$6=$B24+$G$7,$C24-SUM($H24:AH24),IF(AI$6=$B24,$C24/$G$7/2,$C24/$G$7))))</f>
        <v>7.8125</v>
      </c>
      <c r="AJ24" s="70">
        <f>IF(AJ$6&lt;$B24,0,IF(AJ$6&gt;$B24+$G$7,0,IF(AJ$6=$B24+$G$7,$C24-SUM($H24:AI24),IF(AJ$6=$B24,$C24/$G$7/2,$C24/$G$7))))</f>
        <v>7.8125</v>
      </c>
      <c r="AK24" s="70">
        <f>IF(AK$6&lt;$B24,0,IF(AK$6&gt;$B24+$G$7,0,IF(AK$6=$B24+$G$7,$C24-SUM($H24:AJ24),IF(AK$6=$B24,$C24/$G$7/2,$C24/$G$7))))</f>
        <v>7.8125</v>
      </c>
      <c r="AL24" s="70">
        <f>IF(AL$6&lt;$B24,0,IF(AL$6&gt;$B24+$G$7,0,IF(AL$6=$B24+$G$7,$C24-SUM($H24:AK24),IF(AL$6=$B24,$C24/$G$7/2,$C24/$G$7))))</f>
        <v>7.8125</v>
      </c>
      <c r="AM24" s="70">
        <f>IF(AM$6&lt;$B24,0,IF(AM$6&gt;$B24+$G$7,0,IF(AM$6=$B24+$G$7,$C24-SUM($H24:AL24),IF(AM$6=$B24,$C24/$G$7/2,$C24/$G$7))))</f>
        <v>7.8125</v>
      </c>
      <c r="AN24" s="70">
        <f>IF(AN$6&lt;$B24,0,IF(AN$6&gt;$B24+$G$7,0,IF(AN$6=$B24+$G$7,$C24-SUM($H24:AM24),IF(AN$6=$B24,$C24/$G$7/2,$C24/$G$7))))</f>
        <v>7.8125</v>
      </c>
      <c r="AO24" s="70">
        <f>IF(AO$6&lt;$B24,0,IF(AO$6&gt;$B24+$G$7,0,IF(AO$6=$B24+$G$7,$C24-SUM($H24:AN24),IF(AO$6=$B24,$C24/$G$7/2,$C24/$G$7))))</f>
        <v>7.8125</v>
      </c>
      <c r="AP24" s="70">
        <f>IF(AP$6&lt;$B24,0,IF(AP$6&gt;$B24+$G$7,0,IF(AP$6=$B24+$G$7,$C24-SUM($H24:AO24),IF(AP$6=$B24,$C24/$G$7/2,$C24/$G$7))))</f>
        <v>7.8125</v>
      </c>
      <c r="AQ24" s="70">
        <f>IF(AQ$6&lt;$B24,0,IF(AQ$6&gt;$B24+$G$7,0,IF(AQ$6=$B24+$G$7,$C24-SUM($H24:AP24),IF(AQ$6=$B24,$C24/$G$7/2,$C24/$G$7))))</f>
        <v>3.90625</v>
      </c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</row>
    <row r="25" spans="2:55">
      <c r="B25" s="100">
        <f t="shared" si="3"/>
        <v>2031</v>
      </c>
      <c r="C25" s="97">
        <f>HLOOKUP(Depreciation!B25,Model!$I$72:$AQ$78,7)</f>
        <v>156.25</v>
      </c>
      <c r="E25" s="3" t="str">
        <f t="shared" si="2"/>
        <v>CADmm</v>
      </c>
      <c r="F25" s="3" t="s">
        <v>57</v>
      </c>
      <c r="I25" s="70">
        <f>IF(I$6&lt;$B25,0,IF(I$6&gt;$B25+$G$7,0,IF(I$6=$B25+$G$7,$C25-SUM($H25:H25),IF(I$6=$B25,$C25/$G$7/2,$C25/$G$7))))</f>
        <v>0</v>
      </c>
      <c r="J25" s="70">
        <f>IF(J$6&lt;$B25,0,IF(J$6&gt;$B25+$G$7,0,IF(J$6=$B25+$G$7,$C25-SUM($H25:I25),IF(J$6=$B25,$C25/$G$7/2,$C25/$G$7))))</f>
        <v>0</v>
      </c>
      <c r="K25" s="70">
        <f>IF(K$6&lt;$B25,0,IF(K$6&gt;$B25+$G$7,0,IF(K$6=$B25+$G$7,$C25-SUM($H25:J25),IF(K$6=$B25,$C25/$G$7/2,$C25/$G$7))))</f>
        <v>0</v>
      </c>
      <c r="L25" s="70">
        <f>IF(L$6&lt;$B25,0,IF(L$6&gt;$B25+$G$7,0,IF(L$6=$B25+$G$7,$C25-SUM($H25:K25),IF(L$6=$B25,$C25/$G$7/2,$C25/$G$7))))</f>
        <v>0</v>
      </c>
      <c r="M25" s="70">
        <f>IF(M$6&lt;$B25,0,IF(M$6&gt;$B25+$G$7,0,IF(M$6=$B25+$G$7,$C25-SUM($H25:L25),IF(M$6=$B25,$C25/$G$7/2,$C25/$G$7))))</f>
        <v>0</v>
      </c>
      <c r="N25" s="70">
        <f>IF(N$6&lt;$B25,0,IF(N$6&gt;$B25+$G$7,0,IF(N$6=$B25+$G$7,$C25-SUM($H25:M25),IF(N$6=$B25,$C25/$G$7/2,$C25/$G$7))))</f>
        <v>0</v>
      </c>
      <c r="O25" s="70">
        <f>IF(O$6&lt;$B25,0,IF(O$6&gt;$B25+$G$7,0,IF(O$6=$B25+$G$7,$C25-SUM($H25:N25),IF(O$6=$B25,$C25/$G$7/2,$C25/$G$7))))</f>
        <v>0</v>
      </c>
      <c r="P25" s="70">
        <f>IF(P$6&lt;$B25,0,IF(P$6&gt;$B25+$G$7,0,IF(P$6=$B25+$G$7,$C25-SUM($H25:O25),IF(P$6=$B25,$C25/$G$7/2,$C25/$G$7))))</f>
        <v>0</v>
      </c>
      <c r="Q25" s="70">
        <f>IF(Q$6&lt;$B25,0,IF(Q$6&gt;$B25+$G$7,0,IF(Q$6=$B25+$G$7,$C25-SUM($H25:P25),IF(Q$6=$B25,$C25/$G$7/2,$C25/$G$7))))</f>
        <v>0</v>
      </c>
      <c r="R25" s="70">
        <f>IF(R$6&lt;$B25,0,IF(R$6&gt;$B25+$G$7,0,IF(R$6=$B25+$G$7,$C25-SUM($H25:Q25),IF(R$6=$B25,$C25/$G$7/2,$C25/$G$7))))</f>
        <v>0</v>
      </c>
      <c r="S25" s="70">
        <f>IF(S$6&lt;$B25,0,IF(S$6&gt;$B25+$G$7,0,IF(S$6=$B25+$G$7,$C25-SUM($H25:R25),IF(S$6=$B25,$C25/$G$7/2,$C25/$G$7))))</f>
        <v>0</v>
      </c>
      <c r="T25" s="70">
        <f>IF(T$6&lt;$B25,0,IF(T$6&gt;$B25+$G$7,0,IF(T$6=$B25+$G$7,$C25-SUM($H25:S25),IF(T$6=$B25,$C25/$G$7/2,$C25/$G$7))))</f>
        <v>0</v>
      </c>
      <c r="U25" s="70">
        <f>IF(U$6&lt;$B25,0,IF(U$6&gt;$B25+$G$7,0,IF(U$6=$B25+$G$7,$C25-SUM($H25:T25),IF(U$6=$B25,$C25/$G$7/2,$C25/$G$7))))</f>
        <v>0</v>
      </c>
      <c r="V25" s="70">
        <f>IF(V$6&lt;$B25,0,IF(V$6&gt;$B25+$G$7,0,IF(V$6=$B25+$G$7,$C25-SUM($H25:U25),IF(V$6=$B25,$C25/$G$7/2,$C25/$G$7))))</f>
        <v>0</v>
      </c>
      <c r="W25" s="70">
        <f>IF(W$6&lt;$B25,0,IF(W$6&gt;$B25+$G$7,0,IF(W$6=$B25+$G$7,$C25-SUM($H25:V25),IF(W$6=$B25,$C25/$G$7/2,$C25/$G$7))))</f>
        <v>0</v>
      </c>
      <c r="X25" s="70">
        <f>IF(X$6&lt;$B25,0,IF(X$6&gt;$B25+$G$7,0,IF(X$6=$B25+$G$7,$C25-SUM($H25:W25),IF(X$6=$B25,$C25/$G$7/2,$C25/$G$7))))</f>
        <v>3.90625</v>
      </c>
      <c r="Y25" s="70">
        <f>IF(Y$6&lt;$B25,0,IF(Y$6&gt;$B25+$G$7,0,IF(Y$6=$B25+$G$7,$C25-SUM($H25:X25),IF(Y$6=$B25,$C25/$G$7/2,$C25/$G$7))))</f>
        <v>7.8125</v>
      </c>
      <c r="Z25" s="70">
        <f>IF(Z$6&lt;$B25,0,IF(Z$6&gt;$B25+$G$7,0,IF(Z$6=$B25+$G$7,$C25-SUM($H25:Y25),IF(Z$6=$B25,$C25/$G$7/2,$C25/$G$7))))</f>
        <v>7.8125</v>
      </c>
      <c r="AA25" s="70">
        <f>IF(AA$6&lt;$B25,0,IF(AA$6&gt;$B25+$G$7,0,IF(AA$6=$B25+$G$7,$C25-SUM($H25:Z25),IF(AA$6=$B25,$C25/$G$7/2,$C25/$G$7))))</f>
        <v>7.8125</v>
      </c>
      <c r="AB25" s="70">
        <f>IF(AB$6&lt;$B25,0,IF(AB$6&gt;$B25+$G$7,0,IF(AB$6=$B25+$G$7,$C25-SUM($H25:AA25),IF(AB$6=$B25,$C25/$G$7/2,$C25/$G$7))))</f>
        <v>7.8125</v>
      </c>
      <c r="AC25" s="70">
        <f>IF(AC$6&lt;$B25,0,IF(AC$6&gt;$B25+$G$7,0,IF(AC$6=$B25+$G$7,$C25-SUM($H25:AB25),IF(AC$6=$B25,$C25/$G$7/2,$C25/$G$7))))</f>
        <v>7.8125</v>
      </c>
      <c r="AD25" s="70">
        <f>IF(AD$6&lt;$B25,0,IF(AD$6&gt;$B25+$G$7,0,IF(AD$6=$B25+$G$7,$C25-SUM($H25:AC25),IF(AD$6=$B25,$C25/$G$7/2,$C25/$G$7))))</f>
        <v>7.8125</v>
      </c>
      <c r="AE25" s="70">
        <f>IF(AE$6&lt;$B25,0,IF(AE$6&gt;$B25+$G$7,0,IF(AE$6=$B25+$G$7,$C25-SUM($H25:AD25),IF(AE$6=$B25,$C25/$G$7/2,$C25/$G$7))))</f>
        <v>7.8125</v>
      </c>
      <c r="AF25" s="70">
        <f>IF(AF$6&lt;$B25,0,IF(AF$6&gt;$B25+$G$7,0,IF(AF$6=$B25+$G$7,$C25-SUM($H25:AE25),IF(AF$6=$B25,$C25/$G$7/2,$C25/$G$7))))</f>
        <v>7.8125</v>
      </c>
      <c r="AG25" s="70">
        <f>IF(AG$6&lt;$B25,0,IF(AG$6&gt;$B25+$G$7,0,IF(AG$6=$B25+$G$7,$C25-SUM($H25:AF25),IF(AG$6=$B25,$C25/$G$7/2,$C25/$G$7))))</f>
        <v>7.8125</v>
      </c>
      <c r="AH25" s="70">
        <f>IF(AH$6&lt;$B25,0,IF(AH$6&gt;$B25+$G$7,0,IF(AH$6=$B25+$G$7,$C25-SUM($H25:AG25),IF(AH$6=$B25,$C25/$G$7/2,$C25/$G$7))))</f>
        <v>7.8125</v>
      </c>
      <c r="AI25" s="70">
        <f>IF(AI$6&lt;$B25,0,IF(AI$6&gt;$B25+$G$7,0,IF(AI$6=$B25+$G$7,$C25-SUM($H25:AH25),IF(AI$6=$B25,$C25/$G$7/2,$C25/$G$7))))</f>
        <v>7.8125</v>
      </c>
      <c r="AJ25" s="70">
        <f>IF(AJ$6&lt;$B25,0,IF(AJ$6&gt;$B25+$G$7,0,IF(AJ$6=$B25+$G$7,$C25-SUM($H25:AI25),IF(AJ$6=$B25,$C25/$G$7/2,$C25/$G$7))))</f>
        <v>7.8125</v>
      </c>
      <c r="AK25" s="70">
        <f>IF(AK$6&lt;$B25,0,IF(AK$6&gt;$B25+$G$7,0,IF(AK$6=$B25+$G$7,$C25-SUM($H25:AJ25),IF(AK$6=$B25,$C25/$G$7/2,$C25/$G$7))))</f>
        <v>7.8125</v>
      </c>
      <c r="AL25" s="70">
        <f>IF(AL$6&lt;$B25,0,IF(AL$6&gt;$B25+$G$7,0,IF(AL$6=$B25+$G$7,$C25-SUM($H25:AK25),IF(AL$6=$B25,$C25/$G$7/2,$C25/$G$7))))</f>
        <v>7.8125</v>
      </c>
      <c r="AM25" s="70">
        <f>IF(AM$6&lt;$B25,0,IF(AM$6&gt;$B25+$G$7,0,IF(AM$6=$B25+$G$7,$C25-SUM($H25:AL25),IF(AM$6=$B25,$C25/$G$7/2,$C25/$G$7))))</f>
        <v>7.8125</v>
      </c>
      <c r="AN25" s="70">
        <f>IF(AN$6&lt;$B25,0,IF(AN$6&gt;$B25+$G$7,0,IF(AN$6=$B25+$G$7,$C25-SUM($H25:AM25),IF(AN$6=$B25,$C25/$G$7/2,$C25/$G$7))))</f>
        <v>7.8125</v>
      </c>
      <c r="AO25" s="70">
        <f>IF(AO$6&lt;$B25,0,IF(AO$6&gt;$B25+$G$7,0,IF(AO$6=$B25+$G$7,$C25-SUM($H25:AN25),IF(AO$6=$B25,$C25/$G$7/2,$C25/$G$7))))</f>
        <v>7.8125</v>
      </c>
      <c r="AP25" s="70">
        <f>IF(AP$6&lt;$B25,0,IF(AP$6&gt;$B25+$G$7,0,IF(AP$6=$B25+$G$7,$C25-SUM($H25:AO25),IF(AP$6=$B25,$C25/$G$7/2,$C25/$G$7))))</f>
        <v>7.8125</v>
      </c>
      <c r="AQ25" s="70">
        <f>IF(AQ$6&lt;$B25,0,IF(AQ$6&gt;$B25+$G$7,0,IF(AQ$6=$B25+$G$7,$C25-SUM($H25:AP25),IF(AQ$6=$B25,$C25/$G$7/2,$C25/$G$7))))</f>
        <v>7.8125</v>
      </c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</row>
    <row r="26" spans="2:55">
      <c r="B26" s="100">
        <f t="shared" si="3"/>
        <v>2032</v>
      </c>
      <c r="C26" s="97">
        <f>HLOOKUP(Depreciation!B26,Model!$I$72:$AQ$78,7)</f>
        <v>156.25</v>
      </c>
      <c r="E26" s="3" t="str">
        <f t="shared" si="2"/>
        <v>CADmm</v>
      </c>
      <c r="F26" s="3" t="s">
        <v>57</v>
      </c>
      <c r="I26" s="70">
        <f>IF(I$6&lt;$B26,0,IF(I$6&gt;$B26+$G$7,0,IF(I$6=$B26+$G$7,$C26-SUM($H26:H26),IF(I$6=$B26,$C26/$G$7/2,$C26/$G$7))))</f>
        <v>0</v>
      </c>
      <c r="J26" s="70">
        <f>IF(J$6&lt;$B26,0,IF(J$6&gt;$B26+$G$7,0,IF(J$6=$B26+$G$7,$C26-SUM($H26:I26),IF(J$6=$B26,$C26/$G$7/2,$C26/$G$7))))</f>
        <v>0</v>
      </c>
      <c r="K26" s="70">
        <f>IF(K$6&lt;$B26,0,IF(K$6&gt;$B26+$G$7,0,IF(K$6=$B26+$G$7,$C26-SUM($H26:J26),IF(K$6=$B26,$C26/$G$7/2,$C26/$G$7))))</f>
        <v>0</v>
      </c>
      <c r="L26" s="70">
        <f>IF(L$6&lt;$B26,0,IF(L$6&gt;$B26+$G$7,0,IF(L$6=$B26+$G$7,$C26-SUM($H26:K26),IF(L$6=$B26,$C26/$G$7/2,$C26/$G$7))))</f>
        <v>0</v>
      </c>
      <c r="M26" s="70">
        <f>IF(M$6&lt;$B26,0,IF(M$6&gt;$B26+$G$7,0,IF(M$6=$B26+$G$7,$C26-SUM($H26:L26),IF(M$6=$B26,$C26/$G$7/2,$C26/$G$7))))</f>
        <v>0</v>
      </c>
      <c r="N26" s="70">
        <f>IF(N$6&lt;$B26,0,IF(N$6&gt;$B26+$G$7,0,IF(N$6=$B26+$G$7,$C26-SUM($H26:M26),IF(N$6=$B26,$C26/$G$7/2,$C26/$G$7))))</f>
        <v>0</v>
      </c>
      <c r="O26" s="70">
        <f>IF(O$6&lt;$B26,0,IF(O$6&gt;$B26+$G$7,0,IF(O$6=$B26+$G$7,$C26-SUM($H26:N26),IF(O$6=$B26,$C26/$G$7/2,$C26/$G$7))))</f>
        <v>0</v>
      </c>
      <c r="P26" s="70">
        <f>IF(P$6&lt;$B26,0,IF(P$6&gt;$B26+$G$7,0,IF(P$6=$B26+$G$7,$C26-SUM($H26:O26),IF(P$6=$B26,$C26/$G$7/2,$C26/$G$7))))</f>
        <v>0</v>
      </c>
      <c r="Q26" s="70">
        <f>IF(Q$6&lt;$B26,0,IF(Q$6&gt;$B26+$G$7,0,IF(Q$6=$B26+$G$7,$C26-SUM($H26:P26),IF(Q$6=$B26,$C26/$G$7/2,$C26/$G$7))))</f>
        <v>0</v>
      </c>
      <c r="R26" s="70">
        <f>IF(R$6&lt;$B26,0,IF(R$6&gt;$B26+$G$7,0,IF(R$6=$B26+$G$7,$C26-SUM($H26:Q26),IF(R$6=$B26,$C26/$G$7/2,$C26/$G$7))))</f>
        <v>0</v>
      </c>
      <c r="S26" s="70">
        <f>IF(S$6&lt;$B26,0,IF(S$6&gt;$B26+$G$7,0,IF(S$6=$B26+$G$7,$C26-SUM($H26:R26),IF(S$6=$B26,$C26/$G$7/2,$C26/$G$7))))</f>
        <v>0</v>
      </c>
      <c r="T26" s="70">
        <f>IF(T$6&lt;$B26,0,IF(T$6&gt;$B26+$G$7,0,IF(T$6=$B26+$G$7,$C26-SUM($H26:S26),IF(T$6=$B26,$C26/$G$7/2,$C26/$G$7))))</f>
        <v>0</v>
      </c>
      <c r="U26" s="70">
        <f>IF(U$6&lt;$B26,0,IF(U$6&gt;$B26+$G$7,0,IF(U$6=$B26+$G$7,$C26-SUM($H26:T26),IF(U$6=$B26,$C26/$G$7/2,$C26/$G$7))))</f>
        <v>0</v>
      </c>
      <c r="V26" s="70">
        <f>IF(V$6&lt;$B26,0,IF(V$6&gt;$B26+$G$7,0,IF(V$6=$B26+$G$7,$C26-SUM($H26:U26),IF(V$6=$B26,$C26/$G$7/2,$C26/$G$7))))</f>
        <v>0</v>
      </c>
      <c r="W26" s="70">
        <f>IF(W$6&lt;$B26,0,IF(W$6&gt;$B26+$G$7,0,IF(W$6=$B26+$G$7,$C26-SUM($H26:V26),IF(W$6=$B26,$C26/$G$7/2,$C26/$G$7))))</f>
        <v>0</v>
      </c>
      <c r="X26" s="70">
        <f>IF(X$6&lt;$B26,0,IF(X$6&gt;$B26+$G$7,0,IF(X$6=$B26+$G$7,$C26-SUM($H26:W26),IF(X$6=$B26,$C26/$G$7/2,$C26/$G$7))))</f>
        <v>0</v>
      </c>
      <c r="Y26" s="70">
        <f>IF(Y$6&lt;$B26,0,IF(Y$6&gt;$B26+$G$7,0,IF(Y$6=$B26+$G$7,$C26-SUM($H26:X26),IF(Y$6=$B26,$C26/$G$7/2,$C26/$G$7))))</f>
        <v>3.90625</v>
      </c>
      <c r="Z26" s="70">
        <f>IF(Z$6&lt;$B26,0,IF(Z$6&gt;$B26+$G$7,0,IF(Z$6=$B26+$G$7,$C26-SUM($H26:Y26),IF(Z$6=$B26,$C26/$G$7/2,$C26/$G$7))))</f>
        <v>7.8125</v>
      </c>
      <c r="AA26" s="70">
        <f>IF(AA$6&lt;$B26,0,IF(AA$6&gt;$B26+$G$7,0,IF(AA$6=$B26+$G$7,$C26-SUM($H26:Z26),IF(AA$6=$B26,$C26/$G$7/2,$C26/$G$7))))</f>
        <v>7.8125</v>
      </c>
      <c r="AB26" s="70">
        <f>IF(AB$6&lt;$B26,0,IF(AB$6&gt;$B26+$G$7,0,IF(AB$6=$B26+$G$7,$C26-SUM($H26:AA26),IF(AB$6=$B26,$C26/$G$7/2,$C26/$G$7))))</f>
        <v>7.8125</v>
      </c>
      <c r="AC26" s="70">
        <f>IF(AC$6&lt;$B26,0,IF(AC$6&gt;$B26+$G$7,0,IF(AC$6=$B26+$G$7,$C26-SUM($H26:AB26),IF(AC$6=$B26,$C26/$G$7/2,$C26/$G$7))))</f>
        <v>7.8125</v>
      </c>
      <c r="AD26" s="70">
        <f>IF(AD$6&lt;$B26,0,IF(AD$6&gt;$B26+$G$7,0,IF(AD$6=$B26+$G$7,$C26-SUM($H26:AC26),IF(AD$6=$B26,$C26/$G$7/2,$C26/$G$7))))</f>
        <v>7.8125</v>
      </c>
      <c r="AE26" s="70">
        <f>IF(AE$6&lt;$B26,0,IF(AE$6&gt;$B26+$G$7,0,IF(AE$6=$B26+$G$7,$C26-SUM($H26:AD26),IF(AE$6=$B26,$C26/$G$7/2,$C26/$G$7))))</f>
        <v>7.8125</v>
      </c>
      <c r="AF26" s="70">
        <f>IF(AF$6&lt;$B26,0,IF(AF$6&gt;$B26+$G$7,0,IF(AF$6=$B26+$G$7,$C26-SUM($H26:AE26),IF(AF$6=$B26,$C26/$G$7/2,$C26/$G$7))))</f>
        <v>7.8125</v>
      </c>
      <c r="AG26" s="70">
        <f>IF(AG$6&lt;$B26,0,IF(AG$6&gt;$B26+$G$7,0,IF(AG$6=$B26+$G$7,$C26-SUM($H26:AF26),IF(AG$6=$B26,$C26/$G$7/2,$C26/$G$7))))</f>
        <v>7.8125</v>
      </c>
      <c r="AH26" s="70">
        <f>IF(AH$6&lt;$B26,0,IF(AH$6&gt;$B26+$G$7,0,IF(AH$6=$B26+$G$7,$C26-SUM($H26:AG26),IF(AH$6=$B26,$C26/$G$7/2,$C26/$G$7))))</f>
        <v>7.8125</v>
      </c>
      <c r="AI26" s="70">
        <f>IF(AI$6&lt;$B26,0,IF(AI$6&gt;$B26+$G$7,0,IF(AI$6=$B26+$G$7,$C26-SUM($H26:AH26),IF(AI$6=$B26,$C26/$G$7/2,$C26/$G$7))))</f>
        <v>7.8125</v>
      </c>
      <c r="AJ26" s="70">
        <f>IF(AJ$6&lt;$B26,0,IF(AJ$6&gt;$B26+$G$7,0,IF(AJ$6=$B26+$G$7,$C26-SUM($H26:AI26),IF(AJ$6=$B26,$C26/$G$7/2,$C26/$G$7))))</f>
        <v>7.8125</v>
      </c>
      <c r="AK26" s="70">
        <f>IF(AK$6&lt;$B26,0,IF(AK$6&gt;$B26+$G$7,0,IF(AK$6=$B26+$G$7,$C26-SUM($H26:AJ26),IF(AK$6=$B26,$C26/$G$7/2,$C26/$G$7))))</f>
        <v>7.8125</v>
      </c>
      <c r="AL26" s="70">
        <f>IF(AL$6&lt;$B26,0,IF(AL$6&gt;$B26+$G$7,0,IF(AL$6=$B26+$G$7,$C26-SUM($H26:AK26),IF(AL$6=$B26,$C26/$G$7/2,$C26/$G$7))))</f>
        <v>7.8125</v>
      </c>
      <c r="AM26" s="70">
        <f>IF(AM$6&lt;$B26,0,IF(AM$6&gt;$B26+$G$7,0,IF(AM$6=$B26+$G$7,$C26-SUM($H26:AL26),IF(AM$6=$B26,$C26/$G$7/2,$C26/$G$7))))</f>
        <v>7.8125</v>
      </c>
      <c r="AN26" s="70">
        <f>IF(AN$6&lt;$B26,0,IF(AN$6&gt;$B26+$G$7,0,IF(AN$6=$B26+$G$7,$C26-SUM($H26:AM26),IF(AN$6=$B26,$C26/$G$7/2,$C26/$G$7))))</f>
        <v>7.8125</v>
      </c>
      <c r="AO26" s="70">
        <f>IF(AO$6&lt;$B26,0,IF(AO$6&gt;$B26+$G$7,0,IF(AO$6=$B26+$G$7,$C26-SUM($H26:AN26),IF(AO$6=$B26,$C26/$G$7/2,$C26/$G$7))))</f>
        <v>7.8125</v>
      </c>
      <c r="AP26" s="70">
        <f>IF(AP$6&lt;$B26,0,IF(AP$6&gt;$B26+$G$7,0,IF(AP$6=$B26+$G$7,$C26-SUM($H26:AO26),IF(AP$6=$B26,$C26/$G$7/2,$C26/$G$7))))</f>
        <v>7.8125</v>
      </c>
      <c r="AQ26" s="70">
        <f>IF(AQ$6&lt;$B26,0,IF(AQ$6&gt;$B26+$G$7,0,IF(AQ$6=$B26+$G$7,$C26-SUM($H26:AP26),IF(AQ$6=$B26,$C26/$G$7/2,$C26/$G$7))))</f>
        <v>7.8125</v>
      </c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</row>
    <row r="27" spans="2:55">
      <c r="B27" s="100">
        <f t="shared" si="3"/>
        <v>2033</v>
      </c>
      <c r="C27" s="97">
        <f>HLOOKUP(Depreciation!B27,Model!$I$72:$AQ$78,7)</f>
        <v>156.25</v>
      </c>
      <c r="E27" s="3" t="str">
        <f t="shared" si="2"/>
        <v>CADmm</v>
      </c>
      <c r="F27" s="3" t="s">
        <v>57</v>
      </c>
      <c r="I27" s="70">
        <f>IF(I$6&lt;$B27,0,IF(I$6&gt;$B27+$G$7,0,IF(I$6=$B27+$G$7,$C27-SUM($H27:H27),IF(I$6=$B27,$C27/$G$7/2,$C27/$G$7))))</f>
        <v>0</v>
      </c>
      <c r="J27" s="70">
        <f>IF(J$6&lt;$B27,0,IF(J$6&gt;$B27+$G$7,0,IF(J$6=$B27+$G$7,$C27-SUM($H27:I27),IF(J$6=$B27,$C27/$G$7/2,$C27/$G$7))))</f>
        <v>0</v>
      </c>
      <c r="K27" s="70">
        <f>IF(K$6&lt;$B27,0,IF(K$6&gt;$B27+$G$7,0,IF(K$6=$B27+$G$7,$C27-SUM($H27:J27),IF(K$6=$B27,$C27/$G$7/2,$C27/$G$7))))</f>
        <v>0</v>
      </c>
      <c r="L27" s="70">
        <f>IF(L$6&lt;$B27,0,IF(L$6&gt;$B27+$G$7,0,IF(L$6=$B27+$G$7,$C27-SUM($H27:K27),IF(L$6=$B27,$C27/$G$7/2,$C27/$G$7))))</f>
        <v>0</v>
      </c>
      <c r="M27" s="70">
        <f>IF(M$6&lt;$B27,0,IF(M$6&gt;$B27+$G$7,0,IF(M$6=$B27+$G$7,$C27-SUM($H27:L27),IF(M$6=$B27,$C27/$G$7/2,$C27/$G$7))))</f>
        <v>0</v>
      </c>
      <c r="N27" s="70">
        <f>IF(N$6&lt;$B27,0,IF(N$6&gt;$B27+$G$7,0,IF(N$6=$B27+$G$7,$C27-SUM($H27:M27),IF(N$6=$B27,$C27/$G$7/2,$C27/$G$7))))</f>
        <v>0</v>
      </c>
      <c r="O27" s="70">
        <f>IF(O$6&lt;$B27,0,IF(O$6&gt;$B27+$G$7,0,IF(O$6=$B27+$G$7,$C27-SUM($H27:N27),IF(O$6=$B27,$C27/$G$7/2,$C27/$G$7))))</f>
        <v>0</v>
      </c>
      <c r="P27" s="70">
        <f>IF(P$6&lt;$B27,0,IF(P$6&gt;$B27+$G$7,0,IF(P$6=$B27+$G$7,$C27-SUM($H27:O27),IF(P$6=$B27,$C27/$G$7/2,$C27/$G$7))))</f>
        <v>0</v>
      </c>
      <c r="Q27" s="70">
        <f>IF(Q$6&lt;$B27,0,IF(Q$6&gt;$B27+$G$7,0,IF(Q$6=$B27+$G$7,$C27-SUM($H27:P27),IF(Q$6=$B27,$C27/$G$7/2,$C27/$G$7))))</f>
        <v>0</v>
      </c>
      <c r="R27" s="70">
        <f>IF(R$6&lt;$B27,0,IF(R$6&gt;$B27+$G$7,0,IF(R$6=$B27+$G$7,$C27-SUM($H27:Q27),IF(R$6=$B27,$C27/$G$7/2,$C27/$G$7))))</f>
        <v>0</v>
      </c>
      <c r="S27" s="70">
        <f>IF(S$6&lt;$B27,0,IF(S$6&gt;$B27+$G$7,0,IF(S$6=$B27+$G$7,$C27-SUM($H27:R27),IF(S$6=$B27,$C27/$G$7/2,$C27/$G$7))))</f>
        <v>0</v>
      </c>
      <c r="T27" s="70">
        <f>IF(T$6&lt;$B27,0,IF(T$6&gt;$B27+$G$7,0,IF(T$6=$B27+$G$7,$C27-SUM($H27:S27),IF(T$6=$B27,$C27/$G$7/2,$C27/$G$7))))</f>
        <v>0</v>
      </c>
      <c r="U27" s="70">
        <f>IF(U$6&lt;$B27,0,IF(U$6&gt;$B27+$G$7,0,IF(U$6=$B27+$G$7,$C27-SUM($H27:T27),IF(U$6=$B27,$C27/$G$7/2,$C27/$G$7))))</f>
        <v>0</v>
      </c>
      <c r="V27" s="70">
        <f>IF(V$6&lt;$B27,0,IF(V$6&gt;$B27+$G$7,0,IF(V$6=$B27+$G$7,$C27-SUM($H27:U27),IF(V$6=$B27,$C27/$G$7/2,$C27/$G$7))))</f>
        <v>0</v>
      </c>
      <c r="W27" s="70">
        <f>IF(W$6&lt;$B27,0,IF(W$6&gt;$B27+$G$7,0,IF(W$6=$B27+$G$7,$C27-SUM($H27:V27),IF(W$6=$B27,$C27/$G$7/2,$C27/$G$7))))</f>
        <v>0</v>
      </c>
      <c r="X27" s="70">
        <f>IF(X$6&lt;$B27,0,IF(X$6&gt;$B27+$G$7,0,IF(X$6=$B27+$G$7,$C27-SUM($H27:W27),IF(X$6=$B27,$C27/$G$7/2,$C27/$G$7))))</f>
        <v>0</v>
      </c>
      <c r="Y27" s="70">
        <f>IF(Y$6&lt;$B27,0,IF(Y$6&gt;$B27+$G$7,0,IF(Y$6=$B27+$G$7,$C27-SUM($H27:X27),IF(Y$6=$B27,$C27/$G$7/2,$C27/$G$7))))</f>
        <v>0</v>
      </c>
      <c r="Z27" s="70">
        <f>IF(Z$6&lt;$B27,0,IF(Z$6&gt;$B27+$G$7,0,IF(Z$6=$B27+$G$7,$C27-SUM($H27:Y27),IF(Z$6=$B27,$C27/$G$7/2,$C27/$G$7))))</f>
        <v>3.90625</v>
      </c>
      <c r="AA27" s="70">
        <f>IF(AA$6&lt;$B27,0,IF(AA$6&gt;$B27+$G$7,0,IF(AA$6=$B27+$G$7,$C27-SUM($H27:Z27),IF(AA$6=$B27,$C27/$G$7/2,$C27/$G$7))))</f>
        <v>7.8125</v>
      </c>
      <c r="AB27" s="70">
        <f>IF(AB$6&lt;$B27,0,IF(AB$6&gt;$B27+$G$7,0,IF(AB$6=$B27+$G$7,$C27-SUM($H27:AA27),IF(AB$6=$B27,$C27/$G$7/2,$C27/$G$7))))</f>
        <v>7.8125</v>
      </c>
      <c r="AC27" s="70">
        <f>IF(AC$6&lt;$B27,0,IF(AC$6&gt;$B27+$G$7,0,IF(AC$6=$B27+$G$7,$C27-SUM($H27:AB27),IF(AC$6=$B27,$C27/$G$7/2,$C27/$G$7))))</f>
        <v>7.8125</v>
      </c>
      <c r="AD27" s="70">
        <f>IF(AD$6&lt;$B27,0,IF(AD$6&gt;$B27+$G$7,0,IF(AD$6=$B27+$G$7,$C27-SUM($H27:AC27),IF(AD$6=$B27,$C27/$G$7/2,$C27/$G$7))))</f>
        <v>7.8125</v>
      </c>
      <c r="AE27" s="70">
        <f>IF(AE$6&lt;$B27,0,IF(AE$6&gt;$B27+$G$7,0,IF(AE$6=$B27+$G$7,$C27-SUM($H27:AD27),IF(AE$6=$B27,$C27/$G$7/2,$C27/$G$7))))</f>
        <v>7.8125</v>
      </c>
      <c r="AF27" s="70">
        <f>IF(AF$6&lt;$B27,0,IF(AF$6&gt;$B27+$G$7,0,IF(AF$6=$B27+$G$7,$C27-SUM($H27:AE27),IF(AF$6=$B27,$C27/$G$7/2,$C27/$G$7))))</f>
        <v>7.8125</v>
      </c>
      <c r="AG27" s="70">
        <f>IF(AG$6&lt;$B27,0,IF(AG$6&gt;$B27+$G$7,0,IF(AG$6=$B27+$G$7,$C27-SUM($H27:AF27),IF(AG$6=$B27,$C27/$G$7/2,$C27/$G$7))))</f>
        <v>7.8125</v>
      </c>
      <c r="AH27" s="70">
        <f>IF(AH$6&lt;$B27,0,IF(AH$6&gt;$B27+$G$7,0,IF(AH$6=$B27+$G$7,$C27-SUM($H27:AG27),IF(AH$6=$B27,$C27/$G$7/2,$C27/$G$7))))</f>
        <v>7.8125</v>
      </c>
      <c r="AI27" s="70">
        <f>IF(AI$6&lt;$B27,0,IF(AI$6&gt;$B27+$G$7,0,IF(AI$6=$B27+$G$7,$C27-SUM($H27:AH27),IF(AI$6=$B27,$C27/$G$7/2,$C27/$G$7))))</f>
        <v>7.8125</v>
      </c>
      <c r="AJ27" s="70">
        <f>IF(AJ$6&lt;$B27,0,IF(AJ$6&gt;$B27+$G$7,0,IF(AJ$6=$B27+$G$7,$C27-SUM($H27:AI27),IF(AJ$6=$B27,$C27/$G$7/2,$C27/$G$7))))</f>
        <v>7.8125</v>
      </c>
      <c r="AK27" s="70">
        <f>IF(AK$6&lt;$B27,0,IF(AK$6&gt;$B27+$G$7,0,IF(AK$6=$B27+$G$7,$C27-SUM($H27:AJ27),IF(AK$6=$B27,$C27/$G$7/2,$C27/$G$7))))</f>
        <v>7.8125</v>
      </c>
      <c r="AL27" s="70">
        <f>IF(AL$6&lt;$B27,0,IF(AL$6&gt;$B27+$G$7,0,IF(AL$6=$B27+$G$7,$C27-SUM($H27:AK27),IF(AL$6=$B27,$C27/$G$7/2,$C27/$G$7))))</f>
        <v>7.8125</v>
      </c>
      <c r="AM27" s="70">
        <f>IF(AM$6&lt;$B27,0,IF(AM$6&gt;$B27+$G$7,0,IF(AM$6=$B27+$G$7,$C27-SUM($H27:AL27),IF(AM$6=$B27,$C27/$G$7/2,$C27/$G$7))))</f>
        <v>7.8125</v>
      </c>
      <c r="AN27" s="70">
        <f>IF(AN$6&lt;$B27,0,IF(AN$6&gt;$B27+$G$7,0,IF(AN$6=$B27+$G$7,$C27-SUM($H27:AM27),IF(AN$6=$B27,$C27/$G$7/2,$C27/$G$7))))</f>
        <v>7.8125</v>
      </c>
      <c r="AO27" s="70">
        <f>IF(AO$6&lt;$B27,0,IF(AO$6&gt;$B27+$G$7,0,IF(AO$6=$B27+$G$7,$C27-SUM($H27:AN27),IF(AO$6=$B27,$C27/$G$7/2,$C27/$G$7))))</f>
        <v>7.8125</v>
      </c>
      <c r="AP27" s="70">
        <f>IF(AP$6&lt;$B27,0,IF(AP$6&gt;$B27+$G$7,0,IF(AP$6=$B27+$G$7,$C27-SUM($H27:AO27),IF(AP$6=$B27,$C27/$G$7/2,$C27/$G$7))))</f>
        <v>7.8125</v>
      </c>
      <c r="AQ27" s="70">
        <f>IF(AQ$6&lt;$B27,0,IF(AQ$6&gt;$B27+$G$7,0,IF(AQ$6=$B27+$G$7,$C27-SUM($H27:AP27),IF(AQ$6=$B27,$C27/$G$7/2,$C27/$G$7))))</f>
        <v>7.8125</v>
      </c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</row>
    <row r="28" spans="2:55">
      <c r="B28" s="100">
        <f t="shared" si="3"/>
        <v>2034</v>
      </c>
      <c r="C28" s="97">
        <f>HLOOKUP(Depreciation!B28,Model!$I$72:$AQ$78,7)</f>
        <v>156.25</v>
      </c>
      <c r="E28" s="3" t="str">
        <f t="shared" si="2"/>
        <v>CADmm</v>
      </c>
      <c r="F28" s="3" t="s">
        <v>57</v>
      </c>
      <c r="I28" s="70">
        <f>IF(I$6&lt;$B28,0,IF(I$6&gt;$B28+$G$7,0,IF(I$6=$B28+$G$7,$C28-SUM($H28:H28),IF(I$6=$B28,$C28/$G$7/2,$C28/$G$7))))</f>
        <v>0</v>
      </c>
      <c r="J28" s="70">
        <f>IF(J$6&lt;$B28,0,IF(J$6&gt;$B28+$G$7,0,IF(J$6=$B28+$G$7,$C28-SUM($H28:I28),IF(J$6=$B28,$C28/$G$7/2,$C28/$G$7))))</f>
        <v>0</v>
      </c>
      <c r="K28" s="70">
        <f>IF(K$6&lt;$B28,0,IF(K$6&gt;$B28+$G$7,0,IF(K$6=$B28+$G$7,$C28-SUM($H28:J28),IF(K$6=$B28,$C28/$G$7/2,$C28/$G$7))))</f>
        <v>0</v>
      </c>
      <c r="L28" s="70">
        <f>IF(L$6&lt;$B28,0,IF(L$6&gt;$B28+$G$7,0,IF(L$6=$B28+$G$7,$C28-SUM($H28:K28),IF(L$6=$B28,$C28/$G$7/2,$C28/$G$7))))</f>
        <v>0</v>
      </c>
      <c r="M28" s="70">
        <f>IF(M$6&lt;$B28,0,IF(M$6&gt;$B28+$G$7,0,IF(M$6=$B28+$G$7,$C28-SUM($H28:L28),IF(M$6=$B28,$C28/$G$7/2,$C28/$G$7))))</f>
        <v>0</v>
      </c>
      <c r="N28" s="70">
        <f>IF(N$6&lt;$B28,0,IF(N$6&gt;$B28+$G$7,0,IF(N$6=$B28+$G$7,$C28-SUM($H28:M28),IF(N$6=$B28,$C28/$G$7/2,$C28/$G$7))))</f>
        <v>0</v>
      </c>
      <c r="O28" s="70">
        <f>IF(O$6&lt;$B28,0,IF(O$6&gt;$B28+$G$7,0,IF(O$6=$B28+$G$7,$C28-SUM($H28:N28),IF(O$6=$B28,$C28/$G$7/2,$C28/$G$7))))</f>
        <v>0</v>
      </c>
      <c r="P28" s="70">
        <f>IF(P$6&lt;$B28,0,IF(P$6&gt;$B28+$G$7,0,IF(P$6=$B28+$G$7,$C28-SUM($H28:O28),IF(P$6=$B28,$C28/$G$7/2,$C28/$G$7))))</f>
        <v>0</v>
      </c>
      <c r="Q28" s="70">
        <f>IF(Q$6&lt;$B28,0,IF(Q$6&gt;$B28+$G$7,0,IF(Q$6=$B28+$G$7,$C28-SUM($H28:P28),IF(Q$6=$B28,$C28/$G$7/2,$C28/$G$7))))</f>
        <v>0</v>
      </c>
      <c r="R28" s="70">
        <f>IF(R$6&lt;$B28,0,IF(R$6&gt;$B28+$G$7,0,IF(R$6=$B28+$G$7,$C28-SUM($H28:Q28),IF(R$6=$B28,$C28/$G$7/2,$C28/$G$7))))</f>
        <v>0</v>
      </c>
      <c r="S28" s="70">
        <f>IF(S$6&lt;$B28,0,IF(S$6&gt;$B28+$G$7,0,IF(S$6=$B28+$G$7,$C28-SUM($H28:R28),IF(S$6=$B28,$C28/$G$7/2,$C28/$G$7))))</f>
        <v>0</v>
      </c>
      <c r="T28" s="70">
        <f>IF(T$6&lt;$B28,0,IF(T$6&gt;$B28+$G$7,0,IF(T$6=$B28+$G$7,$C28-SUM($H28:S28),IF(T$6=$B28,$C28/$G$7/2,$C28/$G$7))))</f>
        <v>0</v>
      </c>
      <c r="U28" s="70">
        <f>IF(U$6&lt;$B28,0,IF(U$6&gt;$B28+$G$7,0,IF(U$6=$B28+$G$7,$C28-SUM($H28:T28),IF(U$6=$B28,$C28/$G$7/2,$C28/$G$7))))</f>
        <v>0</v>
      </c>
      <c r="V28" s="70">
        <f>IF(V$6&lt;$B28,0,IF(V$6&gt;$B28+$G$7,0,IF(V$6=$B28+$G$7,$C28-SUM($H28:U28),IF(V$6=$B28,$C28/$G$7/2,$C28/$G$7))))</f>
        <v>0</v>
      </c>
      <c r="W28" s="70">
        <f>IF(W$6&lt;$B28,0,IF(W$6&gt;$B28+$G$7,0,IF(W$6=$B28+$G$7,$C28-SUM($H28:V28),IF(W$6=$B28,$C28/$G$7/2,$C28/$G$7))))</f>
        <v>0</v>
      </c>
      <c r="X28" s="70">
        <f>IF(X$6&lt;$B28,0,IF(X$6&gt;$B28+$G$7,0,IF(X$6=$B28+$G$7,$C28-SUM($H28:W28),IF(X$6=$B28,$C28/$G$7/2,$C28/$G$7))))</f>
        <v>0</v>
      </c>
      <c r="Y28" s="70">
        <f>IF(Y$6&lt;$B28,0,IF(Y$6&gt;$B28+$G$7,0,IF(Y$6=$B28+$G$7,$C28-SUM($H28:X28),IF(Y$6=$B28,$C28/$G$7/2,$C28/$G$7))))</f>
        <v>0</v>
      </c>
      <c r="Z28" s="70">
        <f>IF(Z$6&lt;$B28,0,IF(Z$6&gt;$B28+$G$7,0,IF(Z$6=$B28+$G$7,$C28-SUM($H28:Y28),IF(Z$6=$B28,$C28/$G$7/2,$C28/$G$7))))</f>
        <v>0</v>
      </c>
      <c r="AA28" s="70">
        <f>IF(AA$6&lt;$B28,0,IF(AA$6&gt;$B28+$G$7,0,IF(AA$6=$B28+$G$7,$C28-SUM($H28:Z28),IF(AA$6=$B28,$C28/$G$7/2,$C28/$G$7))))</f>
        <v>3.90625</v>
      </c>
      <c r="AB28" s="70">
        <f>IF(AB$6&lt;$B28,0,IF(AB$6&gt;$B28+$G$7,0,IF(AB$6=$B28+$G$7,$C28-SUM($H28:AA28),IF(AB$6=$B28,$C28/$G$7/2,$C28/$G$7))))</f>
        <v>7.8125</v>
      </c>
      <c r="AC28" s="70">
        <f>IF(AC$6&lt;$B28,0,IF(AC$6&gt;$B28+$G$7,0,IF(AC$6=$B28+$G$7,$C28-SUM($H28:AB28),IF(AC$6=$B28,$C28/$G$7/2,$C28/$G$7))))</f>
        <v>7.8125</v>
      </c>
      <c r="AD28" s="70">
        <f>IF(AD$6&lt;$B28,0,IF(AD$6&gt;$B28+$G$7,0,IF(AD$6=$B28+$G$7,$C28-SUM($H28:AC28),IF(AD$6=$B28,$C28/$G$7/2,$C28/$G$7))))</f>
        <v>7.8125</v>
      </c>
      <c r="AE28" s="70">
        <f>IF(AE$6&lt;$B28,0,IF(AE$6&gt;$B28+$G$7,0,IF(AE$6=$B28+$G$7,$C28-SUM($H28:AD28),IF(AE$6=$B28,$C28/$G$7/2,$C28/$G$7))))</f>
        <v>7.8125</v>
      </c>
      <c r="AF28" s="70">
        <f>IF(AF$6&lt;$B28,0,IF(AF$6&gt;$B28+$G$7,0,IF(AF$6=$B28+$G$7,$C28-SUM($H28:AE28),IF(AF$6=$B28,$C28/$G$7/2,$C28/$G$7))))</f>
        <v>7.8125</v>
      </c>
      <c r="AG28" s="70">
        <f>IF(AG$6&lt;$B28,0,IF(AG$6&gt;$B28+$G$7,0,IF(AG$6=$B28+$G$7,$C28-SUM($H28:AF28),IF(AG$6=$B28,$C28/$G$7/2,$C28/$G$7))))</f>
        <v>7.8125</v>
      </c>
      <c r="AH28" s="70">
        <f>IF(AH$6&lt;$B28,0,IF(AH$6&gt;$B28+$G$7,0,IF(AH$6=$B28+$G$7,$C28-SUM($H28:AG28),IF(AH$6=$B28,$C28/$G$7/2,$C28/$G$7))))</f>
        <v>7.8125</v>
      </c>
      <c r="AI28" s="70">
        <f>IF(AI$6&lt;$B28,0,IF(AI$6&gt;$B28+$G$7,0,IF(AI$6=$B28+$G$7,$C28-SUM($H28:AH28),IF(AI$6=$B28,$C28/$G$7/2,$C28/$G$7))))</f>
        <v>7.8125</v>
      </c>
      <c r="AJ28" s="70">
        <f>IF(AJ$6&lt;$B28,0,IF(AJ$6&gt;$B28+$G$7,0,IF(AJ$6=$B28+$G$7,$C28-SUM($H28:AI28),IF(AJ$6=$B28,$C28/$G$7/2,$C28/$G$7))))</f>
        <v>7.8125</v>
      </c>
      <c r="AK28" s="70">
        <f>IF(AK$6&lt;$B28,0,IF(AK$6&gt;$B28+$G$7,0,IF(AK$6=$B28+$G$7,$C28-SUM($H28:AJ28),IF(AK$6=$B28,$C28/$G$7/2,$C28/$G$7))))</f>
        <v>7.8125</v>
      </c>
      <c r="AL28" s="70">
        <f>IF(AL$6&lt;$B28,0,IF(AL$6&gt;$B28+$G$7,0,IF(AL$6=$B28+$G$7,$C28-SUM($H28:AK28),IF(AL$6=$B28,$C28/$G$7/2,$C28/$G$7))))</f>
        <v>7.8125</v>
      </c>
      <c r="AM28" s="70">
        <f>IF(AM$6&lt;$B28,0,IF(AM$6&gt;$B28+$G$7,0,IF(AM$6=$B28+$G$7,$C28-SUM($H28:AL28),IF(AM$6=$B28,$C28/$G$7/2,$C28/$G$7))))</f>
        <v>7.8125</v>
      </c>
      <c r="AN28" s="70">
        <f>IF(AN$6&lt;$B28,0,IF(AN$6&gt;$B28+$G$7,0,IF(AN$6=$B28+$G$7,$C28-SUM($H28:AM28),IF(AN$6=$B28,$C28/$G$7/2,$C28/$G$7))))</f>
        <v>7.8125</v>
      </c>
      <c r="AO28" s="70">
        <f>IF(AO$6&lt;$B28,0,IF(AO$6&gt;$B28+$G$7,0,IF(AO$6=$B28+$G$7,$C28-SUM($H28:AN28),IF(AO$6=$B28,$C28/$G$7/2,$C28/$G$7))))</f>
        <v>7.8125</v>
      </c>
      <c r="AP28" s="70">
        <f>IF(AP$6&lt;$B28,0,IF(AP$6&gt;$B28+$G$7,0,IF(AP$6=$B28+$G$7,$C28-SUM($H28:AO28),IF(AP$6=$B28,$C28/$G$7/2,$C28/$G$7))))</f>
        <v>7.8125</v>
      </c>
      <c r="AQ28" s="70">
        <f>IF(AQ$6&lt;$B28,0,IF(AQ$6&gt;$B28+$G$7,0,IF(AQ$6=$B28+$G$7,$C28-SUM($H28:AP28),IF(AQ$6=$B28,$C28/$G$7/2,$C28/$G$7))))</f>
        <v>7.8125</v>
      </c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</row>
    <row r="29" spans="2:55">
      <c r="B29" s="100">
        <f t="shared" si="3"/>
        <v>2035</v>
      </c>
      <c r="C29" s="97">
        <f>HLOOKUP(Depreciation!B29,Model!$I$72:$AQ$78,7)</f>
        <v>156.25</v>
      </c>
      <c r="E29" s="3" t="str">
        <f t="shared" si="2"/>
        <v>CADmm</v>
      </c>
      <c r="F29" s="3" t="s">
        <v>57</v>
      </c>
      <c r="I29" s="70">
        <f>IF(I$6&lt;$B29,0,IF(I$6&gt;$B29+$G$7,0,IF(I$6=$B29+$G$7,$C29-SUM($H29:H29),IF(I$6=$B29,$C29/$G$7/2,$C29/$G$7))))</f>
        <v>0</v>
      </c>
      <c r="J29" s="70">
        <f>IF(J$6&lt;$B29,0,IF(J$6&gt;$B29+$G$7,0,IF(J$6=$B29+$G$7,$C29-SUM($H29:I29),IF(J$6=$B29,$C29/$G$7/2,$C29/$G$7))))</f>
        <v>0</v>
      </c>
      <c r="K29" s="70">
        <f>IF(K$6&lt;$B29,0,IF(K$6&gt;$B29+$G$7,0,IF(K$6=$B29+$G$7,$C29-SUM($H29:J29),IF(K$6=$B29,$C29/$G$7/2,$C29/$G$7))))</f>
        <v>0</v>
      </c>
      <c r="L29" s="70">
        <f>IF(L$6&lt;$B29,0,IF(L$6&gt;$B29+$G$7,0,IF(L$6=$B29+$G$7,$C29-SUM($H29:K29),IF(L$6=$B29,$C29/$G$7/2,$C29/$G$7))))</f>
        <v>0</v>
      </c>
      <c r="M29" s="70">
        <f>IF(M$6&lt;$B29,0,IF(M$6&gt;$B29+$G$7,0,IF(M$6=$B29+$G$7,$C29-SUM($H29:L29),IF(M$6=$B29,$C29/$G$7/2,$C29/$G$7))))</f>
        <v>0</v>
      </c>
      <c r="N29" s="70">
        <f>IF(N$6&lt;$B29,0,IF(N$6&gt;$B29+$G$7,0,IF(N$6=$B29+$G$7,$C29-SUM($H29:M29),IF(N$6=$B29,$C29/$G$7/2,$C29/$G$7))))</f>
        <v>0</v>
      </c>
      <c r="O29" s="70">
        <f>IF(O$6&lt;$B29,0,IF(O$6&gt;$B29+$G$7,0,IF(O$6=$B29+$G$7,$C29-SUM($H29:N29),IF(O$6=$B29,$C29/$G$7/2,$C29/$G$7))))</f>
        <v>0</v>
      </c>
      <c r="P29" s="70">
        <f>IF(P$6&lt;$B29,0,IF(P$6&gt;$B29+$G$7,0,IF(P$6=$B29+$G$7,$C29-SUM($H29:O29),IF(P$6=$B29,$C29/$G$7/2,$C29/$G$7))))</f>
        <v>0</v>
      </c>
      <c r="Q29" s="70">
        <f>IF(Q$6&lt;$B29,0,IF(Q$6&gt;$B29+$G$7,0,IF(Q$6=$B29+$G$7,$C29-SUM($H29:P29),IF(Q$6=$B29,$C29/$G$7/2,$C29/$G$7))))</f>
        <v>0</v>
      </c>
      <c r="R29" s="70">
        <f>IF(R$6&lt;$B29,0,IF(R$6&gt;$B29+$G$7,0,IF(R$6=$B29+$G$7,$C29-SUM($H29:Q29),IF(R$6=$B29,$C29/$G$7/2,$C29/$G$7))))</f>
        <v>0</v>
      </c>
      <c r="S29" s="70">
        <f>IF(S$6&lt;$B29,0,IF(S$6&gt;$B29+$G$7,0,IF(S$6=$B29+$G$7,$C29-SUM($H29:R29),IF(S$6=$B29,$C29/$G$7/2,$C29/$G$7))))</f>
        <v>0</v>
      </c>
      <c r="T29" s="70">
        <f>IF(T$6&lt;$B29,0,IF(T$6&gt;$B29+$G$7,0,IF(T$6=$B29+$G$7,$C29-SUM($H29:S29),IF(T$6=$B29,$C29/$G$7/2,$C29/$G$7))))</f>
        <v>0</v>
      </c>
      <c r="U29" s="70">
        <f>IF(U$6&lt;$B29,0,IF(U$6&gt;$B29+$G$7,0,IF(U$6=$B29+$G$7,$C29-SUM($H29:T29),IF(U$6=$B29,$C29/$G$7/2,$C29/$G$7))))</f>
        <v>0</v>
      </c>
      <c r="V29" s="70">
        <f>IF(V$6&lt;$B29,0,IF(V$6&gt;$B29+$G$7,0,IF(V$6=$B29+$G$7,$C29-SUM($H29:U29),IF(V$6=$B29,$C29/$G$7/2,$C29/$G$7))))</f>
        <v>0</v>
      </c>
      <c r="W29" s="70">
        <f>IF(W$6&lt;$B29,0,IF(W$6&gt;$B29+$G$7,0,IF(W$6=$B29+$G$7,$C29-SUM($H29:V29),IF(W$6=$B29,$C29/$G$7/2,$C29/$G$7))))</f>
        <v>0</v>
      </c>
      <c r="X29" s="70">
        <f>IF(X$6&lt;$B29,0,IF(X$6&gt;$B29+$G$7,0,IF(X$6=$B29+$G$7,$C29-SUM($H29:W29),IF(X$6=$B29,$C29/$G$7/2,$C29/$G$7))))</f>
        <v>0</v>
      </c>
      <c r="Y29" s="70">
        <f>IF(Y$6&lt;$B29,0,IF(Y$6&gt;$B29+$G$7,0,IF(Y$6=$B29+$G$7,$C29-SUM($H29:X29),IF(Y$6=$B29,$C29/$G$7/2,$C29/$G$7))))</f>
        <v>0</v>
      </c>
      <c r="Z29" s="70">
        <f>IF(Z$6&lt;$B29,0,IF(Z$6&gt;$B29+$G$7,0,IF(Z$6=$B29+$G$7,$C29-SUM($H29:Y29),IF(Z$6=$B29,$C29/$G$7/2,$C29/$G$7))))</f>
        <v>0</v>
      </c>
      <c r="AA29" s="70">
        <f>IF(AA$6&lt;$B29,0,IF(AA$6&gt;$B29+$G$7,0,IF(AA$6=$B29+$G$7,$C29-SUM($H29:Z29),IF(AA$6=$B29,$C29/$G$7/2,$C29/$G$7))))</f>
        <v>0</v>
      </c>
      <c r="AB29" s="70">
        <f>IF(AB$6&lt;$B29,0,IF(AB$6&gt;$B29+$G$7,0,IF(AB$6=$B29+$G$7,$C29-SUM($H29:AA29),IF(AB$6=$B29,$C29/$G$7/2,$C29/$G$7))))</f>
        <v>3.90625</v>
      </c>
      <c r="AC29" s="70">
        <f>IF(AC$6&lt;$B29,0,IF(AC$6&gt;$B29+$G$7,0,IF(AC$6=$B29+$G$7,$C29-SUM($H29:AB29),IF(AC$6=$B29,$C29/$G$7/2,$C29/$G$7))))</f>
        <v>7.8125</v>
      </c>
      <c r="AD29" s="70">
        <f>IF(AD$6&lt;$B29,0,IF(AD$6&gt;$B29+$G$7,0,IF(AD$6=$B29+$G$7,$C29-SUM($H29:AC29),IF(AD$6=$B29,$C29/$G$7/2,$C29/$G$7))))</f>
        <v>7.8125</v>
      </c>
      <c r="AE29" s="70">
        <f>IF(AE$6&lt;$B29,0,IF(AE$6&gt;$B29+$G$7,0,IF(AE$6=$B29+$G$7,$C29-SUM($H29:AD29),IF(AE$6=$B29,$C29/$G$7/2,$C29/$G$7))))</f>
        <v>7.8125</v>
      </c>
      <c r="AF29" s="70">
        <f>IF(AF$6&lt;$B29,0,IF(AF$6&gt;$B29+$G$7,0,IF(AF$6=$B29+$G$7,$C29-SUM($H29:AE29),IF(AF$6=$B29,$C29/$G$7/2,$C29/$G$7))))</f>
        <v>7.8125</v>
      </c>
      <c r="AG29" s="70">
        <f>IF(AG$6&lt;$B29,0,IF(AG$6&gt;$B29+$G$7,0,IF(AG$6=$B29+$G$7,$C29-SUM($H29:AF29),IF(AG$6=$B29,$C29/$G$7/2,$C29/$G$7))))</f>
        <v>7.8125</v>
      </c>
      <c r="AH29" s="70">
        <f>IF(AH$6&lt;$B29,0,IF(AH$6&gt;$B29+$G$7,0,IF(AH$6=$B29+$G$7,$C29-SUM($H29:AG29),IF(AH$6=$B29,$C29/$G$7/2,$C29/$G$7))))</f>
        <v>7.8125</v>
      </c>
      <c r="AI29" s="70">
        <f>IF(AI$6&lt;$B29,0,IF(AI$6&gt;$B29+$G$7,0,IF(AI$6=$B29+$G$7,$C29-SUM($H29:AH29),IF(AI$6=$B29,$C29/$G$7/2,$C29/$G$7))))</f>
        <v>7.8125</v>
      </c>
      <c r="AJ29" s="70">
        <f>IF(AJ$6&lt;$B29,0,IF(AJ$6&gt;$B29+$G$7,0,IF(AJ$6=$B29+$G$7,$C29-SUM($H29:AI29),IF(AJ$6=$B29,$C29/$G$7/2,$C29/$G$7))))</f>
        <v>7.8125</v>
      </c>
      <c r="AK29" s="70">
        <f>IF(AK$6&lt;$B29,0,IF(AK$6&gt;$B29+$G$7,0,IF(AK$6=$B29+$G$7,$C29-SUM($H29:AJ29),IF(AK$6=$B29,$C29/$G$7/2,$C29/$G$7))))</f>
        <v>7.8125</v>
      </c>
      <c r="AL29" s="70">
        <f>IF(AL$6&lt;$B29,0,IF(AL$6&gt;$B29+$G$7,0,IF(AL$6=$B29+$G$7,$C29-SUM($H29:AK29),IF(AL$6=$B29,$C29/$G$7/2,$C29/$G$7))))</f>
        <v>7.8125</v>
      </c>
      <c r="AM29" s="70">
        <f>IF(AM$6&lt;$B29,0,IF(AM$6&gt;$B29+$G$7,0,IF(AM$6=$B29+$G$7,$C29-SUM($H29:AL29),IF(AM$6=$B29,$C29/$G$7/2,$C29/$G$7))))</f>
        <v>7.8125</v>
      </c>
      <c r="AN29" s="70">
        <f>IF(AN$6&lt;$B29,0,IF(AN$6&gt;$B29+$G$7,0,IF(AN$6=$B29+$G$7,$C29-SUM($H29:AM29),IF(AN$6=$B29,$C29/$G$7/2,$C29/$G$7))))</f>
        <v>7.8125</v>
      </c>
      <c r="AO29" s="70">
        <f>IF(AO$6&lt;$B29,0,IF(AO$6&gt;$B29+$G$7,0,IF(AO$6=$B29+$G$7,$C29-SUM($H29:AN29),IF(AO$6=$B29,$C29/$G$7/2,$C29/$G$7))))</f>
        <v>7.8125</v>
      </c>
      <c r="AP29" s="70">
        <f>IF(AP$6&lt;$B29,0,IF(AP$6&gt;$B29+$G$7,0,IF(AP$6=$B29+$G$7,$C29-SUM($H29:AO29),IF(AP$6=$B29,$C29/$G$7/2,$C29/$G$7))))</f>
        <v>7.8125</v>
      </c>
      <c r="AQ29" s="70">
        <f>IF(AQ$6&lt;$B29,0,IF(AQ$6&gt;$B29+$G$7,0,IF(AQ$6=$B29+$G$7,$C29-SUM($H29:AP29),IF(AQ$6=$B29,$C29/$G$7/2,$C29/$G$7))))</f>
        <v>7.8125</v>
      </c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</row>
    <row r="30" spans="2:55">
      <c r="B30" s="100">
        <f t="shared" si="3"/>
        <v>2036</v>
      </c>
      <c r="C30" s="97">
        <f>HLOOKUP(Depreciation!B30,Model!$I$72:$AQ$78,7)</f>
        <v>262.5</v>
      </c>
      <c r="E30" s="3" t="str">
        <f t="shared" si="2"/>
        <v>CADmm</v>
      </c>
      <c r="F30" s="3" t="s">
        <v>57</v>
      </c>
      <c r="I30" s="70">
        <f>IF(I$6&lt;$B30,0,IF(I$6&gt;$B30+$G$7,0,IF(I$6=$B30+$G$7,$C30-SUM($H30:H30),IF(I$6=$B30,$C30/$G$7/2,$C30/$G$7))))</f>
        <v>0</v>
      </c>
      <c r="J30" s="70">
        <f>IF(J$6&lt;$B30,0,IF(J$6&gt;$B30+$G$7,0,IF(J$6=$B30+$G$7,$C30-SUM($H30:I30),IF(J$6=$B30,$C30/$G$7/2,$C30/$G$7))))</f>
        <v>0</v>
      </c>
      <c r="K30" s="70">
        <f>IF(K$6&lt;$B30,0,IF(K$6&gt;$B30+$G$7,0,IF(K$6=$B30+$G$7,$C30-SUM($H30:J30),IF(K$6=$B30,$C30/$G$7/2,$C30/$G$7))))</f>
        <v>0</v>
      </c>
      <c r="L30" s="70">
        <f>IF(L$6&lt;$B30,0,IF(L$6&gt;$B30+$G$7,0,IF(L$6=$B30+$G$7,$C30-SUM($H30:K30),IF(L$6=$B30,$C30/$G$7/2,$C30/$G$7))))</f>
        <v>0</v>
      </c>
      <c r="M30" s="70">
        <f>IF(M$6&lt;$B30,0,IF(M$6&gt;$B30+$G$7,0,IF(M$6=$B30+$G$7,$C30-SUM($H30:L30),IF(M$6=$B30,$C30/$G$7/2,$C30/$G$7))))</f>
        <v>0</v>
      </c>
      <c r="N30" s="70">
        <f>IF(N$6&lt;$B30,0,IF(N$6&gt;$B30+$G$7,0,IF(N$6=$B30+$G$7,$C30-SUM($H30:M30),IF(N$6=$B30,$C30/$G$7/2,$C30/$G$7))))</f>
        <v>0</v>
      </c>
      <c r="O30" s="70">
        <f>IF(O$6&lt;$B30,0,IF(O$6&gt;$B30+$G$7,0,IF(O$6=$B30+$G$7,$C30-SUM($H30:N30),IF(O$6=$B30,$C30/$G$7/2,$C30/$G$7))))</f>
        <v>0</v>
      </c>
      <c r="P30" s="70">
        <f>IF(P$6&lt;$B30,0,IF(P$6&gt;$B30+$G$7,0,IF(P$6=$B30+$G$7,$C30-SUM($H30:O30),IF(P$6=$B30,$C30/$G$7/2,$C30/$G$7))))</f>
        <v>0</v>
      </c>
      <c r="Q30" s="70">
        <f>IF(Q$6&lt;$B30,0,IF(Q$6&gt;$B30+$G$7,0,IF(Q$6=$B30+$G$7,$C30-SUM($H30:P30),IF(Q$6=$B30,$C30/$G$7/2,$C30/$G$7))))</f>
        <v>0</v>
      </c>
      <c r="R30" s="70">
        <f>IF(R$6&lt;$B30,0,IF(R$6&gt;$B30+$G$7,0,IF(R$6=$B30+$G$7,$C30-SUM($H30:Q30),IF(R$6=$B30,$C30/$G$7/2,$C30/$G$7))))</f>
        <v>0</v>
      </c>
      <c r="S30" s="70">
        <f>IF(S$6&lt;$B30,0,IF(S$6&gt;$B30+$G$7,0,IF(S$6=$B30+$G$7,$C30-SUM($H30:R30),IF(S$6=$B30,$C30/$G$7/2,$C30/$G$7))))</f>
        <v>0</v>
      </c>
      <c r="T30" s="70">
        <f>IF(T$6&lt;$B30,0,IF(T$6&gt;$B30+$G$7,0,IF(T$6=$B30+$G$7,$C30-SUM($H30:S30),IF(T$6=$B30,$C30/$G$7/2,$C30/$G$7))))</f>
        <v>0</v>
      </c>
      <c r="U30" s="70">
        <f>IF(U$6&lt;$B30,0,IF(U$6&gt;$B30+$G$7,0,IF(U$6=$B30+$G$7,$C30-SUM($H30:T30),IF(U$6=$B30,$C30/$G$7/2,$C30/$G$7))))</f>
        <v>0</v>
      </c>
      <c r="V30" s="70">
        <f>IF(V$6&lt;$B30,0,IF(V$6&gt;$B30+$G$7,0,IF(V$6=$B30+$G$7,$C30-SUM($H30:U30),IF(V$6=$B30,$C30/$G$7/2,$C30/$G$7))))</f>
        <v>0</v>
      </c>
      <c r="W30" s="70">
        <f>IF(W$6&lt;$B30,0,IF(W$6&gt;$B30+$G$7,0,IF(W$6=$B30+$G$7,$C30-SUM($H30:V30),IF(W$6=$B30,$C30/$G$7/2,$C30/$G$7))))</f>
        <v>0</v>
      </c>
      <c r="X30" s="70">
        <f>IF(X$6&lt;$B30,0,IF(X$6&gt;$B30+$G$7,0,IF(X$6=$B30+$G$7,$C30-SUM($H30:W30),IF(X$6=$B30,$C30/$G$7/2,$C30/$G$7))))</f>
        <v>0</v>
      </c>
      <c r="Y30" s="70">
        <f>IF(Y$6&lt;$B30,0,IF(Y$6&gt;$B30+$G$7,0,IF(Y$6=$B30+$G$7,$C30-SUM($H30:X30),IF(Y$6=$B30,$C30/$G$7/2,$C30/$G$7))))</f>
        <v>0</v>
      </c>
      <c r="Z30" s="70">
        <f>IF(Z$6&lt;$B30,0,IF(Z$6&gt;$B30+$G$7,0,IF(Z$6=$B30+$G$7,$C30-SUM($H30:Y30),IF(Z$6=$B30,$C30/$G$7/2,$C30/$G$7))))</f>
        <v>0</v>
      </c>
      <c r="AA30" s="70">
        <f>IF(AA$6&lt;$B30,0,IF(AA$6&gt;$B30+$G$7,0,IF(AA$6=$B30+$G$7,$C30-SUM($H30:Z30),IF(AA$6=$B30,$C30/$G$7/2,$C30/$G$7))))</f>
        <v>0</v>
      </c>
      <c r="AB30" s="70">
        <f>IF(AB$6&lt;$B30,0,IF(AB$6&gt;$B30+$G$7,0,IF(AB$6=$B30+$G$7,$C30-SUM($H30:AA30),IF(AB$6=$B30,$C30/$G$7/2,$C30/$G$7))))</f>
        <v>0</v>
      </c>
      <c r="AC30" s="70">
        <f>IF(AC$6&lt;$B30,0,IF(AC$6&gt;$B30+$G$7,0,IF(AC$6=$B30+$G$7,$C30-SUM($H30:AB30),IF(AC$6=$B30,$C30/$G$7/2,$C30/$G$7))))</f>
        <v>6.5625</v>
      </c>
      <c r="AD30" s="70">
        <f>IF(AD$6&lt;$B30,0,IF(AD$6&gt;$B30+$G$7,0,IF(AD$6=$B30+$G$7,$C30-SUM($H30:AC30),IF(AD$6=$B30,$C30/$G$7/2,$C30/$G$7))))</f>
        <v>13.125</v>
      </c>
      <c r="AE30" s="70">
        <f>IF(AE$6&lt;$B30,0,IF(AE$6&gt;$B30+$G$7,0,IF(AE$6=$B30+$G$7,$C30-SUM($H30:AD30),IF(AE$6=$B30,$C30/$G$7/2,$C30/$G$7))))</f>
        <v>13.125</v>
      </c>
      <c r="AF30" s="70">
        <f>IF(AF$6&lt;$B30,0,IF(AF$6&gt;$B30+$G$7,0,IF(AF$6=$B30+$G$7,$C30-SUM($H30:AE30),IF(AF$6=$B30,$C30/$G$7/2,$C30/$G$7))))</f>
        <v>13.125</v>
      </c>
      <c r="AG30" s="70">
        <f>IF(AG$6&lt;$B30,0,IF(AG$6&gt;$B30+$G$7,0,IF(AG$6=$B30+$G$7,$C30-SUM($H30:AF30),IF(AG$6=$B30,$C30/$G$7/2,$C30/$G$7))))</f>
        <v>13.125</v>
      </c>
      <c r="AH30" s="70">
        <f>IF(AH$6&lt;$B30,0,IF(AH$6&gt;$B30+$G$7,0,IF(AH$6=$B30+$G$7,$C30-SUM($H30:AG30),IF(AH$6=$B30,$C30/$G$7/2,$C30/$G$7))))</f>
        <v>13.125</v>
      </c>
      <c r="AI30" s="70">
        <f>IF(AI$6&lt;$B30,0,IF(AI$6&gt;$B30+$G$7,0,IF(AI$6=$B30+$G$7,$C30-SUM($H30:AH30),IF(AI$6=$B30,$C30/$G$7/2,$C30/$G$7))))</f>
        <v>13.125</v>
      </c>
      <c r="AJ30" s="70">
        <f>IF(AJ$6&lt;$B30,0,IF(AJ$6&gt;$B30+$G$7,0,IF(AJ$6=$B30+$G$7,$C30-SUM($H30:AI30),IF(AJ$6=$B30,$C30/$G$7/2,$C30/$G$7))))</f>
        <v>13.125</v>
      </c>
      <c r="AK30" s="70">
        <f>IF(AK$6&lt;$B30,0,IF(AK$6&gt;$B30+$G$7,0,IF(AK$6=$B30+$G$7,$C30-SUM($H30:AJ30),IF(AK$6=$B30,$C30/$G$7/2,$C30/$G$7))))</f>
        <v>13.125</v>
      </c>
      <c r="AL30" s="70">
        <f>IF(AL$6&lt;$B30,0,IF(AL$6&gt;$B30+$G$7,0,IF(AL$6=$B30+$G$7,$C30-SUM($H30:AK30),IF(AL$6=$B30,$C30/$G$7/2,$C30/$G$7))))</f>
        <v>13.125</v>
      </c>
      <c r="AM30" s="70">
        <f>IF(AM$6&lt;$B30,0,IF(AM$6&gt;$B30+$G$7,0,IF(AM$6=$B30+$G$7,$C30-SUM($H30:AL30),IF(AM$6=$B30,$C30/$G$7/2,$C30/$G$7))))</f>
        <v>13.125</v>
      </c>
      <c r="AN30" s="70">
        <f>IF(AN$6&lt;$B30,0,IF(AN$6&gt;$B30+$G$7,0,IF(AN$6=$B30+$G$7,$C30-SUM($H30:AM30),IF(AN$6=$B30,$C30/$G$7/2,$C30/$G$7))))</f>
        <v>13.125</v>
      </c>
      <c r="AO30" s="70">
        <f>IF(AO$6&lt;$B30,0,IF(AO$6&gt;$B30+$G$7,0,IF(AO$6=$B30+$G$7,$C30-SUM($H30:AN30),IF(AO$6=$B30,$C30/$G$7/2,$C30/$G$7))))</f>
        <v>13.125</v>
      </c>
      <c r="AP30" s="70">
        <f>IF(AP$6&lt;$B30,0,IF(AP$6&gt;$B30+$G$7,0,IF(AP$6=$B30+$G$7,$C30-SUM($H30:AO30),IF(AP$6=$B30,$C30/$G$7/2,$C30/$G$7))))</f>
        <v>13.125</v>
      </c>
      <c r="AQ30" s="70">
        <f>IF(AQ$6&lt;$B30,0,IF(AQ$6&gt;$B30+$G$7,0,IF(AQ$6=$B30+$G$7,$C30-SUM($H30:AP30),IF(AQ$6=$B30,$C30/$G$7/2,$C30/$G$7))))</f>
        <v>13.125</v>
      </c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</row>
    <row r="31" spans="2:55">
      <c r="B31" s="100">
        <f t="shared" si="3"/>
        <v>2037</v>
      </c>
      <c r="C31" s="97">
        <f>HLOOKUP(Depreciation!B31,Model!$I$72:$AQ$78,7)</f>
        <v>156.25</v>
      </c>
      <c r="E31" s="3" t="str">
        <f t="shared" si="2"/>
        <v>CADmm</v>
      </c>
      <c r="F31" s="3" t="s">
        <v>57</v>
      </c>
      <c r="I31" s="70">
        <f>IF(I$6&lt;$B31,0,IF(I$6&gt;$B31+$G$7,0,IF(I$6=$B31+$G$7,$C31-SUM($H31:H31),IF(I$6=$B31,$C31/$G$7/2,$C31/$G$7))))</f>
        <v>0</v>
      </c>
      <c r="J31" s="70">
        <f>IF(J$6&lt;$B31,0,IF(J$6&gt;$B31+$G$7,0,IF(J$6=$B31+$G$7,$C31-SUM($H31:I31),IF(J$6=$B31,$C31/$G$7/2,$C31/$G$7))))</f>
        <v>0</v>
      </c>
      <c r="K31" s="70">
        <f>IF(K$6&lt;$B31,0,IF(K$6&gt;$B31+$G$7,0,IF(K$6=$B31+$G$7,$C31-SUM($H31:J31),IF(K$6=$B31,$C31/$G$7/2,$C31/$G$7))))</f>
        <v>0</v>
      </c>
      <c r="L31" s="70">
        <f>IF(L$6&lt;$B31,0,IF(L$6&gt;$B31+$G$7,0,IF(L$6=$B31+$G$7,$C31-SUM($H31:K31),IF(L$6=$B31,$C31/$G$7/2,$C31/$G$7))))</f>
        <v>0</v>
      </c>
      <c r="M31" s="70">
        <f>IF(M$6&lt;$B31,0,IF(M$6&gt;$B31+$G$7,0,IF(M$6=$B31+$G$7,$C31-SUM($H31:L31),IF(M$6=$B31,$C31/$G$7/2,$C31/$G$7))))</f>
        <v>0</v>
      </c>
      <c r="N31" s="70">
        <f>IF(N$6&lt;$B31,0,IF(N$6&gt;$B31+$G$7,0,IF(N$6=$B31+$G$7,$C31-SUM($H31:M31),IF(N$6=$B31,$C31/$G$7/2,$C31/$G$7))))</f>
        <v>0</v>
      </c>
      <c r="O31" s="70">
        <f>IF(O$6&lt;$B31,0,IF(O$6&gt;$B31+$G$7,0,IF(O$6=$B31+$G$7,$C31-SUM($H31:N31),IF(O$6=$B31,$C31/$G$7/2,$C31/$G$7))))</f>
        <v>0</v>
      </c>
      <c r="P31" s="70">
        <f>IF(P$6&lt;$B31,0,IF(P$6&gt;$B31+$G$7,0,IF(P$6=$B31+$G$7,$C31-SUM($H31:O31),IF(P$6=$B31,$C31/$G$7/2,$C31/$G$7))))</f>
        <v>0</v>
      </c>
      <c r="Q31" s="70">
        <f>IF(Q$6&lt;$B31,0,IF(Q$6&gt;$B31+$G$7,0,IF(Q$6=$B31+$G$7,$C31-SUM($H31:P31),IF(Q$6=$B31,$C31/$G$7/2,$C31/$G$7))))</f>
        <v>0</v>
      </c>
      <c r="R31" s="70">
        <f>IF(R$6&lt;$B31,0,IF(R$6&gt;$B31+$G$7,0,IF(R$6=$B31+$G$7,$C31-SUM($H31:Q31),IF(R$6=$B31,$C31/$G$7/2,$C31/$G$7))))</f>
        <v>0</v>
      </c>
      <c r="S31" s="70">
        <f>IF(S$6&lt;$B31,0,IF(S$6&gt;$B31+$G$7,0,IF(S$6=$B31+$G$7,$C31-SUM($H31:R31),IF(S$6=$B31,$C31/$G$7/2,$C31/$G$7))))</f>
        <v>0</v>
      </c>
      <c r="T31" s="70">
        <f>IF(T$6&lt;$B31,0,IF(T$6&gt;$B31+$G$7,0,IF(T$6=$B31+$G$7,$C31-SUM($H31:S31),IF(T$6=$B31,$C31/$G$7/2,$C31/$G$7))))</f>
        <v>0</v>
      </c>
      <c r="U31" s="70">
        <f>IF(U$6&lt;$B31,0,IF(U$6&gt;$B31+$G$7,0,IF(U$6=$B31+$G$7,$C31-SUM($H31:T31),IF(U$6=$B31,$C31/$G$7/2,$C31/$G$7))))</f>
        <v>0</v>
      </c>
      <c r="V31" s="70">
        <f>IF(V$6&lt;$B31,0,IF(V$6&gt;$B31+$G$7,0,IF(V$6=$B31+$G$7,$C31-SUM($H31:U31),IF(V$6=$B31,$C31/$G$7/2,$C31/$G$7))))</f>
        <v>0</v>
      </c>
      <c r="W31" s="70">
        <f>IF(W$6&lt;$B31,0,IF(W$6&gt;$B31+$G$7,0,IF(W$6=$B31+$G$7,$C31-SUM($H31:V31),IF(W$6=$B31,$C31/$G$7/2,$C31/$G$7))))</f>
        <v>0</v>
      </c>
      <c r="X31" s="70">
        <f>IF(X$6&lt;$B31,0,IF(X$6&gt;$B31+$G$7,0,IF(X$6=$B31+$G$7,$C31-SUM($H31:W31),IF(X$6=$B31,$C31/$G$7/2,$C31/$G$7))))</f>
        <v>0</v>
      </c>
      <c r="Y31" s="70">
        <f>IF(Y$6&lt;$B31,0,IF(Y$6&gt;$B31+$G$7,0,IF(Y$6=$B31+$G$7,$C31-SUM($H31:X31),IF(Y$6=$B31,$C31/$G$7/2,$C31/$G$7))))</f>
        <v>0</v>
      </c>
      <c r="Z31" s="70">
        <f>IF(Z$6&lt;$B31,0,IF(Z$6&gt;$B31+$G$7,0,IF(Z$6=$B31+$G$7,$C31-SUM($H31:Y31),IF(Z$6=$B31,$C31/$G$7/2,$C31/$G$7))))</f>
        <v>0</v>
      </c>
      <c r="AA31" s="70">
        <f>IF(AA$6&lt;$B31,0,IF(AA$6&gt;$B31+$G$7,0,IF(AA$6=$B31+$G$7,$C31-SUM($H31:Z31),IF(AA$6=$B31,$C31/$G$7/2,$C31/$G$7))))</f>
        <v>0</v>
      </c>
      <c r="AB31" s="70">
        <f>IF(AB$6&lt;$B31,0,IF(AB$6&gt;$B31+$G$7,0,IF(AB$6=$B31+$G$7,$C31-SUM($H31:AA31),IF(AB$6=$B31,$C31/$G$7/2,$C31/$G$7))))</f>
        <v>0</v>
      </c>
      <c r="AC31" s="70">
        <f>IF(AC$6&lt;$B31,0,IF(AC$6&gt;$B31+$G$7,0,IF(AC$6=$B31+$G$7,$C31-SUM($H31:AB31),IF(AC$6=$B31,$C31/$G$7/2,$C31/$G$7))))</f>
        <v>0</v>
      </c>
      <c r="AD31" s="70">
        <f>IF(AD$6&lt;$B31,0,IF(AD$6&gt;$B31+$G$7,0,IF(AD$6=$B31+$G$7,$C31-SUM($H31:AC31),IF(AD$6=$B31,$C31/$G$7/2,$C31/$G$7))))</f>
        <v>3.90625</v>
      </c>
      <c r="AE31" s="70">
        <f>IF(AE$6&lt;$B31,0,IF(AE$6&gt;$B31+$G$7,0,IF(AE$6=$B31+$G$7,$C31-SUM($H31:AD31),IF(AE$6=$B31,$C31/$G$7/2,$C31/$G$7))))</f>
        <v>7.8125</v>
      </c>
      <c r="AF31" s="70">
        <f>IF(AF$6&lt;$B31,0,IF(AF$6&gt;$B31+$G$7,0,IF(AF$6=$B31+$G$7,$C31-SUM($H31:AE31),IF(AF$6=$B31,$C31/$G$7/2,$C31/$G$7))))</f>
        <v>7.8125</v>
      </c>
      <c r="AG31" s="70">
        <f>IF(AG$6&lt;$B31,0,IF(AG$6&gt;$B31+$G$7,0,IF(AG$6=$B31+$G$7,$C31-SUM($H31:AF31),IF(AG$6=$B31,$C31/$G$7/2,$C31/$G$7))))</f>
        <v>7.8125</v>
      </c>
      <c r="AH31" s="70">
        <f>IF(AH$6&lt;$B31,0,IF(AH$6&gt;$B31+$G$7,0,IF(AH$6=$B31+$G$7,$C31-SUM($H31:AG31),IF(AH$6=$B31,$C31/$G$7/2,$C31/$G$7))))</f>
        <v>7.8125</v>
      </c>
      <c r="AI31" s="70">
        <f>IF(AI$6&lt;$B31,0,IF(AI$6&gt;$B31+$G$7,0,IF(AI$6=$B31+$G$7,$C31-SUM($H31:AH31),IF(AI$6=$B31,$C31/$G$7/2,$C31/$G$7))))</f>
        <v>7.8125</v>
      </c>
      <c r="AJ31" s="70">
        <f>IF(AJ$6&lt;$B31,0,IF(AJ$6&gt;$B31+$G$7,0,IF(AJ$6=$B31+$G$7,$C31-SUM($H31:AI31),IF(AJ$6=$B31,$C31/$G$7/2,$C31/$G$7))))</f>
        <v>7.8125</v>
      </c>
      <c r="AK31" s="70">
        <f>IF(AK$6&lt;$B31,0,IF(AK$6&gt;$B31+$G$7,0,IF(AK$6=$B31+$G$7,$C31-SUM($H31:AJ31),IF(AK$6=$B31,$C31/$G$7/2,$C31/$G$7))))</f>
        <v>7.8125</v>
      </c>
      <c r="AL31" s="70">
        <f>IF(AL$6&lt;$B31,0,IF(AL$6&gt;$B31+$G$7,0,IF(AL$6=$B31+$G$7,$C31-SUM($H31:AK31),IF(AL$6=$B31,$C31/$G$7/2,$C31/$G$7))))</f>
        <v>7.8125</v>
      </c>
      <c r="AM31" s="70">
        <f>IF(AM$6&lt;$B31,0,IF(AM$6&gt;$B31+$G$7,0,IF(AM$6=$B31+$G$7,$C31-SUM($H31:AL31),IF(AM$6=$B31,$C31/$G$7/2,$C31/$G$7))))</f>
        <v>7.8125</v>
      </c>
      <c r="AN31" s="70">
        <f>IF(AN$6&lt;$B31,0,IF(AN$6&gt;$B31+$G$7,0,IF(AN$6=$B31+$G$7,$C31-SUM($H31:AM31),IF(AN$6=$B31,$C31/$G$7/2,$C31/$G$7))))</f>
        <v>7.8125</v>
      </c>
      <c r="AO31" s="70">
        <f>IF(AO$6&lt;$B31,0,IF(AO$6&gt;$B31+$G$7,0,IF(AO$6=$B31+$G$7,$C31-SUM($H31:AN31),IF(AO$6=$B31,$C31/$G$7/2,$C31/$G$7))))</f>
        <v>7.8125</v>
      </c>
      <c r="AP31" s="70">
        <f>IF(AP$6&lt;$B31,0,IF(AP$6&gt;$B31+$G$7,0,IF(AP$6=$B31+$G$7,$C31-SUM($H31:AO31),IF(AP$6=$B31,$C31/$G$7/2,$C31/$G$7))))</f>
        <v>7.8125</v>
      </c>
      <c r="AQ31" s="70">
        <f>IF(AQ$6&lt;$B31,0,IF(AQ$6&gt;$B31+$G$7,0,IF(AQ$6=$B31+$G$7,$C31-SUM($H31:AP31),IF(AQ$6=$B31,$C31/$G$7/2,$C31/$G$7))))</f>
        <v>7.8125</v>
      </c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</row>
    <row r="32" spans="2:55">
      <c r="B32" s="100">
        <f t="shared" si="3"/>
        <v>2038</v>
      </c>
      <c r="C32" s="97">
        <f>HLOOKUP(Depreciation!B32,Model!$I$72:$AQ$78,7)</f>
        <v>156.25</v>
      </c>
      <c r="E32" s="3" t="str">
        <f t="shared" si="2"/>
        <v>CADmm</v>
      </c>
      <c r="F32" s="3" t="s">
        <v>57</v>
      </c>
      <c r="I32" s="70">
        <f>IF(I$6&lt;$B32,0,IF(I$6&gt;$B32+$G$7,0,IF(I$6=$B32+$G$7,$C32-SUM($H32:H32),IF(I$6=$B32,$C32/$G$7/2,$C32/$G$7))))</f>
        <v>0</v>
      </c>
      <c r="J32" s="70">
        <f>IF(J$6&lt;$B32,0,IF(J$6&gt;$B32+$G$7,0,IF(J$6=$B32+$G$7,$C32-SUM($H32:I32),IF(J$6=$B32,$C32/$G$7/2,$C32/$G$7))))</f>
        <v>0</v>
      </c>
      <c r="K32" s="70">
        <f>IF(K$6&lt;$B32,0,IF(K$6&gt;$B32+$G$7,0,IF(K$6=$B32+$G$7,$C32-SUM($H32:J32),IF(K$6=$B32,$C32/$G$7/2,$C32/$G$7))))</f>
        <v>0</v>
      </c>
      <c r="L32" s="70">
        <f>IF(L$6&lt;$B32,0,IF(L$6&gt;$B32+$G$7,0,IF(L$6=$B32+$G$7,$C32-SUM($H32:K32),IF(L$6=$B32,$C32/$G$7/2,$C32/$G$7))))</f>
        <v>0</v>
      </c>
      <c r="M32" s="70">
        <f>IF(M$6&lt;$B32,0,IF(M$6&gt;$B32+$G$7,0,IF(M$6=$B32+$G$7,$C32-SUM($H32:L32),IF(M$6=$B32,$C32/$G$7/2,$C32/$G$7))))</f>
        <v>0</v>
      </c>
      <c r="N32" s="70">
        <f>IF(N$6&lt;$B32,0,IF(N$6&gt;$B32+$G$7,0,IF(N$6=$B32+$G$7,$C32-SUM($H32:M32),IF(N$6=$B32,$C32/$G$7/2,$C32/$G$7))))</f>
        <v>0</v>
      </c>
      <c r="O32" s="70">
        <f>IF(O$6&lt;$B32,0,IF(O$6&gt;$B32+$G$7,0,IF(O$6=$B32+$G$7,$C32-SUM($H32:N32),IF(O$6=$B32,$C32/$G$7/2,$C32/$G$7))))</f>
        <v>0</v>
      </c>
      <c r="P32" s="70">
        <f>IF(P$6&lt;$B32,0,IF(P$6&gt;$B32+$G$7,0,IF(P$6=$B32+$G$7,$C32-SUM($H32:O32),IF(P$6=$B32,$C32/$G$7/2,$C32/$G$7))))</f>
        <v>0</v>
      </c>
      <c r="Q32" s="70">
        <f>IF(Q$6&lt;$B32,0,IF(Q$6&gt;$B32+$G$7,0,IF(Q$6=$B32+$G$7,$C32-SUM($H32:P32),IF(Q$6=$B32,$C32/$G$7/2,$C32/$G$7))))</f>
        <v>0</v>
      </c>
      <c r="R32" s="70">
        <f>IF(R$6&lt;$B32,0,IF(R$6&gt;$B32+$G$7,0,IF(R$6=$B32+$G$7,$C32-SUM($H32:Q32),IF(R$6=$B32,$C32/$G$7/2,$C32/$G$7))))</f>
        <v>0</v>
      </c>
      <c r="S32" s="70">
        <f>IF(S$6&lt;$B32,0,IF(S$6&gt;$B32+$G$7,0,IF(S$6=$B32+$G$7,$C32-SUM($H32:R32),IF(S$6=$B32,$C32/$G$7/2,$C32/$G$7))))</f>
        <v>0</v>
      </c>
      <c r="T32" s="70">
        <f>IF(T$6&lt;$B32,0,IF(T$6&gt;$B32+$G$7,0,IF(T$6=$B32+$G$7,$C32-SUM($H32:S32),IF(T$6=$B32,$C32/$G$7/2,$C32/$G$7))))</f>
        <v>0</v>
      </c>
      <c r="U32" s="70">
        <f>IF(U$6&lt;$B32,0,IF(U$6&gt;$B32+$G$7,0,IF(U$6=$B32+$G$7,$C32-SUM($H32:T32),IF(U$6=$B32,$C32/$G$7/2,$C32/$G$7))))</f>
        <v>0</v>
      </c>
      <c r="V32" s="70">
        <f>IF(V$6&lt;$B32,0,IF(V$6&gt;$B32+$G$7,0,IF(V$6=$B32+$G$7,$C32-SUM($H32:U32),IF(V$6=$B32,$C32/$G$7/2,$C32/$G$7))))</f>
        <v>0</v>
      </c>
      <c r="W32" s="70">
        <f>IF(W$6&lt;$B32,0,IF(W$6&gt;$B32+$G$7,0,IF(W$6=$B32+$G$7,$C32-SUM($H32:V32),IF(W$6=$B32,$C32/$G$7/2,$C32/$G$7))))</f>
        <v>0</v>
      </c>
      <c r="X32" s="70">
        <f>IF(X$6&lt;$B32,0,IF(X$6&gt;$B32+$G$7,0,IF(X$6=$B32+$G$7,$C32-SUM($H32:W32),IF(X$6=$B32,$C32/$G$7/2,$C32/$G$7))))</f>
        <v>0</v>
      </c>
      <c r="Y32" s="70">
        <f>IF(Y$6&lt;$B32,0,IF(Y$6&gt;$B32+$G$7,0,IF(Y$6=$B32+$G$7,$C32-SUM($H32:X32),IF(Y$6=$B32,$C32/$G$7/2,$C32/$G$7))))</f>
        <v>0</v>
      </c>
      <c r="Z32" s="70">
        <f>IF(Z$6&lt;$B32,0,IF(Z$6&gt;$B32+$G$7,0,IF(Z$6=$B32+$G$7,$C32-SUM($H32:Y32),IF(Z$6=$B32,$C32/$G$7/2,$C32/$G$7))))</f>
        <v>0</v>
      </c>
      <c r="AA32" s="70">
        <f>IF(AA$6&lt;$B32,0,IF(AA$6&gt;$B32+$G$7,0,IF(AA$6=$B32+$G$7,$C32-SUM($H32:Z32),IF(AA$6=$B32,$C32/$G$7/2,$C32/$G$7))))</f>
        <v>0</v>
      </c>
      <c r="AB32" s="70">
        <f>IF(AB$6&lt;$B32,0,IF(AB$6&gt;$B32+$G$7,0,IF(AB$6=$B32+$G$7,$C32-SUM($H32:AA32),IF(AB$6=$B32,$C32/$G$7/2,$C32/$G$7))))</f>
        <v>0</v>
      </c>
      <c r="AC32" s="70">
        <f>IF(AC$6&lt;$B32,0,IF(AC$6&gt;$B32+$G$7,0,IF(AC$6=$B32+$G$7,$C32-SUM($H32:AB32),IF(AC$6=$B32,$C32/$G$7/2,$C32/$G$7))))</f>
        <v>0</v>
      </c>
      <c r="AD32" s="70">
        <f>IF(AD$6&lt;$B32,0,IF(AD$6&gt;$B32+$G$7,0,IF(AD$6=$B32+$G$7,$C32-SUM($H32:AC32),IF(AD$6=$B32,$C32/$G$7/2,$C32/$G$7))))</f>
        <v>0</v>
      </c>
      <c r="AE32" s="70">
        <f>IF(AE$6&lt;$B32,0,IF(AE$6&gt;$B32+$G$7,0,IF(AE$6=$B32+$G$7,$C32-SUM($H32:AD32),IF(AE$6=$B32,$C32/$G$7/2,$C32/$G$7))))</f>
        <v>3.90625</v>
      </c>
      <c r="AF32" s="70">
        <f>IF(AF$6&lt;$B32,0,IF(AF$6&gt;$B32+$G$7,0,IF(AF$6=$B32+$G$7,$C32-SUM($H32:AE32),IF(AF$6=$B32,$C32/$G$7/2,$C32/$G$7))))</f>
        <v>7.8125</v>
      </c>
      <c r="AG32" s="70">
        <f>IF(AG$6&lt;$B32,0,IF(AG$6&gt;$B32+$G$7,0,IF(AG$6=$B32+$G$7,$C32-SUM($H32:AF32),IF(AG$6=$B32,$C32/$G$7/2,$C32/$G$7))))</f>
        <v>7.8125</v>
      </c>
      <c r="AH32" s="70">
        <f>IF(AH$6&lt;$B32,0,IF(AH$6&gt;$B32+$G$7,0,IF(AH$6=$B32+$G$7,$C32-SUM($H32:AG32),IF(AH$6=$B32,$C32/$G$7/2,$C32/$G$7))))</f>
        <v>7.8125</v>
      </c>
      <c r="AI32" s="70">
        <f>IF(AI$6&lt;$B32,0,IF(AI$6&gt;$B32+$G$7,0,IF(AI$6=$B32+$G$7,$C32-SUM($H32:AH32),IF(AI$6=$B32,$C32/$G$7/2,$C32/$G$7))))</f>
        <v>7.8125</v>
      </c>
      <c r="AJ32" s="70">
        <f>IF(AJ$6&lt;$B32,0,IF(AJ$6&gt;$B32+$G$7,0,IF(AJ$6=$B32+$G$7,$C32-SUM($H32:AI32),IF(AJ$6=$B32,$C32/$G$7/2,$C32/$G$7))))</f>
        <v>7.8125</v>
      </c>
      <c r="AK32" s="70">
        <f>IF(AK$6&lt;$B32,0,IF(AK$6&gt;$B32+$G$7,0,IF(AK$6=$B32+$G$7,$C32-SUM($H32:AJ32),IF(AK$6=$B32,$C32/$G$7/2,$C32/$G$7))))</f>
        <v>7.8125</v>
      </c>
      <c r="AL32" s="70">
        <f>IF(AL$6&lt;$B32,0,IF(AL$6&gt;$B32+$G$7,0,IF(AL$6=$B32+$G$7,$C32-SUM($H32:AK32),IF(AL$6=$B32,$C32/$G$7/2,$C32/$G$7))))</f>
        <v>7.8125</v>
      </c>
      <c r="AM32" s="70">
        <f>IF(AM$6&lt;$B32,0,IF(AM$6&gt;$B32+$G$7,0,IF(AM$6=$B32+$G$7,$C32-SUM($H32:AL32),IF(AM$6=$B32,$C32/$G$7/2,$C32/$G$7))))</f>
        <v>7.8125</v>
      </c>
      <c r="AN32" s="70">
        <f>IF(AN$6&lt;$B32,0,IF(AN$6&gt;$B32+$G$7,0,IF(AN$6=$B32+$G$7,$C32-SUM($H32:AM32),IF(AN$6=$B32,$C32/$G$7/2,$C32/$G$7))))</f>
        <v>7.8125</v>
      </c>
      <c r="AO32" s="70">
        <f>IF(AO$6&lt;$B32,0,IF(AO$6&gt;$B32+$G$7,0,IF(AO$6=$B32+$G$7,$C32-SUM($H32:AN32),IF(AO$6=$B32,$C32/$G$7/2,$C32/$G$7))))</f>
        <v>7.8125</v>
      </c>
      <c r="AP32" s="70">
        <f>IF(AP$6&lt;$B32,0,IF(AP$6&gt;$B32+$G$7,0,IF(AP$6=$B32+$G$7,$C32-SUM($H32:AO32),IF(AP$6=$B32,$C32/$G$7/2,$C32/$G$7))))</f>
        <v>7.8125</v>
      </c>
      <c r="AQ32" s="70">
        <f>IF(AQ$6&lt;$B32,0,IF(AQ$6&gt;$B32+$G$7,0,IF(AQ$6=$B32+$G$7,$C32-SUM($H32:AP32),IF(AQ$6=$B32,$C32/$G$7/2,$C32/$G$7))))</f>
        <v>7.8125</v>
      </c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</row>
    <row r="33" spans="2:55">
      <c r="B33" s="100">
        <f t="shared" si="3"/>
        <v>2039</v>
      </c>
      <c r="C33" s="97">
        <f>HLOOKUP(Depreciation!B33,Model!$I$72:$AQ$78,7)</f>
        <v>156.25</v>
      </c>
      <c r="E33" s="3" t="str">
        <f t="shared" si="2"/>
        <v>CADmm</v>
      </c>
      <c r="F33" s="3" t="s">
        <v>57</v>
      </c>
      <c r="I33" s="70">
        <f>IF(I$6&lt;$B33,0,IF(I$6&gt;$B33+$G$7,0,IF(I$6=$B33+$G$7,$C33-SUM($H33:H33),IF(I$6=$B33,$C33/$G$7/2,$C33/$G$7))))</f>
        <v>0</v>
      </c>
      <c r="J33" s="70">
        <f>IF(J$6&lt;$B33,0,IF(J$6&gt;$B33+$G$7,0,IF(J$6=$B33+$G$7,$C33-SUM($H33:I33),IF(J$6=$B33,$C33/$G$7/2,$C33/$G$7))))</f>
        <v>0</v>
      </c>
      <c r="K33" s="70">
        <f>IF(K$6&lt;$B33,0,IF(K$6&gt;$B33+$G$7,0,IF(K$6=$B33+$G$7,$C33-SUM($H33:J33),IF(K$6=$B33,$C33/$G$7/2,$C33/$G$7))))</f>
        <v>0</v>
      </c>
      <c r="L33" s="70">
        <f>IF(L$6&lt;$B33,0,IF(L$6&gt;$B33+$G$7,0,IF(L$6=$B33+$G$7,$C33-SUM($H33:K33),IF(L$6=$B33,$C33/$G$7/2,$C33/$G$7))))</f>
        <v>0</v>
      </c>
      <c r="M33" s="70">
        <f>IF(M$6&lt;$B33,0,IF(M$6&gt;$B33+$G$7,0,IF(M$6=$B33+$G$7,$C33-SUM($H33:L33),IF(M$6=$B33,$C33/$G$7/2,$C33/$G$7))))</f>
        <v>0</v>
      </c>
      <c r="N33" s="70">
        <f>IF(N$6&lt;$B33,0,IF(N$6&gt;$B33+$G$7,0,IF(N$6=$B33+$G$7,$C33-SUM($H33:M33),IF(N$6=$B33,$C33/$G$7/2,$C33/$G$7))))</f>
        <v>0</v>
      </c>
      <c r="O33" s="70">
        <f>IF(O$6&lt;$B33,0,IF(O$6&gt;$B33+$G$7,0,IF(O$6=$B33+$G$7,$C33-SUM($H33:N33),IF(O$6=$B33,$C33/$G$7/2,$C33/$G$7))))</f>
        <v>0</v>
      </c>
      <c r="P33" s="70">
        <f>IF(P$6&lt;$B33,0,IF(P$6&gt;$B33+$G$7,0,IF(P$6=$B33+$G$7,$C33-SUM($H33:O33),IF(P$6=$B33,$C33/$G$7/2,$C33/$G$7))))</f>
        <v>0</v>
      </c>
      <c r="Q33" s="70">
        <f>IF(Q$6&lt;$B33,0,IF(Q$6&gt;$B33+$G$7,0,IF(Q$6=$B33+$G$7,$C33-SUM($H33:P33),IF(Q$6=$B33,$C33/$G$7/2,$C33/$G$7))))</f>
        <v>0</v>
      </c>
      <c r="R33" s="70">
        <f>IF(R$6&lt;$B33,0,IF(R$6&gt;$B33+$G$7,0,IF(R$6=$B33+$G$7,$C33-SUM($H33:Q33),IF(R$6=$B33,$C33/$G$7/2,$C33/$G$7))))</f>
        <v>0</v>
      </c>
      <c r="S33" s="70">
        <f>IF(S$6&lt;$B33,0,IF(S$6&gt;$B33+$G$7,0,IF(S$6=$B33+$G$7,$C33-SUM($H33:R33),IF(S$6=$B33,$C33/$G$7/2,$C33/$G$7))))</f>
        <v>0</v>
      </c>
      <c r="T33" s="70">
        <f>IF(T$6&lt;$B33,0,IF(T$6&gt;$B33+$G$7,0,IF(T$6=$B33+$G$7,$C33-SUM($H33:S33),IF(T$6=$B33,$C33/$G$7/2,$C33/$G$7))))</f>
        <v>0</v>
      </c>
      <c r="U33" s="70">
        <f>IF(U$6&lt;$B33,0,IF(U$6&gt;$B33+$G$7,0,IF(U$6=$B33+$G$7,$C33-SUM($H33:T33),IF(U$6=$B33,$C33/$G$7/2,$C33/$G$7))))</f>
        <v>0</v>
      </c>
      <c r="V33" s="70">
        <f>IF(V$6&lt;$B33,0,IF(V$6&gt;$B33+$G$7,0,IF(V$6=$B33+$G$7,$C33-SUM($H33:U33),IF(V$6=$B33,$C33/$G$7/2,$C33/$G$7))))</f>
        <v>0</v>
      </c>
      <c r="W33" s="70">
        <f>IF(W$6&lt;$B33,0,IF(W$6&gt;$B33+$G$7,0,IF(W$6=$B33+$G$7,$C33-SUM($H33:V33),IF(W$6=$B33,$C33/$G$7/2,$C33/$G$7))))</f>
        <v>0</v>
      </c>
      <c r="X33" s="70">
        <f>IF(X$6&lt;$B33,0,IF(X$6&gt;$B33+$G$7,0,IF(X$6=$B33+$G$7,$C33-SUM($H33:W33),IF(X$6=$B33,$C33/$G$7/2,$C33/$G$7))))</f>
        <v>0</v>
      </c>
      <c r="Y33" s="70">
        <f>IF(Y$6&lt;$B33,0,IF(Y$6&gt;$B33+$G$7,0,IF(Y$6=$B33+$G$7,$C33-SUM($H33:X33),IF(Y$6=$B33,$C33/$G$7/2,$C33/$G$7))))</f>
        <v>0</v>
      </c>
      <c r="Z33" s="70">
        <f>IF(Z$6&lt;$B33,0,IF(Z$6&gt;$B33+$G$7,0,IF(Z$6=$B33+$G$7,$C33-SUM($H33:Y33),IF(Z$6=$B33,$C33/$G$7/2,$C33/$G$7))))</f>
        <v>0</v>
      </c>
      <c r="AA33" s="70">
        <f>IF(AA$6&lt;$B33,0,IF(AA$6&gt;$B33+$G$7,0,IF(AA$6=$B33+$G$7,$C33-SUM($H33:Z33),IF(AA$6=$B33,$C33/$G$7/2,$C33/$G$7))))</f>
        <v>0</v>
      </c>
      <c r="AB33" s="70">
        <f>IF(AB$6&lt;$B33,0,IF(AB$6&gt;$B33+$G$7,0,IF(AB$6=$B33+$G$7,$C33-SUM($H33:AA33),IF(AB$6=$B33,$C33/$G$7/2,$C33/$G$7))))</f>
        <v>0</v>
      </c>
      <c r="AC33" s="70">
        <f>IF(AC$6&lt;$B33,0,IF(AC$6&gt;$B33+$G$7,0,IF(AC$6=$B33+$G$7,$C33-SUM($H33:AB33),IF(AC$6=$B33,$C33/$G$7/2,$C33/$G$7))))</f>
        <v>0</v>
      </c>
      <c r="AD33" s="70">
        <f>IF(AD$6&lt;$B33,0,IF(AD$6&gt;$B33+$G$7,0,IF(AD$6=$B33+$G$7,$C33-SUM($H33:AC33),IF(AD$6=$B33,$C33/$G$7/2,$C33/$G$7))))</f>
        <v>0</v>
      </c>
      <c r="AE33" s="70">
        <f>IF(AE$6&lt;$B33,0,IF(AE$6&gt;$B33+$G$7,0,IF(AE$6=$B33+$G$7,$C33-SUM($H33:AD33),IF(AE$6=$B33,$C33/$G$7/2,$C33/$G$7))))</f>
        <v>0</v>
      </c>
      <c r="AF33" s="70">
        <f>IF(AF$6&lt;$B33,0,IF(AF$6&gt;$B33+$G$7,0,IF(AF$6=$B33+$G$7,$C33-SUM($H33:AE33),IF(AF$6=$B33,$C33/$G$7/2,$C33/$G$7))))</f>
        <v>3.90625</v>
      </c>
      <c r="AG33" s="70">
        <f>IF(AG$6&lt;$B33,0,IF(AG$6&gt;$B33+$G$7,0,IF(AG$6=$B33+$G$7,$C33-SUM($H33:AF33),IF(AG$6=$B33,$C33/$G$7/2,$C33/$G$7))))</f>
        <v>7.8125</v>
      </c>
      <c r="AH33" s="70">
        <f>IF(AH$6&lt;$B33,0,IF(AH$6&gt;$B33+$G$7,0,IF(AH$6=$B33+$G$7,$C33-SUM($H33:AG33),IF(AH$6=$B33,$C33/$G$7/2,$C33/$G$7))))</f>
        <v>7.8125</v>
      </c>
      <c r="AI33" s="70">
        <f>IF(AI$6&lt;$B33,0,IF(AI$6&gt;$B33+$G$7,0,IF(AI$6=$B33+$G$7,$C33-SUM($H33:AH33),IF(AI$6=$B33,$C33/$G$7/2,$C33/$G$7))))</f>
        <v>7.8125</v>
      </c>
      <c r="AJ33" s="70">
        <f>IF(AJ$6&lt;$B33,0,IF(AJ$6&gt;$B33+$G$7,0,IF(AJ$6=$B33+$G$7,$C33-SUM($H33:AI33),IF(AJ$6=$B33,$C33/$G$7/2,$C33/$G$7))))</f>
        <v>7.8125</v>
      </c>
      <c r="AK33" s="70">
        <f>IF(AK$6&lt;$B33,0,IF(AK$6&gt;$B33+$G$7,0,IF(AK$6=$B33+$G$7,$C33-SUM($H33:AJ33),IF(AK$6=$B33,$C33/$G$7/2,$C33/$G$7))))</f>
        <v>7.8125</v>
      </c>
      <c r="AL33" s="70">
        <f>IF(AL$6&lt;$B33,0,IF(AL$6&gt;$B33+$G$7,0,IF(AL$6=$B33+$G$7,$C33-SUM($H33:AK33),IF(AL$6=$B33,$C33/$G$7/2,$C33/$G$7))))</f>
        <v>7.8125</v>
      </c>
      <c r="AM33" s="70">
        <f>IF(AM$6&lt;$B33,0,IF(AM$6&gt;$B33+$G$7,0,IF(AM$6=$B33+$G$7,$C33-SUM($H33:AL33),IF(AM$6=$B33,$C33/$G$7/2,$C33/$G$7))))</f>
        <v>7.8125</v>
      </c>
      <c r="AN33" s="70">
        <f>IF(AN$6&lt;$B33,0,IF(AN$6&gt;$B33+$G$7,0,IF(AN$6=$B33+$G$7,$C33-SUM($H33:AM33),IF(AN$6=$B33,$C33/$G$7/2,$C33/$G$7))))</f>
        <v>7.8125</v>
      </c>
      <c r="AO33" s="70">
        <f>IF(AO$6&lt;$B33,0,IF(AO$6&gt;$B33+$G$7,0,IF(AO$6=$B33+$G$7,$C33-SUM($H33:AN33),IF(AO$6=$B33,$C33/$G$7/2,$C33/$G$7))))</f>
        <v>7.8125</v>
      </c>
      <c r="AP33" s="70">
        <f>IF(AP$6&lt;$B33,0,IF(AP$6&gt;$B33+$G$7,0,IF(AP$6=$B33+$G$7,$C33-SUM($H33:AO33),IF(AP$6=$B33,$C33/$G$7/2,$C33/$G$7))))</f>
        <v>7.8125</v>
      </c>
      <c r="AQ33" s="70">
        <f>IF(AQ$6&lt;$B33,0,IF(AQ$6&gt;$B33+$G$7,0,IF(AQ$6=$B33+$G$7,$C33-SUM($H33:AP33),IF(AQ$6=$B33,$C33/$G$7/2,$C33/$G$7))))</f>
        <v>7.8125</v>
      </c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70"/>
    </row>
    <row r="34" spans="2:55">
      <c r="B34" s="100">
        <f t="shared" si="3"/>
        <v>2040</v>
      </c>
      <c r="C34" s="97">
        <f>HLOOKUP(Depreciation!B34,Model!$I$72:$AQ$78,7)</f>
        <v>156.25</v>
      </c>
      <c r="E34" s="3" t="str">
        <f t="shared" si="2"/>
        <v>CADmm</v>
      </c>
      <c r="F34" s="3" t="s">
        <v>57</v>
      </c>
      <c r="I34" s="70">
        <f>IF(I$6&lt;$B34,0,IF(I$6&gt;$B34+$G$7,0,IF(I$6=$B34+$G$7,$C34-SUM($H34:H34),IF(I$6=$B34,$C34/$G$7/2,$C34/$G$7))))</f>
        <v>0</v>
      </c>
      <c r="J34" s="70">
        <f>IF(J$6&lt;$B34,0,IF(J$6&gt;$B34+$G$7,0,IF(J$6=$B34+$G$7,$C34-SUM($H34:I34),IF(J$6=$B34,$C34/$G$7/2,$C34/$G$7))))</f>
        <v>0</v>
      </c>
      <c r="K34" s="70">
        <f>IF(K$6&lt;$B34,0,IF(K$6&gt;$B34+$G$7,0,IF(K$6=$B34+$G$7,$C34-SUM($H34:J34),IF(K$6=$B34,$C34/$G$7/2,$C34/$G$7))))</f>
        <v>0</v>
      </c>
      <c r="L34" s="70">
        <f>IF(L$6&lt;$B34,0,IF(L$6&gt;$B34+$G$7,0,IF(L$6=$B34+$G$7,$C34-SUM($H34:K34),IF(L$6=$B34,$C34/$G$7/2,$C34/$G$7))))</f>
        <v>0</v>
      </c>
      <c r="M34" s="70">
        <f>IF(M$6&lt;$B34,0,IF(M$6&gt;$B34+$G$7,0,IF(M$6=$B34+$G$7,$C34-SUM($H34:L34),IF(M$6=$B34,$C34/$G$7/2,$C34/$G$7))))</f>
        <v>0</v>
      </c>
      <c r="N34" s="70">
        <f>IF(N$6&lt;$B34,0,IF(N$6&gt;$B34+$G$7,0,IF(N$6=$B34+$G$7,$C34-SUM($H34:M34),IF(N$6=$B34,$C34/$G$7/2,$C34/$G$7))))</f>
        <v>0</v>
      </c>
      <c r="O34" s="70">
        <f>IF(O$6&lt;$B34,0,IF(O$6&gt;$B34+$G$7,0,IF(O$6=$B34+$G$7,$C34-SUM($H34:N34),IF(O$6=$B34,$C34/$G$7/2,$C34/$G$7))))</f>
        <v>0</v>
      </c>
      <c r="P34" s="70">
        <f>IF(P$6&lt;$B34,0,IF(P$6&gt;$B34+$G$7,0,IF(P$6=$B34+$G$7,$C34-SUM($H34:O34),IF(P$6=$B34,$C34/$G$7/2,$C34/$G$7))))</f>
        <v>0</v>
      </c>
      <c r="Q34" s="70">
        <f>IF(Q$6&lt;$B34,0,IF(Q$6&gt;$B34+$G$7,0,IF(Q$6=$B34+$G$7,$C34-SUM($H34:P34),IF(Q$6=$B34,$C34/$G$7/2,$C34/$G$7))))</f>
        <v>0</v>
      </c>
      <c r="R34" s="70">
        <f>IF(R$6&lt;$B34,0,IF(R$6&gt;$B34+$G$7,0,IF(R$6=$B34+$G$7,$C34-SUM($H34:Q34),IF(R$6=$B34,$C34/$G$7/2,$C34/$G$7))))</f>
        <v>0</v>
      </c>
      <c r="S34" s="70">
        <f>IF(S$6&lt;$B34,0,IF(S$6&gt;$B34+$G$7,0,IF(S$6=$B34+$G$7,$C34-SUM($H34:R34),IF(S$6=$B34,$C34/$G$7/2,$C34/$G$7))))</f>
        <v>0</v>
      </c>
      <c r="T34" s="70">
        <f>IF(T$6&lt;$B34,0,IF(T$6&gt;$B34+$G$7,0,IF(T$6=$B34+$G$7,$C34-SUM($H34:S34),IF(T$6=$B34,$C34/$G$7/2,$C34/$G$7))))</f>
        <v>0</v>
      </c>
      <c r="U34" s="70">
        <f>IF(U$6&lt;$B34,0,IF(U$6&gt;$B34+$G$7,0,IF(U$6=$B34+$G$7,$C34-SUM($H34:T34),IF(U$6=$B34,$C34/$G$7/2,$C34/$G$7))))</f>
        <v>0</v>
      </c>
      <c r="V34" s="70">
        <f>IF(V$6&lt;$B34,0,IF(V$6&gt;$B34+$G$7,0,IF(V$6=$B34+$G$7,$C34-SUM($H34:U34),IF(V$6=$B34,$C34/$G$7/2,$C34/$G$7))))</f>
        <v>0</v>
      </c>
      <c r="W34" s="70">
        <f>IF(W$6&lt;$B34,0,IF(W$6&gt;$B34+$G$7,0,IF(W$6=$B34+$G$7,$C34-SUM($H34:V34),IF(W$6=$B34,$C34/$G$7/2,$C34/$G$7))))</f>
        <v>0</v>
      </c>
      <c r="X34" s="70">
        <f>IF(X$6&lt;$B34,0,IF(X$6&gt;$B34+$G$7,0,IF(X$6=$B34+$G$7,$C34-SUM($H34:W34),IF(X$6=$B34,$C34/$G$7/2,$C34/$G$7))))</f>
        <v>0</v>
      </c>
      <c r="Y34" s="70">
        <f>IF(Y$6&lt;$B34,0,IF(Y$6&gt;$B34+$G$7,0,IF(Y$6=$B34+$G$7,$C34-SUM($H34:X34),IF(Y$6=$B34,$C34/$G$7/2,$C34/$G$7))))</f>
        <v>0</v>
      </c>
      <c r="Z34" s="70">
        <f>IF(Z$6&lt;$B34,0,IF(Z$6&gt;$B34+$G$7,0,IF(Z$6=$B34+$G$7,$C34-SUM($H34:Y34),IF(Z$6=$B34,$C34/$G$7/2,$C34/$G$7))))</f>
        <v>0</v>
      </c>
      <c r="AA34" s="70">
        <f>IF(AA$6&lt;$B34,0,IF(AA$6&gt;$B34+$G$7,0,IF(AA$6=$B34+$G$7,$C34-SUM($H34:Z34),IF(AA$6=$B34,$C34/$G$7/2,$C34/$G$7))))</f>
        <v>0</v>
      </c>
      <c r="AB34" s="70">
        <f>IF(AB$6&lt;$B34,0,IF(AB$6&gt;$B34+$G$7,0,IF(AB$6=$B34+$G$7,$C34-SUM($H34:AA34),IF(AB$6=$B34,$C34/$G$7/2,$C34/$G$7))))</f>
        <v>0</v>
      </c>
      <c r="AC34" s="70">
        <f>IF(AC$6&lt;$B34,0,IF(AC$6&gt;$B34+$G$7,0,IF(AC$6=$B34+$G$7,$C34-SUM($H34:AB34),IF(AC$6=$B34,$C34/$G$7/2,$C34/$G$7))))</f>
        <v>0</v>
      </c>
      <c r="AD34" s="70">
        <f>IF(AD$6&lt;$B34,0,IF(AD$6&gt;$B34+$G$7,0,IF(AD$6=$B34+$G$7,$C34-SUM($H34:AC34),IF(AD$6=$B34,$C34/$G$7/2,$C34/$G$7))))</f>
        <v>0</v>
      </c>
      <c r="AE34" s="70">
        <f>IF(AE$6&lt;$B34,0,IF(AE$6&gt;$B34+$G$7,0,IF(AE$6=$B34+$G$7,$C34-SUM($H34:AD34),IF(AE$6=$B34,$C34/$G$7/2,$C34/$G$7))))</f>
        <v>0</v>
      </c>
      <c r="AF34" s="70">
        <f>IF(AF$6&lt;$B34,0,IF(AF$6&gt;$B34+$G$7,0,IF(AF$6=$B34+$G$7,$C34-SUM($H34:AE34),IF(AF$6=$B34,$C34/$G$7/2,$C34/$G$7))))</f>
        <v>0</v>
      </c>
      <c r="AG34" s="70">
        <f>IF(AG$6&lt;$B34,0,IF(AG$6&gt;$B34+$G$7,0,IF(AG$6=$B34+$G$7,$C34-SUM($H34:AF34),IF(AG$6=$B34,$C34/$G$7/2,$C34/$G$7))))</f>
        <v>3.90625</v>
      </c>
      <c r="AH34" s="70">
        <f>IF(AH$6&lt;$B34,0,IF(AH$6&gt;$B34+$G$7,0,IF(AH$6=$B34+$G$7,$C34-SUM($H34:AG34),IF(AH$6=$B34,$C34/$G$7/2,$C34/$G$7))))</f>
        <v>7.8125</v>
      </c>
      <c r="AI34" s="70">
        <f>IF(AI$6&lt;$B34,0,IF(AI$6&gt;$B34+$G$7,0,IF(AI$6=$B34+$G$7,$C34-SUM($H34:AH34),IF(AI$6=$B34,$C34/$G$7/2,$C34/$G$7))))</f>
        <v>7.8125</v>
      </c>
      <c r="AJ34" s="70">
        <f>IF(AJ$6&lt;$B34,0,IF(AJ$6&gt;$B34+$G$7,0,IF(AJ$6=$B34+$G$7,$C34-SUM($H34:AI34),IF(AJ$6=$B34,$C34/$G$7/2,$C34/$G$7))))</f>
        <v>7.8125</v>
      </c>
      <c r="AK34" s="70">
        <f>IF(AK$6&lt;$B34,0,IF(AK$6&gt;$B34+$G$7,0,IF(AK$6=$B34+$G$7,$C34-SUM($H34:AJ34),IF(AK$6=$B34,$C34/$G$7/2,$C34/$G$7))))</f>
        <v>7.8125</v>
      </c>
      <c r="AL34" s="70">
        <f>IF(AL$6&lt;$B34,0,IF(AL$6&gt;$B34+$G$7,0,IF(AL$6=$B34+$G$7,$C34-SUM($H34:AK34),IF(AL$6=$B34,$C34/$G$7/2,$C34/$G$7))))</f>
        <v>7.8125</v>
      </c>
      <c r="AM34" s="70">
        <f>IF(AM$6&lt;$B34,0,IF(AM$6&gt;$B34+$G$7,0,IF(AM$6=$B34+$G$7,$C34-SUM($H34:AL34),IF(AM$6=$B34,$C34/$G$7/2,$C34/$G$7))))</f>
        <v>7.8125</v>
      </c>
      <c r="AN34" s="70">
        <f>IF(AN$6&lt;$B34,0,IF(AN$6&gt;$B34+$G$7,0,IF(AN$6=$B34+$G$7,$C34-SUM($H34:AM34),IF(AN$6=$B34,$C34/$G$7/2,$C34/$G$7))))</f>
        <v>7.8125</v>
      </c>
      <c r="AO34" s="70">
        <f>IF(AO$6&lt;$B34,0,IF(AO$6&gt;$B34+$G$7,0,IF(AO$6=$B34+$G$7,$C34-SUM($H34:AN34),IF(AO$6=$B34,$C34/$G$7/2,$C34/$G$7))))</f>
        <v>7.8125</v>
      </c>
      <c r="AP34" s="70">
        <f>IF(AP$6&lt;$B34,0,IF(AP$6&gt;$B34+$G$7,0,IF(AP$6=$B34+$G$7,$C34-SUM($H34:AO34),IF(AP$6=$B34,$C34/$G$7/2,$C34/$G$7))))</f>
        <v>7.8125</v>
      </c>
      <c r="AQ34" s="70">
        <f>IF(AQ$6&lt;$B34,0,IF(AQ$6&gt;$B34+$G$7,0,IF(AQ$6=$B34+$G$7,$C34-SUM($H34:AP34),IF(AQ$6=$B34,$C34/$G$7/2,$C34/$G$7))))</f>
        <v>7.8125</v>
      </c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</row>
    <row r="35" spans="2:55">
      <c r="B35" s="100">
        <f t="shared" si="3"/>
        <v>2041</v>
      </c>
      <c r="C35" s="97">
        <f>HLOOKUP(Depreciation!B35,Model!$I$72:$AQ$78,7)</f>
        <v>156.25</v>
      </c>
      <c r="E35" s="3" t="str">
        <f t="shared" si="2"/>
        <v>CADmm</v>
      </c>
      <c r="F35" s="3" t="s">
        <v>57</v>
      </c>
      <c r="I35" s="70">
        <f>IF(I$6&lt;$B35,0,IF(I$6&gt;$B35+$G$7,0,IF(I$6=$B35+$G$7,$C35-SUM($H35:H35),IF(I$6=$B35,$C35/$G$7/2,$C35/$G$7))))</f>
        <v>0</v>
      </c>
      <c r="J35" s="70">
        <f>IF(J$6&lt;$B35,0,IF(J$6&gt;$B35+$G$7,0,IF(J$6=$B35+$G$7,$C35-SUM($H35:I35),IF(J$6=$B35,$C35/$G$7/2,$C35/$G$7))))</f>
        <v>0</v>
      </c>
      <c r="K35" s="70">
        <f>IF(K$6&lt;$B35,0,IF(K$6&gt;$B35+$G$7,0,IF(K$6=$B35+$G$7,$C35-SUM($H35:J35),IF(K$6=$B35,$C35/$G$7/2,$C35/$G$7))))</f>
        <v>0</v>
      </c>
      <c r="L35" s="70">
        <f>IF(L$6&lt;$B35,0,IF(L$6&gt;$B35+$G$7,0,IF(L$6=$B35+$G$7,$C35-SUM($H35:K35),IF(L$6=$B35,$C35/$G$7/2,$C35/$G$7))))</f>
        <v>0</v>
      </c>
      <c r="M35" s="70">
        <f>IF(M$6&lt;$B35,0,IF(M$6&gt;$B35+$G$7,0,IF(M$6=$B35+$G$7,$C35-SUM($H35:L35),IF(M$6=$B35,$C35/$G$7/2,$C35/$G$7))))</f>
        <v>0</v>
      </c>
      <c r="N35" s="70">
        <f>IF(N$6&lt;$B35,0,IF(N$6&gt;$B35+$G$7,0,IF(N$6=$B35+$G$7,$C35-SUM($H35:M35),IF(N$6=$B35,$C35/$G$7/2,$C35/$G$7))))</f>
        <v>0</v>
      </c>
      <c r="O35" s="70">
        <f>IF(O$6&lt;$B35,0,IF(O$6&gt;$B35+$G$7,0,IF(O$6=$B35+$G$7,$C35-SUM($H35:N35),IF(O$6=$B35,$C35/$G$7/2,$C35/$G$7))))</f>
        <v>0</v>
      </c>
      <c r="P35" s="70">
        <f>IF(P$6&lt;$B35,0,IF(P$6&gt;$B35+$G$7,0,IF(P$6=$B35+$G$7,$C35-SUM($H35:O35),IF(P$6=$B35,$C35/$G$7/2,$C35/$G$7))))</f>
        <v>0</v>
      </c>
      <c r="Q35" s="70">
        <f>IF(Q$6&lt;$B35,0,IF(Q$6&gt;$B35+$G$7,0,IF(Q$6=$B35+$G$7,$C35-SUM($H35:P35),IF(Q$6=$B35,$C35/$G$7/2,$C35/$G$7))))</f>
        <v>0</v>
      </c>
      <c r="R35" s="70">
        <f>IF(R$6&lt;$B35,0,IF(R$6&gt;$B35+$G$7,0,IF(R$6=$B35+$G$7,$C35-SUM($H35:Q35),IF(R$6=$B35,$C35/$G$7/2,$C35/$G$7))))</f>
        <v>0</v>
      </c>
      <c r="S35" s="70">
        <f>IF(S$6&lt;$B35,0,IF(S$6&gt;$B35+$G$7,0,IF(S$6=$B35+$G$7,$C35-SUM($H35:R35),IF(S$6=$B35,$C35/$G$7/2,$C35/$G$7))))</f>
        <v>0</v>
      </c>
      <c r="T35" s="70">
        <f>IF(T$6&lt;$B35,0,IF(T$6&gt;$B35+$G$7,0,IF(T$6=$B35+$G$7,$C35-SUM($H35:S35),IF(T$6=$B35,$C35/$G$7/2,$C35/$G$7))))</f>
        <v>0</v>
      </c>
      <c r="U35" s="70">
        <f>IF(U$6&lt;$B35,0,IF(U$6&gt;$B35+$G$7,0,IF(U$6=$B35+$G$7,$C35-SUM($H35:T35),IF(U$6=$B35,$C35/$G$7/2,$C35/$G$7))))</f>
        <v>0</v>
      </c>
      <c r="V35" s="70">
        <f>IF(V$6&lt;$B35,0,IF(V$6&gt;$B35+$G$7,0,IF(V$6=$B35+$G$7,$C35-SUM($H35:U35),IF(V$6=$B35,$C35/$G$7/2,$C35/$G$7))))</f>
        <v>0</v>
      </c>
      <c r="W35" s="70">
        <f>IF(W$6&lt;$B35,0,IF(W$6&gt;$B35+$G$7,0,IF(W$6=$B35+$G$7,$C35-SUM($H35:V35),IF(W$6=$B35,$C35/$G$7/2,$C35/$G$7))))</f>
        <v>0</v>
      </c>
      <c r="X35" s="70">
        <f>IF(X$6&lt;$B35,0,IF(X$6&gt;$B35+$G$7,0,IF(X$6=$B35+$G$7,$C35-SUM($H35:W35),IF(X$6=$B35,$C35/$G$7/2,$C35/$G$7))))</f>
        <v>0</v>
      </c>
      <c r="Y35" s="70">
        <f>IF(Y$6&lt;$B35,0,IF(Y$6&gt;$B35+$G$7,0,IF(Y$6=$B35+$G$7,$C35-SUM($H35:X35),IF(Y$6=$B35,$C35/$G$7/2,$C35/$G$7))))</f>
        <v>0</v>
      </c>
      <c r="Z35" s="70">
        <f>IF(Z$6&lt;$B35,0,IF(Z$6&gt;$B35+$G$7,0,IF(Z$6=$B35+$G$7,$C35-SUM($H35:Y35),IF(Z$6=$B35,$C35/$G$7/2,$C35/$G$7))))</f>
        <v>0</v>
      </c>
      <c r="AA35" s="70">
        <f>IF(AA$6&lt;$B35,0,IF(AA$6&gt;$B35+$G$7,0,IF(AA$6=$B35+$G$7,$C35-SUM($H35:Z35),IF(AA$6=$B35,$C35/$G$7/2,$C35/$G$7))))</f>
        <v>0</v>
      </c>
      <c r="AB35" s="70">
        <f>IF(AB$6&lt;$B35,0,IF(AB$6&gt;$B35+$G$7,0,IF(AB$6=$B35+$G$7,$C35-SUM($H35:AA35),IF(AB$6=$B35,$C35/$G$7/2,$C35/$G$7))))</f>
        <v>0</v>
      </c>
      <c r="AC35" s="70">
        <f>IF(AC$6&lt;$B35,0,IF(AC$6&gt;$B35+$G$7,0,IF(AC$6=$B35+$G$7,$C35-SUM($H35:AB35),IF(AC$6=$B35,$C35/$G$7/2,$C35/$G$7))))</f>
        <v>0</v>
      </c>
      <c r="AD35" s="70">
        <f>IF(AD$6&lt;$B35,0,IF(AD$6&gt;$B35+$G$7,0,IF(AD$6=$B35+$G$7,$C35-SUM($H35:AC35),IF(AD$6=$B35,$C35/$G$7/2,$C35/$G$7))))</f>
        <v>0</v>
      </c>
      <c r="AE35" s="70">
        <f>IF(AE$6&lt;$B35,0,IF(AE$6&gt;$B35+$G$7,0,IF(AE$6=$B35+$G$7,$C35-SUM($H35:AD35),IF(AE$6=$B35,$C35/$G$7/2,$C35/$G$7))))</f>
        <v>0</v>
      </c>
      <c r="AF35" s="70">
        <f>IF(AF$6&lt;$B35,0,IF(AF$6&gt;$B35+$G$7,0,IF(AF$6=$B35+$G$7,$C35-SUM($H35:AE35),IF(AF$6=$B35,$C35/$G$7/2,$C35/$G$7))))</f>
        <v>0</v>
      </c>
      <c r="AG35" s="70">
        <f>IF(AG$6&lt;$B35,0,IF(AG$6&gt;$B35+$G$7,0,IF(AG$6=$B35+$G$7,$C35-SUM($H35:AF35),IF(AG$6=$B35,$C35/$G$7/2,$C35/$G$7))))</f>
        <v>0</v>
      </c>
      <c r="AH35" s="70">
        <f>IF(AH$6&lt;$B35,0,IF(AH$6&gt;$B35+$G$7,0,IF(AH$6=$B35+$G$7,$C35-SUM($H35:AG35),IF(AH$6=$B35,$C35/$G$7/2,$C35/$G$7))))</f>
        <v>3.90625</v>
      </c>
      <c r="AI35" s="70">
        <f>IF(AI$6&lt;$B35,0,IF(AI$6&gt;$B35+$G$7,0,IF(AI$6=$B35+$G$7,$C35-SUM($H35:AH35),IF(AI$6=$B35,$C35/$G$7/2,$C35/$G$7))))</f>
        <v>7.8125</v>
      </c>
      <c r="AJ35" s="70">
        <f>IF(AJ$6&lt;$B35,0,IF(AJ$6&gt;$B35+$G$7,0,IF(AJ$6=$B35+$G$7,$C35-SUM($H35:AI35),IF(AJ$6=$B35,$C35/$G$7/2,$C35/$G$7))))</f>
        <v>7.8125</v>
      </c>
      <c r="AK35" s="70">
        <f>IF(AK$6&lt;$B35,0,IF(AK$6&gt;$B35+$G$7,0,IF(AK$6=$B35+$G$7,$C35-SUM($H35:AJ35),IF(AK$6=$B35,$C35/$G$7/2,$C35/$G$7))))</f>
        <v>7.8125</v>
      </c>
      <c r="AL35" s="70">
        <f>IF(AL$6&lt;$B35,0,IF(AL$6&gt;$B35+$G$7,0,IF(AL$6=$B35+$G$7,$C35-SUM($H35:AK35),IF(AL$6=$B35,$C35/$G$7/2,$C35/$G$7))))</f>
        <v>7.8125</v>
      </c>
      <c r="AM35" s="70">
        <f>IF(AM$6&lt;$B35,0,IF(AM$6&gt;$B35+$G$7,0,IF(AM$6=$B35+$G$7,$C35-SUM($H35:AL35),IF(AM$6=$B35,$C35/$G$7/2,$C35/$G$7))))</f>
        <v>7.8125</v>
      </c>
      <c r="AN35" s="70">
        <f>IF(AN$6&lt;$B35,0,IF(AN$6&gt;$B35+$G$7,0,IF(AN$6=$B35+$G$7,$C35-SUM($H35:AM35),IF(AN$6=$B35,$C35/$G$7/2,$C35/$G$7))))</f>
        <v>7.8125</v>
      </c>
      <c r="AO35" s="70">
        <f>IF(AO$6&lt;$B35,0,IF(AO$6&gt;$B35+$G$7,0,IF(AO$6=$B35+$G$7,$C35-SUM($H35:AN35),IF(AO$6=$B35,$C35/$G$7/2,$C35/$G$7))))</f>
        <v>7.8125</v>
      </c>
      <c r="AP35" s="70">
        <f>IF(AP$6&lt;$B35,0,IF(AP$6&gt;$B35+$G$7,0,IF(AP$6=$B35+$G$7,$C35-SUM($H35:AO35),IF(AP$6=$B35,$C35/$G$7/2,$C35/$G$7))))</f>
        <v>7.8125</v>
      </c>
      <c r="AQ35" s="70">
        <f>IF(AQ$6&lt;$B35,0,IF(AQ$6&gt;$B35+$G$7,0,IF(AQ$6=$B35+$G$7,$C35-SUM($H35:AP35),IF(AQ$6=$B35,$C35/$G$7/2,$C35/$G$7))))</f>
        <v>7.8125</v>
      </c>
      <c r="AR35" s="70"/>
      <c r="AS35" s="70"/>
      <c r="AT35" s="70"/>
      <c r="AU35" s="70"/>
      <c r="AV35" s="70"/>
      <c r="AW35" s="70"/>
      <c r="AX35" s="70"/>
      <c r="AY35" s="70"/>
      <c r="AZ35" s="70"/>
      <c r="BA35" s="70"/>
      <c r="BB35" s="70"/>
      <c r="BC35" s="70"/>
    </row>
    <row r="36" spans="2:55">
      <c r="B36" s="100">
        <f t="shared" si="3"/>
        <v>2042</v>
      </c>
      <c r="C36" s="97">
        <f>HLOOKUP(Depreciation!B36,Model!$I$72:$AQ$78,7)</f>
        <v>156.25</v>
      </c>
      <c r="E36" s="3" t="str">
        <f t="shared" si="2"/>
        <v>CADmm</v>
      </c>
      <c r="F36" s="3" t="s">
        <v>57</v>
      </c>
      <c r="I36" s="70">
        <f>IF(I$6&lt;$B36,0,IF(I$6&gt;$B36+$G$7,0,IF(I$6=$B36+$G$7,$C36-SUM($H36:H36),IF(I$6=$B36,$C36/$G$7/2,$C36/$G$7))))</f>
        <v>0</v>
      </c>
      <c r="J36" s="70">
        <f>IF(J$6&lt;$B36,0,IF(J$6&gt;$B36+$G$7,0,IF(J$6=$B36+$G$7,$C36-SUM($H36:I36),IF(J$6=$B36,$C36/$G$7/2,$C36/$G$7))))</f>
        <v>0</v>
      </c>
      <c r="K36" s="70">
        <f>IF(K$6&lt;$B36,0,IF(K$6&gt;$B36+$G$7,0,IF(K$6=$B36+$G$7,$C36-SUM($H36:J36),IF(K$6=$B36,$C36/$G$7/2,$C36/$G$7))))</f>
        <v>0</v>
      </c>
      <c r="L36" s="70">
        <f>IF(L$6&lt;$B36,0,IF(L$6&gt;$B36+$G$7,0,IF(L$6=$B36+$G$7,$C36-SUM($H36:K36),IF(L$6=$B36,$C36/$G$7/2,$C36/$G$7))))</f>
        <v>0</v>
      </c>
      <c r="M36" s="70">
        <f>IF(M$6&lt;$B36,0,IF(M$6&gt;$B36+$G$7,0,IF(M$6=$B36+$G$7,$C36-SUM($H36:L36),IF(M$6=$B36,$C36/$G$7/2,$C36/$G$7))))</f>
        <v>0</v>
      </c>
      <c r="N36" s="70">
        <f>IF(N$6&lt;$B36,0,IF(N$6&gt;$B36+$G$7,0,IF(N$6=$B36+$G$7,$C36-SUM($H36:M36),IF(N$6=$B36,$C36/$G$7/2,$C36/$G$7))))</f>
        <v>0</v>
      </c>
      <c r="O36" s="70">
        <f>IF(O$6&lt;$B36,0,IF(O$6&gt;$B36+$G$7,0,IF(O$6=$B36+$G$7,$C36-SUM($H36:N36),IF(O$6=$B36,$C36/$G$7/2,$C36/$G$7))))</f>
        <v>0</v>
      </c>
      <c r="P36" s="70">
        <f>IF(P$6&lt;$B36,0,IF(P$6&gt;$B36+$G$7,0,IF(P$6=$B36+$G$7,$C36-SUM($H36:O36),IF(P$6=$B36,$C36/$G$7/2,$C36/$G$7))))</f>
        <v>0</v>
      </c>
      <c r="Q36" s="70">
        <f>IF(Q$6&lt;$B36,0,IF(Q$6&gt;$B36+$G$7,0,IF(Q$6=$B36+$G$7,$C36-SUM($H36:P36),IF(Q$6=$B36,$C36/$G$7/2,$C36/$G$7))))</f>
        <v>0</v>
      </c>
      <c r="R36" s="70">
        <f>IF(R$6&lt;$B36,0,IF(R$6&gt;$B36+$G$7,0,IF(R$6=$B36+$G$7,$C36-SUM($H36:Q36),IF(R$6=$B36,$C36/$G$7/2,$C36/$G$7))))</f>
        <v>0</v>
      </c>
      <c r="S36" s="70">
        <f>IF(S$6&lt;$B36,0,IF(S$6&gt;$B36+$G$7,0,IF(S$6=$B36+$G$7,$C36-SUM($H36:R36),IF(S$6=$B36,$C36/$G$7/2,$C36/$G$7))))</f>
        <v>0</v>
      </c>
      <c r="T36" s="70">
        <f>IF(T$6&lt;$B36,0,IF(T$6&gt;$B36+$G$7,0,IF(T$6=$B36+$G$7,$C36-SUM($H36:S36),IF(T$6=$B36,$C36/$G$7/2,$C36/$G$7))))</f>
        <v>0</v>
      </c>
      <c r="U36" s="70">
        <f>IF(U$6&lt;$B36,0,IF(U$6&gt;$B36+$G$7,0,IF(U$6=$B36+$G$7,$C36-SUM($H36:T36),IF(U$6=$B36,$C36/$G$7/2,$C36/$G$7))))</f>
        <v>0</v>
      </c>
      <c r="V36" s="70">
        <f>IF(V$6&lt;$B36,0,IF(V$6&gt;$B36+$G$7,0,IF(V$6=$B36+$G$7,$C36-SUM($H36:U36),IF(V$6=$B36,$C36/$G$7/2,$C36/$G$7))))</f>
        <v>0</v>
      </c>
      <c r="W36" s="70">
        <f>IF(W$6&lt;$B36,0,IF(W$6&gt;$B36+$G$7,0,IF(W$6=$B36+$G$7,$C36-SUM($H36:V36),IF(W$6=$B36,$C36/$G$7/2,$C36/$G$7))))</f>
        <v>0</v>
      </c>
      <c r="X36" s="70">
        <f>IF(X$6&lt;$B36,0,IF(X$6&gt;$B36+$G$7,0,IF(X$6=$B36+$G$7,$C36-SUM($H36:W36),IF(X$6=$B36,$C36/$G$7/2,$C36/$G$7))))</f>
        <v>0</v>
      </c>
      <c r="Y36" s="70">
        <f>IF(Y$6&lt;$B36,0,IF(Y$6&gt;$B36+$G$7,0,IF(Y$6=$B36+$G$7,$C36-SUM($H36:X36),IF(Y$6=$B36,$C36/$G$7/2,$C36/$G$7))))</f>
        <v>0</v>
      </c>
      <c r="Z36" s="70">
        <f>IF(Z$6&lt;$B36,0,IF(Z$6&gt;$B36+$G$7,0,IF(Z$6=$B36+$G$7,$C36-SUM($H36:Y36),IF(Z$6=$B36,$C36/$G$7/2,$C36/$G$7))))</f>
        <v>0</v>
      </c>
      <c r="AA36" s="70">
        <f>IF(AA$6&lt;$B36,0,IF(AA$6&gt;$B36+$G$7,0,IF(AA$6=$B36+$G$7,$C36-SUM($H36:Z36),IF(AA$6=$B36,$C36/$G$7/2,$C36/$G$7))))</f>
        <v>0</v>
      </c>
      <c r="AB36" s="70">
        <f>IF(AB$6&lt;$B36,0,IF(AB$6&gt;$B36+$G$7,0,IF(AB$6=$B36+$G$7,$C36-SUM($H36:AA36),IF(AB$6=$B36,$C36/$G$7/2,$C36/$G$7))))</f>
        <v>0</v>
      </c>
      <c r="AC36" s="70">
        <f>IF(AC$6&lt;$B36,0,IF(AC$6&gt;$B36+$G$7,0,IF(AC$6=$B36+$G$7,$C36-SUM($H36:AB36),IF(AC$6=$B36,$C36/$G$7/2,$C36/$G$7))))</f>
        <v>0</v>
      </c>
      <c r="AD36" s="70">
        <f>IF(AD$6&lt;$B36,0,IF(AD$6&gt;$B36+$G$7,0,IF(AD$6=$B36+$G$7,$C36-SUM($H36:AC36),IF(AD$6=$B36,$C36/$G$7/2,$C36/$G$7))))</f>
        <v>0</v>
      </c>
      <c r="AE36" s="70">
        <f>IF(AE$6&lt;$B36,0,IF(AE$6&gt;$B36+$G$7,0,IF(AE$6=$B36+$G$7,$C36-SUM($H36:AD36),IF(AE$6=$B36,$C36/$G$7/2,$C36/$G$7))))</f>
        <v>0</v>
      </c>
      <c r="AF36" s="70">
        <f>IF(AF$6&lt;$B36,0,IF(AF$6&gt;$B36+$G$7,0,IF(AF$6=$B36+$G$7,$C36-SUM($H36:AE36),IF(AF$6=$B36,$C36/$G$7/2,$C36/$G$7))))</f>
        <v>0</v>
      </c>
      <c r="AG36" s="70">
        <f>IF(AG$6&lt;$B36,0,IF(AG$6&gt;$B36+$G$7,0,IF(AG$6=$B36+$G$7,$C36-SUM($H36:AF36),IF(AG$6=$B36,$C36/$G$7/2,$C36/$G$7))))</f>
        <v>0</v>
      </c>
      <c r="AH36" s="70">
        <f>IF(AH$6&lt;$B36,0,IF(AH$6&gt;$B36+$G$7,0,IF(AH$6=$B36+$G$7,$C36-SUM($H36:AG36),IF(AH$6=$B36,$C36/$G$7/2,$C36/$G$7))))</f>
        <v>0</v>
      </c>
      <c r="AI36" s="70">
        <f>IF(AI$6&lt;$B36,0,IF(AI$6&gt;$B36+$G$7,0,IF(AI$6=$B36+$G$7,$C36-SUM($H36:AH36),IF(AI$6=$B36,$C36/$G$7/2,$C36/$G$7))))</f>
        <v>3.90625</v>
      </c>
      <c r="AJ36" s="70">
        <f>IF(AJ$6&lt;$B36,0,IF(AJ$6&gt;$B36+$G$7,0,IF(AJ$6=$B36+$G$7,$C36-SUM($H36:AI36),IF(AJ$6=$B36,$C36/$G$7/2,$C36/$G$7))))</f>
        <v>7.8125</v>
      </c>
      <c r="AK36" s="70">
        <f>IF(AK$6&lt;$B36,0,IF(AK$6&gt;$B36+$G$7,0,IF(AK$6=$B36+$G$7,$C36-SUM($H36:AJ36),IF(AK$6=$B36,$C36/$G$7/2,$C36/$G$7))))</f>
        <v>7.8125</v>
      </c>
      <c r="AL36" s="70">
        <f>IF(AL$6&lt;$B36,0,IF(AL$6&gt;$B36+$G$7,0,IF(AL$6=$B36+$G$7,$C36-SUM($H36:AK36),IF(AL$6=$B36,$C36/$G$7/2,$C36/$G$7))))</f>
        <v>7.8125</v>
      </c>
      <c r="AM36" s="70">
        <f>IF(AM$6&lt;$B36,0,IF(AM$6&gt;$B36+$G$7,0,IF(AM$6=$B36+$G$7,$C36-SUM($H36:AL36),IF(AM$6=$B36,$C36/$G$7/2,$C36/$G$7))))</f>
        <v>7.8125</v>
      </c>
      <c r="AN36" s="70">
        <f>IF(AN$6&lt;$B36,0,IF(AN$6&gt;$B36+$G$7,0,IF(AN$6=$B36+$G$7,$C36-SUM($H36:AM36),IF(AN$6=$B36,$C36/$G$7/2,$C36/$G$7))))</f>
        <v>7.8125</v>
      </c>
      <c r="AO36" s="70">
        <f>IF(AO$6&lt;$B36,0,IF(AO$6&gt;$B36+$G$7,0,IF(AO$6=$B36+$G$7,$C36-SUM($H36:AN36),IF(AO$6=$B36,$C36/$G$7/2,$C36/$G$7))))</f>
        <v>7.8125</v>
      </c>
      <c r="AP36" s="70">
        <f>IF(AP$6&lt;$B36,0,IF(AP$6&gt;$B36+$G$7,0,IF(AP$6=$B36+$G$7,$C36-SUM($H36:AO36),IF(AP$6=$B36,$C36/$G$7/2,$C36/$G$7))))</f>
        <v>7.8125</v>
      </c>
      <c r="AQ36" s="70">
        <f>IF(AQ$6&lt;$B36,0,IF(AQ$6&gt;$B36+$G$7,0,IF(AQ$6=$B36+$G$7,$C36-SUM($H36:AP36),IF(AQ$6=$B36,$C36/$G$7/2,$C36/$G$7))))</f>
        <v>7.8125</v>
      </c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</row>
    <row r="37" spans="2:55">
      <c r="B37" s="100">
        <f t="shared" si="3"/>
        <v>2043</v>
      </c>
      <c r="C37" s="97">
        <f>HLOOKUP(Depreciation!B37,Model!$I$72:$AQ$78,7)</f>
        <v>156.25</v>
      </c>
      <c r="E37" s="3" t="str">
        <f t="shared" si="2"/>
        <v>CADmm</v>
      </c>
      <c r="F37" s="3" t="s">
        <v>57</v>
      </c>
      <c r="I37" s="70">
        <f>IF(I$6&lt;$B37,0,IF(I$6&gt;$B37+$G$7,0,IF(I$6=$B37+$G$7,$C37-SUM($H37:H37),IF(I$6=$B37,$C37/$G$7/2,$C37/$G$7))))</f>
        <v>0</v>
      </c>
      <c r="J37" s="70">
        <f>IF(J$6&lt;$B37,0,IF(J$6&gt;$B37+$G$7,0,IF(J$6=$B37+$G$7,$C37-SUM($H37:I37),IF(J$6=$B37,$C37/$G$7/2,$C37/$G$7))))</f>
        <v>0</v>
      </c>
      <c r="K37" s="70">
        <f>IF(K$6&lt;$B37,0,IF(K$6&gt;$B37+$G$7,0,IF(K$6=$B37+$G$7,$C37-SUM($H37:J37),IF(K$6=$B37,$C37/$G$7/2,$C37/$G$7))))</f>
        <v>0</v>
      </c>
      <c r="L37" s="70">
        <f>IF(L$6&lt;$B37,0,IF(L$6&gt;$B37+$G$7,0,IF(L$6=$B37+$G$7,$C37-SUM($H37:K37),IF(L$6=$B37,$C37/$G$7/2,$C37/$G$7))))</f>
        <v>0</v>
      </c>
      <c r="M37" s="70">
        <f>IF(M$6&lt;$B37,0,IF(M$6&gt;$B37+$G$7,0,IF(M$6=$B37+$G$7,$C37-SUM($H37:L37),IF(M$6=$B37,$C37/$G$7/2,$C37/$G$7))))</f>
        <v>0</v>
      </c>
      <c r="N37" s="70">
        <f>IF(N$6&lt;$B37,0,IF(N$6&gt;$B37+$G$7,0,IF(N$6=$B37+$G$7,$C37-SUM($H37:M37),IF(N$6=$B37,$C37/$G$7/2,$C37/$G$7))))</f>
        <v>0</v>
      </c>
      <c r="O37" s="70">
        <f>IF(O$6&lt;$B37,0,IF(O$6&gt;$B37+$G$7,0,IF(O$6=$B37+$G$7,$C37-SUM($H37:N37),IF(O$6=$B37,$C37/$G$7/2,$C37/$G$7))))</f>
        <v>0</v>
      </c>
      <c r="P37" s="70">
        <f>IF(P$6&lt;$B37,0,IF(P$6&gt;$B37+$G$7,0,IF(P$6=$B37+$G$7,$C37-SUM($H37:O37),IF(P$6=$B37,$C37/$G$7/2,$C37/$G$7))))</f>
        <v>0</v>
      </c>
      <c r="Q37" s="70">
        <f>IF(Q$6&lt;$B37,0,IF(Q$6&gt;$B37+$G$7,0,IF(Q$6=$B37+$G$7,$C37-SUM($H37:P37),IF(Q$6=$B37,$C37/$G$7/2,$C37/$G$7))))</f>
        <v>0</v>
      </c>
      <c r="R37" s="70">
        <f>IF(R$6&lt;$B37,0,IF(R$6&gt;$B37+$G$7,0,IF(R$6=$B37+$G$7,$C37-SUM($H37:Q37),IF(R$6=$B37,$C37/$G$7/2,$C37/$G$7))))</f>
        <v>0</v>
      </c>
      <c r="S37" s="70">
        <f>IF(S$6&lt;$B37,0,IF(S$6&gt;$B37+$G$7,0,IF(S$6=$B37+$G$7,$C37-SUM($H37:R37),IF(S$6=$B37,$C37/$G$7/2,$C37/$G$7))))</f>
        <v>0</v>
      </c>
      <c r="T37" s="70">
        <f>IF(T$6&lt;$B37,0,IF(T$6&gt;$B37+$G$7,0,IF(T$6=$B37+$G$7,$C37-SUM($H37:S37),IF(T$6=$B37,$C37/$G$7/2,$C37/$G$7))))</f>
        <v>0</v>
      </c>
      <c r="U37" s="70">
        <f>IF(U$6&lt;$B37,0,IF(U$6&gt;$B37+$G$7,0,IF(U$6=$B37+$G$7,$C37-SUM($H37:T37),IF(U$6=$B37,$C37/$G$7/2,$C37/$G$7))))</f>
        <v>0</v>
      </c>
      <c r="V37" s="70">
        <f>IF(V$6&lt;$B37,0,IF(V$6&gt;$B37+$G$7,0,IF(V$6=$B37+$G$7,$C37-SUM($H37:U37),IF(V$6=$B37,$C37/$G$7/2,$C37/$G$7))))</f>
        <v>0</v>
      </c>
      <c r="W37" s="70">
        <f>IF(W$6&lt;$B37,0,IF(W$6&gt;$B37+$G$7,0,IF(W$6=$B37+$G$7,$C37-SUM($H37:V37),IF(W$6=$B37,$C37/$G$7/2,$C37/$G$7))))</f>
        <v>0</v>
      </c>
      <c r="X37" s="70">
        <f>IF(X$6&lt;$B37,0,IF(X$6&gt;$B37+$G$7,0,IF(X$6=$B37+$G$7,$C37-SUM($H37:W37),IF(X$6=$B37,$C37/$G$7/2,$C37/$G$7))))</f>
        <v>0</v>
      </c>
      <c r="Y37" s="70">
        <f>IF(Y$6&lt;$B37,0,IF(Y$6&gt;$B37+$G$7,0,IF(Y$6=$B37+$G$7,$C37-SUM($H37:X37),IF(Y$6=$B37,$C37/$G$7/2,$C37/$G$7))))</f>
        <v>0</v>
      </c>
      <c r="Z37" s="70">
        <f>IF(Z$6&lt;$B37,0,IF(Z$6&gt;$B37+$G$7,0,IF(Z$6=$B37+$G$7,$C37-SUM($H37:Y37),IF(Z$6=$B37,$C37/$G$7/2,$C37/$G$7))))</f>
        <v>0</v>
      </c>
      <c r="AA37" s="70">
        <f>IF(AA$6&lt;$B37,0,IF(AA$6&gt;$B37+$G$7,0,IF(AA$6=$B37+$G$7,$C37-SUM($H37:Z37),IF(AA$6=$B37,$C37/$G$7/2,$C37/$G$7))))</f>
        <v>0</v>
      </c>
      <c r="AB37" s="70">
        <f>IF(AB$6&lt;$B37,0,IF(AB$6&gt;$B37+$G$7,0,IF(AB$6=$B37+$G$7,$C37-SUM($H37:AA37),IF(AB$6=$B37,$C37/$G$7/2,$C37/$G$7))))</f>
        <v>0</v>
      </c>
      <c r="AC37" s="70">
        <f>IF(AC$6&lt;$B37,0,IF(AC$6&gt;$B37+$G$7,0,IF(AC$6=$B37+$G$7,$C37-SUM($H37:AB37),IF(AC$6=$B37,$C37/$G$7/2,$C37/$G$7))))</f>
        <v>0</v>
      </c>
      <c r="AD37" s="70">
        <f>IF(AD$6&lt;$B37,0,IF(AD$6&gt;$B37+$G$7,0,IF(AD$6=$B37+$G$7,$C37-SUM($H37:AC37),IF(AD$6=$B37,$C37/$G$7/2,$C37/$G$7))))</f>
        <v>0</v>
      </c>
      <c r="AE37" s="70">
        <f>IF(AE$6&lt;$B37,0,IF(AE$6&gt;$B37+$G$7,0,IF(AE$6=$B37+$G$7,$C37-SUM($H37:AD37),IF(AE$6=$B37,$C37/$G$7/2,$C37/$G$7))))</f>
        <v>0</v>
      </c>
      <c r="AF37" s="70">
        <f>IF(AF$6&lt;$B37,0,IF(AF$6&gt;$B37+$G$7,0,IF(AF$6=$B37+$G$7,$C37-SUM($H37:AE37),IF(AF$6=$B37,$C37/$G$7/2,$C37/$G$7))))</f>
        <v>0</v>
      </c>
      <c r="AG37" s="70">
        <f>IF(AG$6&lt;$B37,0,IF(AG$6&gt;$B37+$G$7,0,IF(AG$6=$B37+$G$7,$C37-SUM($H37:AF37),IF(AG$6=$B37,$C37/$G$7/2,$C37/$G$7))))</f>
        <v>0</v>
      </c>
      <c r="AH37" s="70">
        <f>IF(AH$6&lt;$B37,0,IF(AH$6&gt;$B37+$G$7,0,IF(AH$6=$B37+$G$7,$C37-SUM($H37:AG37),IF(AH$6=$B37,$C37/$G$7/2,$C37/$G$7))))</f>
        <v>0</v>
      </c>
      <c r="AI37" s="70">
        <f>IF(AI$6&lt;$B37,0,IF(AI$6&gt;$B37+$G$7,0,IF(AI$6=$B37+$G$7,$C37-SUM($H37:AH37),IF(AI$6=$B37,$C37/$G$7/2,$C37/$G$7))))</f>
        <v>0</v>
      </c>
      <c r="AJ37" s="70">
        <f>IF(AJ$6&lt;$B37,0,IF(AJ$6&gt;$B37+$G$7,0,IF(AJ$6=$B37+$G$7,$C37-SUM($H37:AI37),IF(AJ$6=$B37,$C37/$G$7/2,$C37/$G$7))))</f>
        <v>3.90625</v>
      </c>
      <c r="AK37" s="70">
        <f>IF(AK$6&lt;$B37,0,IF(AK$6&gt;$B37+$G$7,0,IF(AK$6=$B37+$G$7,$C37-SUM($H37:AJ37),IF(AK$6=$B37,$C37/$G$7/2,$C37/$G$7))))</f>
        <v>7.8125</v>
      </c>
      <c r="AL37" s="70">
        <f>IF(AL$6&lt;$B37,0,IF(AL$6&gt;$B37+$G$7,0,IF(AL$6=$B37+$G$7,$C37-SUM($H37:AK37),IF(AL$6=$B37,$C37/$G$7/2,$C37/$G$7))))</f>
        <v>7.8125</v>
      </c>
      <c r="AM37" s="70">
        <f>IF(AM$6&lt;$B37,0,IF(AM$6&gt;$B37+$G$7,0,IF(AM$6=$B37+$G$7,$C37-SUM($H37:AL37),IF(AM$6=$B37,$C37/$G$7/2,$C37/$G$7))))</f>
        <v>7.8125</v>
      </c>
      <c r="AN37" s="70">
        <f>IF(AN$6&lt;$B37,0,IF(AN$6&gt;$B37+$G$7,0,IF(AN$6=$B37+$G$7,$C37-SUM($H37:AM37),IF(AN$6=$B37,$C37/$G$7/2,$C37/$G$7))))</f>
        <v>7.8125</v>
      </c>
      <c r="AO37" s="70">
        <f>IF(AO$6&lt;$B37,0,IF(AO$6&gt;$B37+$G$7,0,IF(AO$6=$B37+$G$7,$C37-SUM($H37:AN37),IF(AO$6=$B37,$C37/$G$7/2,$C37/$G$7))))</f>
        <v>7.8125</v>
      </c>
      <c r="AP37" s="70">
        <f>IF(AP$6&lt;$B37,0,IF(AP$6&gt;$B37+$G$7,0,IF(AP$6=$B37+$G$7,$C37-SUM($H37:AO37),IF(AP$6=$B37,$C37/$G$7/2,$C37/$G$7))))</f>
        <v>7.8125</v>
      </c>
      <c r="AQ37" s="70">
        <f>IF(AQ$6&lt;$B37,0,IF(AQ$6&gt;$B37+$G$7,0,IF(AQ$6=$B37+$G$7,$C37-SUM($H37:AP37),IF(AQ$6=$B37,$C37/$G$7/2,$C37/$G$7))))</f>
        <v>7.8125</v>
      </c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</row>
    <row r="38" spans="2:55">
      <c r="B38" s="100">
        <f t="shared" si="3"/>
        <v>2044</v>
      </c>
      <c r="C38" s="97">
        <f>HLOOKUP(Depreciation!B38,Model!$I$72:$AQ$78,7)</f>
        <v>262.5</v>
      </c>
      <c r="E38" s="3" t="str">
        <f t="shared" si="2"/>
        <v>CADmm</v>
      </c>
      <c r="F38" s="3" t="s">
        <v>57</v>
      </c>
      <c r="I38" s="70">
        <f>IF(I$6&lt;$B38,0,IF(I$6&gt;$B38+$G$7,0,IF(I$6=$B38+$G$7,$C38-SUM($H38:H38),IF(I$6=$B38,$C38/$G$7/2,$C38/$G$7))))</f>
        <v>0</v>
      </c>
      <c r="J38" s="70">
        <f>IF(J$6&lt;$B38,0,IF(J$6&gt;$B38+$G$7,0,IF(J$6=$B38+$G$7,$C38-SUM($H38:I38),IF(J$6=$B38,$C38/$G$7/2,$C38/$G$7))))</f>
        <v>0</v>
      </c>
      <c r="K38" s="70">
        <f>IF(K$6&lt;$B38,0,IF(K$6&gt;$B38+$G$7,0,IF(K$6=$B38+$G$7,$C38-SUM($H38:J38),IF(K$6=$B38,$C38/$G$7/2,$C38/$G$7))))</f>
        <v>0</v>
      </c>
      <c r="L38" s="70">
        <f>IF(L$6&lt;$B38,0,IF(L$6&gt;$B38+$G$7,0,IF(L$6=$B38+$G$7,$C38-SUM($H38:K38),IF(L$6=$B38,$C38/$G$7/2,$C38/$G$7))))</f>
        <v>0</v>
      </c>
      <c r="M38" s="70">
        <f>IF(M$6&lt;$B38,0,IF(M$6&gt;$B38+$G$7,0,IF(M$6=$B38+$G$7,$C38-SUM($H38:L38),IF(M$6=$B38,$C38/$G$7/2,$C38/$G$7))))</f>
        <v>0</v>
      </c>
      <c r="N38" s="70">
        <f>IF(N$6&lt;$B38,0,IF(N$6&gt;$B38+$G$7,0,IF(N$6=$B38+$G$7,$C38-SUM($H38:M38),IF(N$6=$B38,$C38/$G$7/2,$C38/$G$7))))</f>
        <v>0</v>
      </c>
      <c r="O38" s="70">
        <f>IF(O$6&lt;$B38,0,IF(O$6&gt;$B38+$G$7,0,IF(O$6=$B38+$G$7,$C38-SUM($H38:N38),IF(O$6=$B38,$C38/$G$7/2,$C38/$G$7))))</f>
        <v>0</v>
      </c>
      <c r="P38" s="70">
        <f>IF(P$6&lt;$B38,0,IF(P$6&gt;$B38+$G$7,0,IF(P$6=$B38+$G$7,$C38-SUM($H38:O38),IF(P$6=$B38,$C38/$G$7/2,$C38/$G$7))))</f>
        <v>0</v>
      </c>
      <c r="Q38" s="70">
        <f>IF(Q$6&lt;$B38,0,IF(Q$6&gt;$B38+$G$7,0,IF(Q$6=$B38+$G$7,$C38-SUM($H38:P38),IF(Q$6=$B38,$C38/$G$7/2,$C38/$G$7))))</f>
        <v>0</v>
      </c>
      <c r="R38" s="70">
        <f>IF(R$6&lt;$B38,0,IF(R$6&gt;$B38+$G$7,0,IF(R$6=$B38+$G$7,$C38-SUM($H38:Q38),IF(R$6=$B38,$C38/$G$7/2,$C38/$G$7))))</f>
        <v>0</v>
      </c>
      <c r="S38" s="70">
        <f>IF(S$6&lt;$B38,0,IF(S$6&gt;$B38+$G$7,0,IF(S$6=$B38+$G$7,$C38-SUM($H38:R38),IF(S$6=$B38,$C38/$G$7/2,$C38/$G$7))))</f>
        <v>0</v>
      </c>
      <c r="T38" s="70">
        <f>IF(T$6&lt;$B38,0,IF(T$6&gt;$B38+$G$7,0,IF(T$6=$B38+$G$7,$C38-SUM($H38:S38),IF(T$6=$B38,$C38/$G$7/2,$C38/$G$7))))</f>
        <v>0</v>
      </c>
      <c r="U38" s="70">
        <f>IF(U$6&lt;$B38,0,IF(U$6&gt;$B38+$G$7,0,IF(U$6=$B38+$G$7,$C38-SUM($H38:T38),IF(U$6=$B38,$C38/$G$7/2,$C38/$G$7))))</f>
        <v>0</v>
      </c>
      <c r="V38" s="70">
        <f>IF(V$6&lt;$B38,0,IF(V$6&gt;$B38+$G$7,0,IF(V$6=$B38+$G$7,$C38-SUM($H38:U38),IF(V$6=$B38,$C38/$G$7/2,$C38/$G$7))))</f>
        <v>0</v>
      </c>
      <c r="W38" s="70">
        <f>IF(W$6&lt;$B38,0,IF(W$6&gt;$B38+$G$7,0,IF(W$6=$B38+$G$7,$C38-SUM($H38:V38),IF(W$6=$B38,$C38/$G$7/2,$C38/$G$7))))</f>
        <v>0</v>
      </c>
      <c r="X38" s="70">
        <f>IF(X$6&lt;$B38,0,IF(X$6&gt;$B38+$G$7,0,IF(X$6=$B38+$G$7,$C38-SUM($H38:W38),IF(X$6=$B38,$C38/$G$7/2,$C38/$G$7))))</f>
        <v>0</v>
      </c>
      <c r="Y38" s="70">
        <f>IF(Y$6&lt;$B38,0,IF(Y$6&gt;$B38+$G$7,0,IF(Y$6=$B38+$G$7,$C38-SUM($H38:X38),IF(Y$6=$B38,$C38/$G$7/2,$C38/$G$7))))</f>
        <v>0</v>
      </c>
      <c r="Z38" s="70">
        <f>IF(Z$6&lt;$B38,0,IF(Z$6&gt;$B38+$G$7,0,IF(Z$6=$B38+$G$7,$C38-SUM($H38:Y38),IF(Z$6=$B38,$C38/$G$7/2,$C38/$G$7))))</f>
        <v>0</v>
      </c>
      <c r="AA38" s="70">
        <f>IF(AA$6&lt;$B38,0,IF(AA$6&gt;$B38+$G$7,0,IF(AA$6=$B38+$G$7,$C38-SUM($H38:Z38),IF(AA$6=$B38,$C38/$G$7/2,$C38/$G$7))))</f>
        <v>0</v>
      </c>
      <c r="AB38" s="70">
        <f>IF(AB$6&lt;$B38,0,IF(AB$6&gt;$B38+$G$7,0,IF(AB$6=$B38+$G$7,$C38-SUM($H38:AA38),IF(AB$6=$B38,$C38/$G$7/2,$C38/$G$7))))</f>
        <v>0</v>
      </c>
      <c r="AC38" s="70">
        <f>IF(AC$6&lt;$B38,0,IF(AC$6&gt;$B38+$G$7,0,IF(AC$6=$B38+$G$7,$C38-SUM($H38:AB38),IF(AC$6=$B38,$C38/$G$7/2,$C38/$G$7))))</f>
        <v>0</v>
      </c>
      <c r="AD38" s="70">
        <f>IF(AD$6&lt;$B38,0,IF(AD$6&gt;$B38+$G$7,0,IF(AD$6=$B38+$G$7,$C38-SUM($H38:AC38),IF(AD$6=$B38,$C38/$G$7/2,$C38/$G$7))))</f>
        <v>0</v>
      </c>
      <c r="AE38" s="70">
        <f>IF(AE$6&lt;$B38,0,IF(AE$6&gt;$B38+$G$7,0,IF(AE$6=$B38+$G$7,$C38-SUM($H38:AD38),IF(AE$6=$B38,$C38/$G$7/2,$C38/$G$7))))</f>
        <v>0</v>
      </c>
      <c r="AF38" s="70">
        <f>IF(AF$6&lt;$B38,0,IF(AF$6&gt;$B38+$G$7,0,IF(AF$6=$B38+$G$7,$C38-SUM($H38:AE38),IF(AF$6=$B38,$C38/$G$7/2,$C38/$G$7))))</f>
        <v>0</v>
      </c>
      <c r="AG38" s="70">
        <f>IF(AG$6&lt;$B38,0,IF(AG$6&gt;$B38+$G$7,0,IF(AG$6=$B38+$G$7,$C38-SUM($H38:AF38),IF(AG$6=$B38,$C38/$G$7/2,$C38/$G$7))))</f>
        <v>0</v>
      </c>
      <c r="AH38" s="70">
        <f>IF(AH$6&lt;$B38,0,IF(AH$6&gt;$B38+$G$7,0,IF(AH$6=$B38+$G$7,$C38-SUM($H38:AG38),IF(AH$6=$B38,$C38/$G$7/2,$C38/$G$7))))</f>
        <v>0</v>
      </c>
      <c r="AI38" s="70">
        <f>IF(AI$6&lt;$B38,0,IF(AI$6&gt;$B38+$G$7,0,IF(AI$6=$B38+$G$7,$C38-SUM($H38:AH38),IF(AI$6=$B38,$C38/$G$7/2,$C38/$G$7))))</f>
        <v>0</v>
      </c>
      <c r="AJ38" s="70">
        <f>IF(AJ$6&lt;$B38,0,IF(AJ$6&gt;$B38+$G$7,0,IF(AJ$6=$B38+$G$7,$C38-SUM($H38:AI38),IF(AJ$6=$B38,$C38/$G$7/2,$C38/$G$7))))</f>
        <v>0</v>
      </c>
      <c r="AK38" s="70">
        <f>IF(AK$6&lt;$B38,0,IF(AK$6&gt;$B38+$G$7,0,IF(AK$6=$B38+$G$7,$C38-SUM($H38:AJ38),IF(AK$6=$B38,$C38/$G$7/2,$C38/$G$7))))</f>
        <v>6.5625</v>
      </c>
      <c r="AL38" s="70">
        <f>IF(AL$6&lt;$B38,0,IF(AL$6&gt;$B38+$G$7,0,IF(AL$6=$B38+$G$7,$C38-SUM($H38:AK38),IF(AL$6=$B38,$C38/$G$7/2,$C38/$G$7))))</f>
        <v>13.125</v>
      </c>
      <c r="AM38" s="70">
        <f>IF(AM$6&lt;$B38,0,IF(AM$6&gt;$B38+$G$7,0,IF(AM$6=$B38+$G$7,$C38-SUM($H38:AL38),IF(AM$6=$B38,$C38/$G$7/2,$C38/$G$7))))</f>
        <v>13.125</v>
      </c>
      <c r="AN38" s="70">
        <f>IF(AN$6&lt;$B38,0,IF(AN$6&gt;$B38+$G$7,0,IF(AN$6=$B38+$G$7,$C38-SUM($H38:AM38),IF(AN$6=$B38,$C38/$G$7/2,$C38/$G$7))))</f>
        <v>13.125</v>
      </c>
      <c r="AO38" s="70">
        <f>IF(AO$6&lt;$B38,0,IF(AO$6&gt;$B38+$G$7,0,IF(AO$6=$B38+$G$7,$C38-SUM($H38:AN38),IF(AO$6=$B38,$C38/$G$7/2,$C38/$G$7))))</f>
        <v>13.125</v>
      </c>
      <c r="AP38" s="70">
        <f>IF(AP$6&lt;$B38,0,IF(AP$6&gt;$B38+$G$7,0,IF(AP$6=$B38+$G$7,$C38-SUM($H38:AO38),IF(AP$6=$B38,$C38/$G$7/2,$C38/$G$7))))</f>
        <v>13.125</v>
      </c>
      <c r="AQ38" s="70">
        <f>IF(AQ$6&lt;$B38,0,IF(AQ$6&gt;$B38+$G$7,0,IF(AQ$6=$B38+$G$7,$C38-SUM($H38:AP38),IF(AQ$6=$B38,$C38/$G$7/2,$C38/$G$7))))</f>
        <v>13.125</v>
      </c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</row>
    <row r="39" spans="2:55">
      <c r="B39" s="100">
        <f t="shared" si="3"/>
        <v>2045</v>
      </c>
      <c r="C39" s="97">
        <f>HLOOKUP(Depreciation!B39,Model!$I$72:$AQ$78,7)</f>
        <v>156.25</v>
      </c>
      <c r="E39" s="3" t="str">
        <f t="shared" si="2"/>
        <v>CADmm</v>
      </c>
      <c r="F39" s="3" t="s">
        <v>57</v>
      </c>
      <c r="I39" s="70">
        <f>IF(I$6&lt;$B39,0,IF(I$6&gt;$B39+$G$7,0,IF(I$6=$B39+$G$7,$C39-SUM($H39:H39),IF(I$6=$B39,$C39/$G$7/2,$C39/$G$7))))</f>
        <v>0</v>
      </c>
      <c r="J39" s="70">
        <f>IF(J$6&lt;$B39,0,IF(J$6&gt;$B39+$G$7,0,IF(J$6=$B39+$G$7,$C39-SUM($H39:I39),IF(J$6=$B39,$C39/$G$7/2,$C39/$G$7))))</f>
        <v>0</v>
      </c>
      <c r="K39" s="70">
        <f>IF(K$6&lt;$B39,0,IF(K$6&gt;$B39+$G$7,0,IF(K$6=$B39+$G$7,$C39-SUM($H39:J39),IF(K$6=$B39,$C39/$G$7/2,$C39/$G$7))))</f>
        <v>0</v>
      </c>
      <c r="L39" s="70">
        <f>IF(L$6&lt;$B39,0,IF(L$6&gt;$B39+$G$7,0,IF(L$6=$B39+$G$7,$C39-SUM($H39:K39),IF(L$6=$B39,$C39/$G$7/2,$C39/$G$7))))</f>
        <v>0</v>
      </c>
      <c r="M39" s="70">
        <f>IF(M$6&lt;$B39,0,IF(M$6&gt;$B39+$G$7,0,IF(M$6=$B39+$G$7,$C39-SUM($H39:L39),IF(M$6=$B39,$C39/$G$7/2,$C39/$G$7))))</f>
        <v>0</v>
      </c>
      <c r="N39" s="70">
        <f>IF(N$6&lt;$B39,0,IF(N$6&gt;$B39+$G$7,0,IF(N$6=$B39+$G$7,$C39-SUM($H39:M39),IF(N$6=$B39,$C39/$G$7/2,$C39/$G$7))))</f>
        <v>0</v>
      </c>
      <c r="O39" s="70">
        <f>IF(O$6&lt;$B39,0,IF(O$6&gt;$B39+$G$7,0,IF(O$6=$B39+$G$7,$C39-SUM($H39:N39),IF(O$6=$B39,$C39/$G$7/2,$C39/$G$7))))</f>
        <v>0</v>
      </c>
      <c r="P39" s="70">
        <f>IF(P$6&lt;$B39,0,IF(P$6&gt;$B39+$G$7,0,IF(P$6=$B39+$G$7,$C39-SUM($H39:O39),IF(P$6=$B39,$C39/$G$7/2,$C39/$G$7))))</f>
        <v>0</v>
      </c>
      <c r="Q39" s="70">
        <f>IF(Q$6&lt;$B39,0,IF(Q$6&gt;$B39+$G$7,0,IF(Q$6=$B39+$G$7,$C39-SUM($H39:P39),IF(Q$6=$B39,$C39/$G$7/2,$C39/$G$7))))</f>
        <v>0</v>
      </c>
      <c r="R39" s="70">
        <f>IF(R$6&lt;$B39,0,IF(R$6&gt;$B39+$G$7,0,IF(R$6=$B39+$G$7,$C39-SUM($H39:Q39),IF(R$6=$B39,$C39/$G$7/2,$C39/$G$7))))</f>
        <v>0</v>
      </c>
      <c r="S39" s="70">
        <f>IF(S$6&lt;$B39,0,IF(S$6&gt;$B39+$G$7,0,IF(S$6=$B39+$G$7,$C39-SUM($H39:R39),IF(S$6=$B39,$C39/$G$7/2,$C39/$G$7))))</f>
        <v>0</v>
      </c>
      <c r="T39" s="70">
        <f>IF(T$6&lt;$B39,0,IF(T$6&gt;$B39+$G$7,0,IF(T$6=$B39+$G$7,$C39-SUM($H39:S39),IF(T$6=$B39,$C39/$G$7/2,$C39/$G$7))))</f>
        <v>0</v>
      </c>
      <c r="U39" s="70">
        <f>IF(U$6&lt;$B39,0,IF(U$6&gt;$B39+$G$7,0,IF(U$6=$B39+$G$7,$C39-SUM($H39:T39),IF(U$6=$B39,$C39/$G$7/2,$C39/$G$7))))</f>
        <v>0</v>
      </c>
      <c r="V39" s="70">
        <f>IF(V$6&lt;$B39,0,IF(V$6&gt;$B39+$G$7,0,IF(V$6=$B39+$G$7,$C39-SUM($H39:U39),IF(V$6=$B39,$C39/$G$7/2,$C39/$G$7))))</f>
        <v>0</v>
      </c>
      <c r="W39" s="70">
        <f>IF(W$6&lt;$B39,0,IF(W$6&gt;$B39+$G$7,0,IF(W$6=$B39+$G$7,$C39-SUM($H39:V39),IF(W$6=$B39,$C39/$G$7/2,$C39/$G$7))))</f>
        <v>0</v>
      </c>
      <c r="X39" s="70">
        <f>IF(X$6&lt;$B39,0,IF(X$6&gt;$B39+$G$7,0,IF(X$6=$B39+$G$7,$C39-SUM($H39:W39),IF(X$6=$B39,$C39/$G$7/2,$C39/$G$7))))</f>
        <v>0</v>
      </c>
      <c r="Y39" s="70">
        <f>IF(Y$6&lt;$B39,0,IF(Y$6&gt;$B39+$G$7,0,IF(Y$6=$B39+$G$7,$C39-SUM($H39:X39),IF(Y$6=$B39,$C39/$G$7/2,$C39/$G$7))))</f>
        <v>0</v>
      </c>
      <c r="Z39" s="70">
        <f>IF(Z$6&lt;$B39,0,IF(Z$6&gt;$B39+$G$7,0,IF(Z$6=$B39+$G$7,$C39-SUM($H39:Y39),IF(Z$6=$B39,$C39/$G$7/2,$C39/$G$7))))</f>
        <v>0</v>
      </c>
      <c r="AA39" s="70">
        <f>IF(AA$6&lt;$B39,0,IF(AA$6&gt;$B39+$G$7,0,IF(AA$6=$B39+$G$7,$C39-SUM($H39:Z39),IF(AA$6=$B39,$C39/$G$7/2,$C39/$G$7))))</f>
        <v>0</v>
      </c>
      <c r="AB39" s="70">
        <f>IF(AB$6&lt;$B39,0,IF(AB$6&gt;$B39+$G$7,0,IF(AB$6=$B39+$G$7,$C39-SUM($H39:AA39),IF(AB$6=$B39,$C39/$G$7/2,$C39/$G$7))))</f>
        <v>0</v>
      </c>
      <c r="AC39" s="70">
        <f>IF(AC$6&lt;$B39,0,IF(AC$6&gt;$B39+$G$7,0,IF(AC$6=$B39+$G$7,$C39-SUM($H39:AB39),IF(AC$6=$B39,$C39/$G$7/2,$C39/$G$7))))</f>
        <v>0</v>
      </c>
      <c r="AD39" s="70">
        <f>IF(AD$6&lt;$B39,0,IF(AD$6&gt;$B39+$G$7,0,IF(AD$6=$B39+$G$7,$C39-SUM($H39:AC39),IF(AD$6=$B39,$C39/$G$7/2,$C39/$G$7))))</f>
        <v>0</v>
      </c>
      <c r="AE39" s="70">
        <f>IF(AE$6&lt;$B39,0,IF(AE$6&gt;$B39+$G$7,0,IF(AE$6=$B39+$G$7,$C39-SUM($H39:AD39),IF(AE$6=$B39,$C39/$G$7/2,$C39/$G$7))))</f>
        <v>0</v>
      </c>
      <c r="AF39" s="70">
        <f>IF(AF$6&lt;$B39,0,IF(AF$6&gt;$B39+$G$7,0,IF(AF$6=$B39+$G$7,$C39-SUM($H39:AE39),IF(AF$6=$B39,$C39/$G$7/2,$C39/$G$7))))</f>
        <v>0</v>
      </c>
      <c r="AG39" s="70">
        <f>IF(AG$6&lt;$B39,0,IF(AG$6&gt;$B39+$G$7,0,IF(AG$6=$B39+$G$7,$C39-SUM($H39:AF39),IF(AG$6=$B39,$C39/$G$7/2,$C39/$G$7))))</f>
        <v>0</v>
      </c>
      <c r="AH39" s="70">
        <f>IF(AH$6&lt;$B39,0,IF(AH$6&gt;$B39+$G$7,0,IF(AH$6=$B39+$G$7,$C39-SUM($H39:AG39),IF(AH$6=$B39,$C39/$G$7/2,$C39/$G$7))))</f>
        <v>0</v>
      </c>
      <c r="AI39" s="70">
        <f>IF(AI$6&lt;$B39,0,IF(AI$6&gt;$B39+$G$7,0,IF(AI$6=$B39+$G$7,$C39-SUM($H39:AH39),IF(AI$6=$B39,$C39/$G$7/2,$C39/$G$7))))</f>
        <v>0</v>
      </c>
      <c r="AJ39" s="70">
        <f>IF(AJ$6&lt;$B39,0,IF(AJ$6&gt;$B39+$G$7,0,IF(AJ$6=$B39+$G$7,$C39-SUM($H39:AI39),IF(AJ$6=$B39,$C39/$G$7/2,$C39/$G$7))))</f>
        <v>0</v>
      </c>
      <c r="AK39" s="70">
        <f>IF(AK$6&lt;$B39,0,IF(AK$6&gt;$B39+$G$7,0,IF(AK$6=$B39+$G$7,$C39-SUM($H39:AJ39),IF(AK$6=$B39,$C39/$G$7/2,$C39/$G$7))))</f>
        <v>0</v>
      </c>
      <c r="AL39" s="70">
        <f>IF(AL$6&lt;$B39,0,IF(AL$6&gt;$B39+$G$7,0,IF(AL$6=$B39+$G$7,$C39-SUM($H39:AK39),IF(AL$6=$B39,$C39/$G$7/2,$C39/$G$7))))</f>
        <v>3.90625</v>
      </c>
      <c r="AM39" s="70">
        <f>IF(AM$6&lt;$B39,0,IF(AM$6&gt;$B39+$G$7,0,IF(AM$6=$B39+$G$7,$C39-SUM($H39:AL39),IF(AM$6=$B39,$C39/$G$7/2,$C39/$G$7))))</f>
        <v>7.8125</v>
      </c>
      <c r="AN39" s="70">
        <f>IF(AN$6&lt;$B39,0,IF(AN$6&gt;$B39+$G$7,0,IF(AN$6=$B39+$G$7,$C39-SUM($H39:AM39),IF(AN$6=$B39,$C39/$G$7/2,$C39/$G$7))))</f>
        <v>7.8125</v>
      </c>
      <c r="AO39" s="70">
        <f>IF(AO$6&lt;$B39,0,IF(AO$6&gt;$B39+$G$7,0,IF(AO$6=$B39+$G$7,$C39-SUM($H39:AN39),IF(AO$6=$B39,$C39/$G$7/2,$C39/$G$7))))</f>
        <v>7.8125</v>
      </c>
      <c r="AP39" s="70">
        <f>IF(AP$6&lt;$B39,0,IF(AP$6&gt;$B39+$G$7,0,IF(AP$6=$B39+$G$7,$C39-SUM($H39:AO39),IF(AP$6=$B39,$C39/$G$7/2,$C39/$G$7))))</f>
        <v>7.8125</v>
      </c>
      <c r="AQ39" s="70">
        <f>IF(AQ$6&lt;$B39,0,IF(AQ$6&gt;$B39+$G$7,0,IF(AQ$6=$B39+$G$7,$C39-SUM($H39:AP39),IF(AQ$6=$B39,$C39/$G$7/2,$C39/$G$7))))</f>
        <v>7.8125</v>
      </c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</row>
    <row r="40" spans="2:55">
      <c r="B40" s="100">
        <f t="shared" si="3"/>
        <v>2046</v>
      </c>
      <c r="C40" s="97">
        <f>HLOOKUP(Depreciation!B40,Model!$I$72:$AQ$78,7)</f>
        <v>156.25</v>
      </c>
      <c r="E40" s="3" t="str">
        <f t="shared" si="2"/>
        <v>CADmm</v>
      </c>
      <c r="F40" s="3" t="s">
        <v>57</v>
      </c>
      <c r="I40" s="70">
        <f>IF(I$6&lt;$B40,0,IF(I$6&gt;$B40+$G$7,0,IF(I$6=$B40+$G$7,$C40-SUM($H40:H40),IF(I$6=$B40,$C40/$G$7/2,$C40/$G$7))))</f>
        <v>0</v>
      </c>
      <c r="J40" s="70">
        <f>IF(J$6&lt;$B40,0,IF(J$6&gt;$B40+$G$7,0,IF(J$6=$B40+$G$7,$C40-SUM($H40:I40),IF(J$6=$B40,$C40/$G$7/2,$C40/$G$7))))</f>
        <v>0</v>
      </c>
      <c r="K40" s="70">
        <f>IF(K$6&lt;$B40,0,IF(K$6&gt;$B40+$G$7,0,IF(K$6=$B40+$G$7,$C40-SUM($H40:J40),IF(K$6=$B40,$C40/$G$7/2,$C40/$G$7))))</f>
        <v>0</v>
      </c>
      <c r="L40" s="70">
        <f>IF(L$6&lt;$B40,0,IF(L$6&gt;$B40+$G$7,0,IF(L$6=$B40+$G$7,$C40-SUM($H40:K40),IF(L$6=$B40,$C40/$G$7/2,$C40/$G$7))))</f>
        <v>0</v>
      </c>
      <c r="M40" s="70">
        <f>IF(M$6&lt;$B40,0,IF(M$6&gt;$B40+$G$7,0,IF(M$6=$B40+$G$7,$C40-SUM($H40:L40),IF(M$6=$B40,$C40/$G$7/2,$C40/$G$7))))</f>
        <v>0</v>
      </c>
      <c r="N40" s="70">
        <f>IF(N$6&lt;$B40,0,IF(N$6&gt;$B40+$G$7,0,IF(N$6=$B40+$G$7,$C40-SUM($H40:M40),IF(N$6=$B40,$C40/$G$7/2,$C40/$G$7))))</f>
        <v>0</v>
      </c>
      <c r="O40" s="70">
        <f>IF(O$6&lt;$B40,0,IF(O$6&gt;$B40+$G$7,0,IF(O$6=$B40+$G$7,$C40-SUM($H40:N40),IF(O$6=$B40,$C40/$G$7/2,$C40/$G$7))))</f>
        <v>0</v>
      </c>
      <c r="P40" s="70">
        <f>IF(P$6&lt;$B40,0,IF(P$6&gt;$B40+$G$7,0,IF(P$6=$B40+$G$7,$C40-SUM($H40:O40),IF(P$6=$B40,$C40/$G$7/2,$C40/$G$7))))</f>
        <v>0</v>
      </c>
      <c r="Q40" s="70">
        <f>IF(Q$6&lt;$B40,0,IF(Q$6&gt;$B40+$G$7,0,IF(Q$6=$B40+$G$7,$C40-SUM($H40:P40),IF(Q$6=$B40,$C40/$G$7/2,$C40/$G$7))))</f>
        <v>0</v>
      </c>
      <c r="R40" s="70">
        <f>IF(R$6&lt;$B40,0,IF(R$6&gt;$B40+$G$7,0,IF(R$6=$B40+$G$7,$C40-SUM($H40:Q40),IF(R$6=$B40,$C40/$G$7/2,$C40/$G$7))))</f>
        <v>0</v>
      </c>
      <c r="S40" s="70">
        <f>IF(S$6&lt;$B40,0,IF(S$6&gt;$B40+$G$7,0,IF(S$6=$B40+$G$7,$C40-SUM($H40:R40),IF(S$6=$B40,$C40/$G$7/2,$C40/$G$7))))</f>
        <v>0</v>
      </c>
      <c r="T40" s="70">
        <f>IF(T$6&lt;$B40,0,IF(T$6&gt;$B40+$G$7,0,IF(T$6=$B40+$G$7,$C40-SUM($H40:S40),IF(T$6=$B40,$C40/$G$7/2,$C40/$G$7))))</f>
        <v>0</v>
      </c>
      <c r="U40" s="70">
        <f>IF(U$6&lt;$B40,0,IF(U$6&gt;$B40+$G$7,0,IF(U$6=$B40+$G$7,$C40-SUM($H40:T40),IF(U$6=$B40,$C40/$G$7/2,$C40/$G$7))))</f>
        <v>0</v>
      </c>
      <c r="V40" s="70">
        <f>IF(V$6&lt;$B40,0,IF(V$6&gt;$B40+$G$7,0,IF(V$6=$B40+$G$7,$C40-SUM($H40:U40),IF(V$6=$B40,$C40/$G$7/2,$C40/$G$7))))</f>
        <v>0</v>
      </c>
      <c r="W40" s="70">
        <f>IF(W$6&lt;$B40,0,IF(W$6&gt;$B40+$G$7,0,IF(W$6=$B40+$G$7,$C40-SUM($H40:V40),IF(W$6=$B40,$C40/$G$7/2,$C40/$G$7))))</f>
        <v>0</v>
      </c>
      <c r="X40" s="70">
        <f>IF(X$6&lt;$B40,0,IF(X$6&gt;$B40+$G$7,0,IF(X$6=$B40+$G$7,$C40-SUM($H40:W40),IF(X$6=$B40,$C40/$G$7/2,$C40/$G$7))))</f>
        <v>0</v>
      </c>
      <c r="Y40" s="70">
        <f>IF(Y$6&lt;$B40,0,IF(Y$6&gt;$B40+$G$7,0,IF(Y$6=$B40+$G$7,$C40-SUM($H40:X40),IF(Y$6=$B40,$C40/$G$7/2,$C40/$G$7))))</f>
        <v>0</v>
      </c>
      <c r="Z40" s="70">
        <f>IF(Z$6&lt;$B40,0,IF(Z$6&gt;$B40+$G$7,0,IF(Z$6=$B40+$G$7,$C40-SUM($H40:Y40),IF(Z$6=$B40,$C40/$G$7/2,$C40/$G$7))))</f>
        <v>0</v>
      </c>
      <c r="AA40" s="70">
        <f>IF(AA$6&lt;$B40,0,IF(AA$6&gt;$B40+$G$7,0,IF(AA$6=$B40+$G$7,$C40-SUM($H40:Z40),IF(AA$6=$B40,$C40/$G$7/2,$C40/$G$7))))</f>
        <v>0</v>
      </c>
      <c r="AB40" s="70">
        <f>IF(AB$6&lt;$B40,0,IF(AB$6&gt;$B40+$G$7,0,IF(AB$6=$B40+$G$7,$C40-SUM($H40:AA40),IF(AB$6=$B40,$C40/$G$7/2,$C40/$G$7))))</f>
        <v>0</v>
      </c>
      <c r="AC40" s="70">
        <f>IF(AC$6&lt;$B40,0,IF(AC$6&gt;$B40+$G$7,0,IF(AC$6=$B40+$G$7,$C40-SUM($H40:AB40),IF(AC$6=$B40,$C40/$G$7/2,$C40/$G$7))))</f>
        <v>0</v>
      </c>
      <c r="AD40" s="70">
        <f>IF(AD$6&lt;$B40,0,IF(AD$6&gt;$B40+$G$7,0,IF(AD$6=$B40+$G$7,$C40-SUM($H40:AC40),IF(AD$6=$B40,$C40/$G$7/2,$C40/$G$7))))</f>
        <v>0</v>
      </c>
      <c r="AE40" s="70">
        <f>IF(AE$6&lt;$B40,0,IF(AE$6&gt;$B40+$G$7,0,IF(AE$6=$B40+$G$7,$C40-SUM($H40:AD40),IF(AE$6=$B40,$C40/$G$7/2,$C40/$G$7))))</f>
        <v>0</v>
      </c>
      <c r="AF40" s="70">
        <f>IF(AF$6&lt;$B40,0,IF(AF$6&gt;$B40+$G$7,0,IF(AF$6=$B40+$G$7,$C40-SUM($H40:AE40),IF(AF$6=$B40,$C40/$G$7/2,$C40/$G$7))))</f>
        <v>0</v>
      </c>
      <c r="AG40" s="70">
        <f>IF(AG$6&lt;$B40,0,IF(AG$6&gt;$B40+$G$7,0,IF(AG$6=$B40+$G$7,$C40-SUM($H40:AF40),IF(AG$6=$B40,$C40/$G$7/2,$C40/$G$7))))</f>
        <v>0</v>
      </c>
      <c r="AH40" s="70">
        <f>IF(AH$6&lt;$B40,0,IF(AH$6&gt;$B40+$G$7,0,IF(AH$6=$B40+$G$7,$C40-SUM($H40:AG40),IF(AH$6=$B40,$C40/$G$7/2,$C40/$G$7))))</f>
        <v>0</v>
      </c>
      <c r="AI40" s="70">
        <f>IF(AI$6&lt;$B40,0,IF(AI$6&gt;$B40+$G$7,0,IF(AI$6=$B40+$G$7,$C40-SUM($H40:AH40),IF(AI$6=$B40,$C40/$G$7/2,$C40/$G$7))))</f>
        <v>0</v>
      </c>
      <c r="AJ40" s="70">
        <f>IF(AJ$6&lt;$B40,0,IF(AJ$6&gt;$B40+$G$7,0,IF(AJ$6=$B40+$G$7,$C40-SUM($H40:AI40),IF(AJ$6=$B40,$C40/$G$7/2,$C40/$G$7))))</f>
        <v>0</v>
      </c>
      <c r="AK40" s="70">
        <f>IF(AK$6&lt;$B40,0,IF(AK$6&gt;$B40+$G$7,0,IF(AK$6=$B40+$G$7,$C40-SUM($H40:AJ40),IF(AK$6=$B40,$C40/$G$7/2,$C40/$G$7))))</f>
        <v>0</v>
      </c>
      <c r="AL40" s="70">
        <f>IF(AL$6&lt;$B40,0,IF(AL$6&gt;$B40+$G$7,0,IF(AL$6=$B40+$G$7,$C40-SUM($H40:AK40),IF(AL$6=$B40,$C40/$G$7/2,$C40/$G$7))))</f>
        <v>0</v>
      </c>
      <c r="AM40" s="70">
        <f>IF(AM$6&lt;$B40,0,IF(AM$6&gt;$B40+$G$7,0,IF(AM$6=$B40+$G$7,$C40-SUM($H40:AL40),IF(AM$6=$B40,$C40/$G$7/2,$C40/$G$7))))</f>
        <v>3.90625</v>
      </c>
      <c r="AN40" s="70">
        <f>IF(AN$6&lt;$B40,0,IF(AN$6&gt;$B40+$G$7,0,IF(AN$6=$B40+$G$7,$C40-SUM($H40:AM40),IF(AN$6=$B40,$C40/$G$7/2,$C40/$G$7))))</f>
        <v>7.8125</v>
      </c>
      <c r="AO40" s="70">
        <f>IF(AO$6&lt;$B40,0,IF(AO$6&gt;$B40+$G$7,0,IF(AO$6=$B40+$G$7,$C40-SUM($H40:AN40),IF(AO$6=$B40,$C40/$G$7/2,$C40/$G$7))))</f>
        <v>7.8125</v>
      </c>
      <c r="AP40" s="70">
        <f>IF(AP$6&lt;$B40,0,IF(AP$6&gt;$B40+$G$7,0,IF(AP$6=$B40+$G$7,$C40-SUM($H40:AO40),IF(AP$6=$B40,$C40/$G$7/2,$C40/$G$7))))</f>
        <v>7.8125</v>
      </c>
      <c r="AQ40" s="70">
        <f>IF(AQ$6&lt;$B40,0,IF(AQ$6&gt;$B40+$G$7,0,IF(AQ$6=$B40+$G$7,$C40-SUM($H40:AP40),IF(AQ$6=$B40,$C40/$G$7/2,$C40/$G$7))))</f>
        <v>7.8125</v>
      </c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</row>
    <row r="41" spans="2:55">
      <c r="B41" s="100">
        <f t="shared" si="3"/>
        <v>2047</v>
      </c>
      <c r="C41" s="97">
        <f>HLOOKUP(Depreciation!B41,Model!$I$72:$AQ$78,7)</f>
        <v>156.25</v>
      </c>
      <c r="E41" s="3" t="str">
        <f t="shared" si="2"/>
        <v>CADmm</v>
      </c>
      <c r="F41" s="3" t="s">
        <v>57</v>
      </c>
      <c r="I41" s="70">
        <f>IF(I$6&lt;$B41,0,IF(I$6&gt;$B41+$G$7,0,IF(I$6=$B41+$G$7,$C41-SUM($H41:H41),IF(I$6=$B41,$C41/$G$7/2,$C41/$G$7))))</f>
        <v>0</v>
      </c>
      <c r="J41" s="70">
        <f>IF(J$6&lt;$B41,0,IF(J$6&gt;$B41+$G$7,0,IF(J$6=$B41+$G$7,$C41-SUM($H41:I41),IF(J$6=$B41,$C41/$G$7/2,$C41/$G$7))))</f>
        <v>0</v>
      </c>
      <c r="K41" s="70">
        <f>IF(K$6&lt;$B41,0,IF(K$6&gt;$B41+$G$7,0,IF(K$6=$B41+$G$7,$C41-SUM($H41:J41),IF(K$6=$B41,$C41/$G$7/2,$C41/$G$7))))</f>
        <v>0</v>
      </c>
      <c r="L41" s="70">
        <f>IF(L$6&lt;$B41,0,IF(L$6&gt;$B41+$G$7,0,IF(L$6=$B41+$G$7,$C41-SUM($H41:K41),IF(L$6=$B41,$C41/$G$7/2,$C41/$G$7))))</f>
        <v>0</v>
      </c>
      <c r="M41" s="70">
        <f>IF(M$6&lt;$B41,0,IF(M$6&gt;$B41+$G$7,0,IF(M$6=$B41+$G$7,$C41-SUM($H41:L41),IF(M$6=$B41,$C41/$G$7/2,$C41/$G$7))))</f>
        <v>0</v>
      </c>
      <c r="N41" s="70">
        <f>IF(N$6&lt;$B41,0,IF(N$6&gt;$B41+$G$7,0,IF(N$6=$B41+$G$7,$C41-SUM($H41:M41),IF(N$6=$B41,$C41/$G$7/2,$C41/$G$7))))</f>
        <v>0</v>
      </c>
      <c r="O41" s="70">
        <f>IF(O$6&lt;$B41,0,IF(O$6&gt;$B41+$G$7,0,IF(O$6=$B41+$G$7,$C41-SUM($H41:N41),IF(O$6=$B41,$C41/$G$7/2,$C41/$G$7))))</f>
        <v>0</v>
      </c>
      <c r="P41" s="70">
        <f>IF(P$6&lt;$B41,0,IF(P$6&gt;$B41+$G$7,0,IF(P$6=$B41+$G$7,$C41-SUM($H41:O41),IF(P$6=$B41,$C41/$G$7/2,$C41/$G$7))))</f>
        <v>0</v>
      </c>
      <c r="Q41" s="70">
        <f>IF(Q$6&lt;$B41,0,IF(Q$6&gt;$B41+$G$7,0,IF(Q$6=$B41+$G$7,$C41-SUM($H41:P41),IF(Q$6=$B41,$C41/$G$7/2,$C41/$G$7))))</f>
        <v>0</v>
      </c>
      <c r="R41" s="70">
        <f>IF(R$6&lt;$B41,0,IF(R$6&gt;$B41+$G$7,0,IF(R$6=$B41+$G$7,$C41-SUM($H41:Q41),IF(R$6=$B41,$C41/$G$7/2,$C41/$G$7))))</f>
        <v>0</v>
      </c>
      <c r="S41" s="70">
        <f>IF(S$6&lt;$B41,0,IF(S$6&gt;$B41+$G$7,0,IF(S$6=$B41+$G$7,$C41-SUM($H41:R41),IF(S$6=$B41,$C41/$G$7/2,$C41/$G$7))))</f>
        <v>0</v>
      </c>
      <c r="T41" s="70">
        <f>IF(T$6&lt;$B41,0,IF(T$6&gt;$B41+$G$7,0,IF(T$6=$B41+$G$7,$C41-SUM($H41:S41),IF(T$6=$B41,$C41/$G$7/2,$C41/$G$7))))</f>
        <v>0</v>
      </c>
      <c r="U41" s="70">
        <f>IF(U$6&lt;$B41,0,IF(U$6&gt;$B41+$G$7,0,IF(U$6=$B41+$G$7,$C41-SUM($H41:T41),IF(U$6=$B41,$C41/$G$7/2,$C41/$G$7))))</f>
        <v>0</v>
      </c>
      <c r="V41" s="70">
        <f>IF(V$6&lt;$B41,0,IF(V$6&gt;$B41+$G$7,0,IF(V$6=$B41+$G$7,$C41-SUM($H41:U41),IF(V$6=$B41,$C41/$G$7/2,$C41/$G$7))))</f>
        <v>0</v>
      </c>
      <c r="W41" s="70">
        <f>IF(W$6&lt;$B41,0,IF(W$6&gt;$B41+$G$7,0,IF(W$6=$B41+$G$7,$C41-SUM($H41:V41),IF(W$6=$B41,$C41/$G$7/2,$C41/$G$7))))</f>
        <v>0</v>
      </c>
      <c r="X41" s="70">
        <f>IF(X$6&lt;$B41,0,IF(X$6&gt;$B41+$G$7,0,IF(X$6=$B41+$G$7,$C41-SUM($H41:W41),IF(X$6=$B41,$C41/$G$7/2,$C41/$G$7))))</f>
        <v>0</v>
      </c>
      <c r="Y41" s="70">
        <f>IF(Y$6&lt;$B41,0,IF(Y$6&gt;$B41+$G$7,0,IF(Y$6=$B41+$G$7,$C41-SUM($H41:X41),IF(Y$6=$B41,$C41/$G$7/2,$C41/$G$7))))</f>
        <v>0</v>
      </c>
      <c r="Z41" s="70">
        <f>IF(Z$6&lt;$B41,0,IF(Z$6&gt;$B41+$G$7,0,IF(Z$6=$B41+$G$7,$C41-SUM($H41:Y41),IF(Z$6=$B41,$C41/$G$7/2,$C41/$G$7))))</f>
        <v>0</v>
      </c>
      <c r="AA41" s="70">
        <f>IF(AA$6&lt;$B41,0,IF(AA$6&gt;$B41+$G$7,0,IF(AA$6=$B41+$G$7,$C41-SUM($H41:Z41),IF(AA$6=$B41,$C41/$G$7/2,$C41/$G$7))))</f>
        <v>0</v>
      </c>
      <c r="AB41" s="70">
        <f>IF(AB$6&lt;$B41,0,IF(AB$6&gt;$B41+$G$7,0,IF(AB$6=$B41+$G$7,$C41-SUM($H41:AA41),IF(AB$6=$B41,$C41/$G$7/2,$C41/$G$7))))</f>
        <v>0</v>
      </c>
      <c r="AC41" s="70">
        <f>IF(AC$6&lt;$B41,0,IF(AC$6&gt;$B41+$G$7,0,IF(AC$6=$B41+$G$7,$C41-SUM($H41:AB41),IF(AC$6=$B41,$C41/$G$7/2,$C41/$G$7))))</f>
        <v>0</v>
      </c>
      <c r="AD41" s="70">
        <f>IF(AD$6&lt;$B41,0,IF(AD$6&gt;$B41+$G$7,0,IF(AD$6=$B41+$G$7,$C41-SUM($H41:AC41),IF(AD$6=$B41,$C41/$G$7/2,$C41/$G$7))))</f>
        <v>0</v>
      </c>
      <c r="AE41" s="70">
        <f>IF(AE$6&lt;$B41,0,IF(AE$6&gt;$B41+$G$7,0,IF(AE$6=$B41+$G$7,$C41-SUM($H41:AD41),IF(AE$6=$B41,$C41/$G$7/2,$C41/$G$7))))</f>
        <v>0</v>
      </c>
      <c r="AF41" s="70">
        <f>IF(AF$6&lt;$B41,0,IF(AF$6&gt;$B41+$G$7,0,IF(AF$6=$B41+$G$7,$C41-SUM($H41:AE41),IF(AF$6=$B41,$C41/$G$7/2,$C41/$G$7))))</f>
        <v>0</v>
      </c>
      <c r="AG41" s="70">
        <f>IF(AG$6&lt;$B41,0,IF(AG$6&gt;$B41+$G$7,0,IF(AG$6=$B41+$G$7,$C41-SUM($H41:AF41),IF(AG$6=$B41,$C41/$G$7/2,$C41/$G$7))))</f>
        <v>0</v>
      </c>
      <c r="AH41" s="70">
        <f>IF(AH$6&lt;$B41,0,IF(AH$6&gt;$B41+$G$7,0,IF(AH$6=$B41+$G$7,$C41-SUM($H41:AG41),IF(AH$6=$B41,$C41/$G$7/2,$C41/$G$7))))</f>
        <v>0</v>
      </c>
      <c r="AI41" s="70">
        <f>IF(AI$6&lt;$B41,0,IF(AI$6&gt;$B41+$G$7,0,IF(AI$6=$B41+$G$7,$C41-SUM($H41:AH41),IF(AI$6=$B41,$C41/$G$7/2,$C41/$G$7))))</f>
        <v>0</v>
      </c>
      <c r="AJ41" s="70">
        <f>IF(AJ$6&lt;$B41,0,IF(AJ$6&gt;$B41+$G$7,0,IF(AJ$6=$B41+$G$7,$C41-SUM($H41:AI41),IF(AJ$6=$B41,$C41/$G$7/2,$C41/$G$7))))</f>
        <v>0</v>
      </c>
      <c r="AK41" s="70">
        <f>IF(AK$6&lt;$B41,0,IF(AK$6&gt;$B41+$G$7,0,IF(AK$6=$B41+$G$7,$C41-SUM($H41:AJ41),IF(AK$6=$B41,$C41/$G$7/2,$C41/$G$7))))</f>
        <v>0</v>
      </c>
      <c r="AL41" s="70">
        <f>IF(AL$6&lt;$B41,0,IF(AL$6&gt;$B41+$G$7,0,IF(AL$6=$B41+$G$7,$C41-SUM($H41:AK41),IF(AL$6=$B41,$C41/$G$7/2,$C41/$G$7))))</f>
        <v>0</v>
      </c>
      <c r="AM41" s="70">
        <f>IF(AM$6&lt;$B41,0,IF(AM$6&gt;$B41+$G$7,0,IF(AM$6=$B41+$G$7,$C41-SUM($H41:AL41),IF(AM$6=$B41,$C41/$G$7/2,$C41/$G$7))))</f>
        <v>0</v>
      </c>
      <c r="AN41" s="70">
        <f>IF(AN$6&lt;$B41,0,IF(AN$6&gt;$B41+$G$7,0,IF(AN$6=$B41+$G$7,$C41-SUM($H41:AM41),IF(AN$6=$B41,$C41/$G$7/2,$C41/$G$7))))</f>
        <v>3.90625</v>
      </c>
      <c r="AO41" s="70">
        <f>IF(AO$6&lt;$B41,0,IF(AO$6&gt;$B41+$G$7,0,IF(AO$6=$B41+$G$7,$C41-SUM($H41:AN41),IF(AO$6=$B41,$C41/$G$7/2,$C41/$G$7))))</f>
        <v>7.8125</v>
      </c>
      <c r="AP41" s="70">
        <f>IF(AP$6&lt;$B41,0,IF(AP$6&gt;$B41+$G$7,0,IF(AP$6=$B41+$G$7,$C41-SUM($H41:AO41),IF(AP$6=$B41,$C41/$G$7/2,$C41/$G$7))))</f>
        <v>7.8125</v>
      </c>
      <c r="AQ41" s="70">
        <f>IF(AQ$6&lt;$B41,0,IF(AQ$6&gt;$B41+$G$7,0,IF(AQ$6=$B41+$G$7,$C41-SUM($H41:AP41),IF(AQ$6=$B41,$C41/$G$7/2,$C41/$G$7))))</f>
        <v>7.8125</v>
      </c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</row>
    <row r="42" spans="2:55">
      <c r="B42" s="100">
        <f t="shared" si="3"/>
        <v>2048</v>
      </c>
      <c r="C42" s="97">
        <f>HLOOKUP(Depreciation!B42,Model!$I$72:$AQ$78,7)</f>
        <v>156.25</v>
      </c>
      <c r="E42" s="3" t="str">
        <f t="shared" si="2"/>
        <v>CADmm</v>
      </c>
      <c r="F42" s="3" t="s">
        <v>57</v>
      </c>
      <c r="I42" s="70">
        <f>IF(I$6&lt;$B42,0,IF(I$6&gt;$B42+$G$7,0,IF(I$6=$B42+$G$7,$C42-SUM($H42:H42),IF(I$6=$B42,$C42/$G$7/2,$C42/$G$7))))</f>
        <v>0</v>
      </c>
      <c r="J42" s="70">
        <f>IF(J$6&lt;$B42,0,IF(J$6&gt;$B42+$G$7,0,IF(J$6=$B42+$G$7,$C42-SUM($H42:I42),IF(J$6=$B42,$C42/$G$7/2,$C42/$G$7))))</f>
        <v>0</v>
      </c>
      <c r="K42" s="70">
        <f>IF(K$6&lt;$B42,0,IF(K$6&gt;$B42+$G$7,0,IF(K$6=$B42+$G$7,$C42-SUM($H42:J42),IF(K$6=$B42,$C42/$G$7/2,$C42/$G$7))))</f>
        <v>0</v>
      </c>
      <c r="L42" s="70">
        <f>IF(L$6&lt;$B42,0,IF(L$6&gt;$B42+$G$7,0,IF(L$6=$B42+$G$7,$C42-SUM($H42:K42),IF(L$6=$B42,$C42/$G$7/2,$C42/$G$7))))</f>
        <v>0</v>
      </c>
      <c r="M42" s="70">
        <f>IF(M$6&lt;$B42,0,IF(M$6&gt;$B42+$G$7,0,IF(M$6=$B42+$G$7,$C42-SUM($H42:L42),IF(M$6=$B42,$C42/$G$7/2,$C42/$G$7))))</f>
        <v>0</v>
      </c>
      <c r="N42" s="70">
        <f>IF(N$6&lt;$B42,0,IF(N$6&gt;$B42+$G$7,0,IF(N$6=$B42+$G$7,$C42-SUM($H42:M42),IF(N$6=$B42,$C42/$G$7/2,$C42/$G$7))))</f>
        <v>0</v>
      </c>
      <c r="O42" s="70">
        <f>IF(O$6&lt;$B42,0,IF(O$6&gt;$B42+$G$7,0,IF(O$6=$B42+$G$7,$C42-SUM($H42:N42),IF(O$6=$B42,$C42/$G$7/2,$C42/$G$7))))</f>
        <v>0</v>
      </c>
      <c r="P42" s="70">
        <f>IF(P$6&lt;$B42,0,IF(P$6&gt;$B42+$G$7,0,IF(P$6=$B42+$G$7,$C42-SUM($H42:O42),IF(P$6=$B42,$C42/$G$7/2,$C42/$G$7))))</f>
        <v>0</v>
      </c>
      <c r="Q42" s="70">
        <f>IF(Q$6&lt;$B42,0,IF(Q$6&gt;$B42+$G$7,0,IF(Q$6=$B42+$G$7,$C42-SUM($H42:P42),IF(Q$6=$B42,$C42/$G$7/2,$C42/$G$7))))</f>
        <v>0</v>
      </c>
      <c r="R42" s="70">
        <f>IF(R$6&lt;$B42,0,IF(R$6&gt;$B42+$G$7,0,IF(R$6=$B42+$G$7,$C42-SUM($H42:Q42),IF(R$6=$B42,$C42/$G$7/2,$C42/$G$7))))</f>
        <v>0</v>
      </c>
      <c r="S42" s="70">
        <f>IF(S$6&lt;$B42,0,IF(S$6&gt;$B42+$G$7,0,IF(S$6=$B42+$G$7,$C42-SUM($H42:R42),IF(S$6=$B42,$C42/$G$7/2,$C42/$G$7))))</f>
        <v>0</v>
      </c>
      <c r="T42" s="70">
        <f>IF(T$6&lt;$B42,0,IF(T$6&gt;$B42+$G$7,0,IF(T$6=$B42+$G$7,$C42-SUM($H42:S42),IF(T$6=$B42,$C42/$G$7/2,$C42/$G$7))))</f>
        <v>0</v>
      </c>
      <c r="U42" s="70">
        <f>IF(U$6&lt;$B42,0,IF(U$6&gt;$B42+$G$7,0,IF(U$6=$B42+$G$7,$C42-SUM($H42:T42),IF(U$6=$B42,$C42/$G$7/2,$C42/$G$7))))</f>
        <v>0</v>
      </c>
      <c r="V42" s="70">
        <f>IF(V$6&lt;$B42,0,IF(V$6&gt;$B42+$G$7,0,IF(V$6=$B42+$G$7,$C42-SUM($H42:U42),IF(V$6=$B42,$C42/$G$7/2,$C42/$G$7))))</f>
        <v>0</v>
      </c>
      <c r="W42" s="70">
        <f>IF(W$6&lt;$B42,0,IF(W$6&gt;$B42+$G$7,0,IF(W$6=$B42+$G$7,$C42-SUM($H42:V42),IF(W$6=$B42,$C42/$G$7/2,$C42/$G$7))))</f>
        <v>0</v>
      </c>
      <c r="X42" s="70">
        <f>IF(X$6&lt;$B42,0,IF(X$6&gt;$B42+$G$7,0,IF(X$6=$B42+$G$7,$C42-SUM($H42:W42),IF(X$6=$B42,$C42/$G$7/2,$C42/$G$7))))</f>
        <v>0</v>
      </c>
      <c r="Y42" s="70">
        <f>IF(Y$6&lt;$B42,0,IF(Y$6&gt;$B42+$G$7,0,IF(Y$6=$B42+$G$7,$C42-SUM($H42:X42),IF(Y$6=$B42,$C42/$G$7/2,$C42/$G$7))))</f>
        <v>0</v>
      </c>
      <c r="Z42" s="70">
        <f>IF(Z$6&lt;$B42,0,IF(Z$6&gt;$B42+$G$7,0,IF(Z$6=$B42+$G$7,$C42-SUM($H42:Y42),IF(Z$6=$B42,$C42/$G$7/2,$C42/$G$7))))</f>
        <v>0</v>
      </c>
      <c r="AA42" s="70">
        <f>IF(AA$6&lt;$B42,0,IF(AA$6&gt;$B42+$G$7,0,IF(AA$6=$B42+$G$7,$C42-SUM($H42:Z42),IF(AA$6=$B42,$C42/$G$7/2,$C42/$G$7))))</f>
        <v>0</v>
      </c>
      <c r="AB42" s="70">
        <f>IF(AB$6&lt;$B42,0,IF(AB$6&gt;$B42+$G$7,0,IF(AB$6=$B42+$G$7,$C42-SUM($H42:AA42),IF(AB$6=$B42,$C42/$G$7/2,$C42/$G$7))))</f>
        <v>0</v>
      </c>
      <c r="AC42" s="70">
        <f>IF(AC$6&lt;$B42,0,IF(AC$6&gt;$B42+$G$7,0,IF(AC$6=$B42+$G$7,$C42-SUM($H42:AB42),IF(AC$6=$B42,$C42/$G$7/2,$C42/$G$7))))</f>
        <v>0</v>
      </c>
      <c r="AD42" s="70">
        <f>IF(AD$6&lt;$B42,0,IF(AD$6&gt;$B42+$G$7,0,IF(AD$6=$B42+$G$7,$C42-SUM($H42:AC42),IF(AD$6=$B42,$C42/$G$7/2,$C42/$G$7))))</f>
        <v>0</v>
      </c>
      <c r="AE42" s="70">
        <f>IF(AE$6&lt;$B42,0,IF(AE$6&gt;$B42+$G$7,0,IF(AE$6=$B42+$G$7,$C42-SUM($H42:AD42),IF(AE$6=$B42,$C42/$G$7/2,$C42/$G$7))))</f>
        <v>0</v>
      </c>
      <c r="AF42" s="70">
        <f>IF(AF$6&lt;$B42,0,IF(AF$6&gt;$B42+$G$7,0,IF(AF$6=$B42+$G$7,$C42-SUM($H42:AE42),IF(AF$6=$B42,$C42/$G$7/2,$C42/$G$7))))</f>
        <v>0</v>
      </c>
      <c r="AG42" s="70">
        <f>IF(AG$6&lt;$B42,0,IF(AG$6&gt;$B42+$G$7,0,IF(AG$6=$B42+$G$7,$C42-SUM($H42:AF42),IF(AG$6=$B42,$C42/$G$7/2,$C42/$G$7))))</f>
        <v>0</v>
      </c>
      <c r="AH42" s="70">
        <f>IF(AH$6&lt;$B42,0,IF(AH$6&gt;$B42+$G$7,0,IF(AH$6=$B42+$G$7,$C42-SUM($H42:AG42),IF(AH$6=$B42,$C42/$G$7/2,$C42/$G$7))))</f>
        <v>0</v>
      </c>
      <c r="AI42" s="70">
        <f>IF(AI$6&lt;$B42,0,IF(AI$6&gt;$B42+$G$7,0,IF(AI$6=$B42+$G$7,$C42-SUM($H42:AH42),IF(AI$6=$B42,$C42/$G$7/2,$C42/$G$7))))</f>
        <v>0</v>
      </c>
      <c r="AJ42" s="70">
        <f>IF(AJ$6&lt;$B42,0,IF(AJ$6&gt;$B42+$G$7,0,IF(AJ$6=$B42+$G$7,$C42-SUM($H42:AI42),IF(AJ$6=$B42,$C42/$G$7/2,$C42/$G$7))))</f>
        <v>0</v>
      </c>
      <c r="AK42" s="70">
        <f>IF(AK$6&lt;$B42,0,IF(AK$6&gt;$B42+$G$7,0,IF(AK$6=$B42+$G$7,$C42-SUM($H42:AJ42),IF(AK$6=$B42,$C42/$G$7/2,$C42/$G$7))))</f>
        <v>0</v>
      </c>
      <c r="AL42" s="70">
        <f>IF(AL$6&lt;$B42,0,IF(AL$6&gt;$B42+$G$7,0,IF(AL$6=$B42+$G$7,$C42-SUM($H42:AK42),IF(AL$6=$B42,$C42/$G$7/2,$C42/$G$7))))</f>
        <v>0</v>
      </c>
      <c r="AM42" s="70">
        <f>IF(AM$6&lt;$B42,0,IF(AM$6&gt;$B42+$G$7,0,IF(AM$6=$B42+$G$7,$C42-SUM($H42:AL42),IF(AM$6=$B42,$C42/$G$7/2,$C42/$G$7))))</f>
        <v>0</v>
      </c>
      <c r="AN42" s="70">
        <f>IF(AN$6&lt;$B42,0,IF(AN$6&gt;$B42+$G$7,0,IF(AN$6=$B42+$G$7,$C42-SUM($H42:AM42),IF(AN$6=$B42,$C42/$G$7/2,$C42/$G$7))))</f>
        <v>0</v>
      </c>
      <c r="AO42" s="70">
        <f>IF(AO$6&lt;$B42,0,IF(AO$6&gt;$B42+$G$7,0,IF(AO$6=$B42+$G$7,$C42-SUM($H42:AN42),IF(AO$6=$B42,$C42/$G$7/2,$C42/$G$7))))</f>
        <v>3.90625</v>
      </c>
      <c r="AP42" s="70">
        <f>IF(AP$6&lt;$B42,0,IF(AP$6&gt;$B42+$G$7,0,IF(AP$6=$B42+$G$7,$C42-SUM($H42:AO42),IF(AP$6=$B42,$C42/$G$7/2,$C42/$G$7))))</f>
        <v>7.8125</v>
      </c>
      <c r="AQ42" s="70">
        <f>IF(AQ$6&lt;$B42,0,IF(AQ$6&gt;$B42+$G$7,0,IF(AQ$6=$B42+$G$7,$C42-SUM($H42:AP42),IF(AQ$6=$B42,$C42/$G$7/2,$C42/$G$7))))</f>
        <v>7.8125</v>
      </c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</row>
    <row r="43" spans="2:55">
      <c r="B43" s="100">
        <f t="shared" si="3"/>
        <v>2049</v>
      </c>
      <c r="C43" s="97">
        <f>HLOOKUP(Depreciation!B43,Model!$I$72:$AQ$78,7)</f>
        <v>156.25</v>
      </c>
      <c r="E43" s="3" t="str">
        <f t="shared" si="2"/>
        <v>CADmm</v>
      </c>
      <c r="F43" s="3" t="s">
        <v>57</v>
      </c>
      <c r="I43" s="70">
        <f>IF(I$6&lt;$B43,0,IF(I$6&gt;$B43+$G$7,0,IF(I$6=$B43+$G$7,$C43-SUM($H43:H43),IF(I$6=$B43,$C43/$G$7/2,$C43/$G$7))))</f>
        <v>0</v>
      </c>
      <c r="J43" s="70">
        <f>IF(J$6&lt;$B43,0,IF(J$6&gt;$B43+$G$7,0,IF(J$6=$B43+$G$7,$C43-SUM($H43:I43),IF(J$6=$B43,$C43/$G$7/2,$C43/$G$7))))</f>
        <v>0</v>
      </c>
      <c r="K43" s="70">
        <f>IF(K$6&lt;$B43,0,IF(K$6&gt;$B43+$G$7,0,IF(K$6=$B43+$G$7,$C43-SUM($H43:J43),IF(K$6=$B43,$C43/$G$7/2,$C43/$G$7))))</f>
        <v>0</v>
      </c>
      <c r="L43" s="70">
        <f>IF(L$6&lt;$B43,0,IF(L$6&gt;$B43+$G$7,0,IF(L$6=$B43+$G$7,$C43-SUM($H43:K43),IF(L$6=$B43,$C43/$G$7/2,$C43/$G$7))))</f>
        <v>0</v>
      </c>
      <c r="M43" s="70">
        <f>IF(M$6&lt;$B43,0,IF(M$6&gt;$B43+$G$7,0,IF(M$6=$B43+$G$7,$C43-SUM($H43:L43),IF(M$6=$B43,$C43/$G$7/2,$C43/$G$7))))</f>
        <v>0</v>
      </c>
      <c r="N43" s="70">
        <f>IF(N$6&lt;$B43,0,IF(N$6&gt;$B43+$G$7,0,IF(N$6=$B43+$G$7,$C43-SUM($H43:M43),IF(N$6=$B43,$C43/$G$7/2,$C43/$G$7))))</f>
        <v>0</v>
      </c>
      <c r="O43" s="70">
        <f>IF(O$6&lt;$B43,0,IF(O$6&gt;$B43+$G$7,0,IF(O$6=$B43+$G$7,$C43-SUM($H43:N43),IF(O$6=$B43,$C43/$G$7/2,$C43/$G$7))))</f>
        <v>0</v>
      </c>
      <c r="P43" s="70">
        <f>IF(P$6&lt;$B43,0,IF(P$6&gt;$B43+$G$7,0,IF(P$6=$B43+$G$7,$C43-SUM($H43:O43),IF(P$6=$B43,$C43/$G$7/2,$C43/$G$7))))</f>
        <v>0</v>
      </c>
      <c r="Q43" s="70">
        <f>IF(Q$6&lt;$B43,0,IF(Q$6&gt;$B43+$G$7,0,IF(Q$6=$B43+$G$7,$C43-SUM($H43:P43),IF(Q$6=$B43,$C43/$G$7/2,$C43/$G$7))))</f>
        <v>0</v>
      </c>
      <c r="R43" s="70">
        <f>IF(R$6&lt;$B43,0,IF(R$6&gt;$B43+$G$7,0,IF(R$6=$B43+$G$7,$C43-SUM($H43:Q43),IF(R$6=$B43,$C43/$G$7/2,$C43/$G$7))))</f>
        <v>0</v>
      </c>
      <c r="S43" s="70">
        <f>IF(S$6&lt;$B43,0,IF(S$6&gt;$B43+$G$7,0,IF(S$6=$B43+$G$7,$C43-SUM($H43:R43),IF(S$6=$B43,$C43/$G$7/2,$C43/$G$7))))</f>
        <v>0</v>
      </c>
      <c r="T43" s="70">
        <f>IF(T$6&lt;$B43,0,IF(T$6&gt;$B43+$G$7,0,IF(T$6=$B43+$G$7,$C43-SUM($H43:S43),IF(T$6=$B43,$C43/$G$7/2,$C43/$G$7))))</f>
        <v>0</v>
      </c>
      <c r="U43" s="70">
        <f>IF(U$6&lt;$B43,0,IF(U$6&gt;$B43+$G$7,0,IF(U$6=$B43+$G$7,$C43-SUM($H43:T43),IF(U$6=$B43,$C43/$G$7/2,$C43/$G$7))))</f>
        <v>0</v>
      </c>
      <c r="V43" s="70">
        <f>IF(V$6&lt;$B43,0,IF(V$6&gt;$B43+$G$7,0,IF(V$6=$B43+$G$7,$C43-SUM($H43:U43),IF(V$6=$B43,$C43/$G$7/2,$C43/$G$7))))</f>
        <v>0</v>
      </c>
      <c r="W43" s="70">
        <f>IF(W$6&lt;$B43,0,IF(W$6&gt;$B43+$G$7,0,IF(W$6=$B43+$G$7,$C43-SUM($H43:V43),IF(W$6=$B43,$C43/$G$7/2,$C43/$G$7))))</f>
        <v>0</v>
      </c>
      <c r="X43" s="70">
        <f>IF(X$6&lt;$B43,0,IF(X$6&gt;$B43+$G$7,0,IF(X$6=$B43+$G$7,$C43-SUM($H43:W43),IF(X$6=$B43,$C43/$G$7/2,$C43/$G$7))))</f>
        <v>0</v>
      </c>
      <c r="Y43" s="70">
        <f>IF(Y$6&lt;$B43,0,IF(Y$6&gt;$B43+$G$7,0,IF(Y$6=$B43+$G$7,$C43-SUM($H43:X43),IF(Y$6=$B43,$C43/$G$7/2,$C43/$G$7))))</f>
        <v>0</v>
      </c>
      <c r="Z43" s="70">
        <f>IF(Z$6&lt;$B43,0,IF(Z$6&gt;$B43+$G$7,0,IF(Z$6=$B43+$G$7,$C43-SUM($H43:Y43),IF(Z$6=$B43,$C43/$G$7/2,$C43/$G$7))))</f>
        <v>0</v>
      </c>
      <c r="AA43" s="70">
        <f>IF(AA$6&lt;$B43,0,IF(AA$6&gt;$B43+$G$7,0,IF(AA$6=$B43+$G$7,$C43-SUM($H43:Z43),IF(AA$6=$B43,$C43/$G$7/2,$C43/$G$7))))</f>
        <v>0</v>
      </c>
      <c r="AB43" s="70">
        <f>IF(AB$6&lt;$B43,0,IF(AB$6&gt;$B43+$G$7,0,IF(AB$6=$B43+$G$7,$C43-SUM($H43:AA43),IF(AB$6=$B43,$C43/$G$7/2,$C43/$G$7))))</f>
        <v>0</v>
      </c>
      <c r="AC43" s="70">
        <f>IF(AC$6&lt;$B43,0,IF(AC$6&gt;$B43+$G$7,0,IF(AC$6=$B43+$G$7,$C43-SUM($H43:AB43),IF(AC$6=$B43,$C43/$G$7/2,$C43/$G$7))))</f>
        <v>0</v>
      </c>
      <c r="AD43" s="70">
        <f>IF(AD$6&lt;$B43,0,IF(AD$6&gt;$B43+$G$7,0,IF(AD$6=$B43+$G$7,$C43-SUM($H43:AC43),IF(AD$6=$B43,$C43/$G$7/2,$C43/$G$7))))</f>
        <v>0</v>
      </c>
      <c r="AE43" s="70">
        <f>IF(AE$6&lt;$B43,0,IF(AE$6&gt;$B43+$G$7,0,IF(AE$6=$B43+$G$7,$C43-SUM($H43:AD43),IF(AE$6=$B43,$C43/$G$7/2,$C43/$G$7))))</f>
        <v>0</v>
      </c>
      <c r="AF43" s="70">
        <f>IF(AF$6&lt;$B43,0,IF(AF$6&gt;$B43+$G$7,0,IF(AF$6=$B43+$G$7,$C43-SUM($H43:AE43),IF(AF$6=$B43,$C43/$G$7/2,$C43/$G$7))))</f>
        <v>0</v>
      </c>
      <c r="AG43" s="70">
        <f>IF(AG$6&lt;$B43,0,IF(AG$6&gt;$B43+$G$7,0,IF(AG$6=$B43+$G$7,$C43-SUM($H43:AF43),IF(AG$6=$B43,$C43/$G$7/2,$C43/$G$7))))</f>
        <v>0</v>
      </c>
      <c r="AH43" s="70">
        <f>IF(AH$6&lt;$B43,0,IF(AH$6&gt;$B43+$G$7,0,IF(AH$6=$B43+$G$7,$C43-SUM($H43:AG43),IF(AH$6=$B43,$C43/$G$7/2,$C43/$G$7))))</f>
        <v>0</v>
      </c>
      <c r="AI43" s="70">
        <f>IF(AI$6&lt;$B43,0,IF(AI$6&gt;$B43+$G$7,0,IF(AI$6=$B43+$G$7,$C43-SUM($H43:AH43),IF(AI$6=$B43,$C43/$G$7/2,$C43/$G$7))))</f>
        <v>0</v>
      </c>
      <c r="AJ43" s="70">
        <f>IF(AJ$6&lt;$B43,0,IF(AJ$6&gt;$B43+$G$7,0,IF(AJ$6=$B43+$G$7,$C43-SUM($H43:AI43),IF(AJ$6=$B43,$C43/$G$7/2,$C43/$G$7))))</f>
        <v>0</v>
      </c>
      <c r="AK43" s="70">
        <f>IF(AK$6&lt;$B43,0,IF(AK$6&gt;$B43+$G$7,0,IF(AK$6=$B43+$G$7,$C43-SUM($H43:AJ43),IF(AK$6=$B43,$C43/$G$7/2,$C43/$G$7))))</f>
        <v>0</v>
      </c>
      <c r="AL43" s="70">
        <f>IF(AL$6&lt;$B43,0,IF(AL$6&gt;$B43+$G$7,0,IF(AL$6=$B43+$G$7,$C43-SUM($H43:AK43),IF(AL$6=$B43,$C43/$G$7/2,$C43/$G$7))))</f>
        <v>0</v>
      </c>
      <c r="AM43" s="70">
        <f>IF(AM$6&lt;$B43,0,IF(AM$6&gt;$B43+$G$7,0,IF(AM$6=$B43+$G$7,$C43-SUM($H43:AL43),IF(AM$6=$B43,$C43/$G$7/2,$C43/$G$7))))</f>
        <v>0</v>
      </c>
      <c r="AN43" s="70">
        <f>IF(AN$6&lt;$B43,0,IF(AN$6&gt;$B43+$G$7,0,IF(AN$6=$B43+$G$7,$C43-SUM($H43:AM43),IF(AN$6=$B43,$C43/$G$7/2,$C43/$G$7))))</f>
        <v>0</v>
      </c>
      <c r="AO43" s="70">
        <f>IF(AO$6&lt;$B43,0,IF(AO$6&gt;$B43+$G$7,0,IF(AO$6=$B43+$G$7,$C43-SUM($H43:AN43),IF(AO$6=$B43,$C43/$G$7/2,$C43/$G$7))))</f>
        <v>0</v>
      </c>
      <c r="AP43" s="70">
        <f>IF(AP$6&lt;$B43,0,IF(AP$6&gt;$B43+$G$7,0,IF(AP$6=$B43+$G$7,$C43-SUM($H43:AO43),IF(AP$6=$B43,$C43/$G$7/2,$C43/$G$7))))</f>
        <v>3.90625</v>
      </c>
      <c r="AQ43" s="70">
        <f>IF(AQ$6&lt;$B43,0,IF(AQ$6&gt;$B43+$G$7,0,IF(AQ$6=$B43+$G$7,$C43-SUM($H43:AP43),IF(AQ$6=$B43,$C43/$G$7/2,$C43/$G$7))))</f>
        <v>7.8125</v>
      </c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</row>
    <row r="44" spans="2:55">
      <c r="B44" s="101">
        <f t="shared" si="3"/>
        <v>2050</v>
      </c>
      <c r="C44" s="98">
        <f>HLOOKUP(Depreciation!B44,Model!$I$72:$AQ$78,7)</f>
        <v>156.25</v>
      </c>
      <c r="D44" s="99"/>
      <c r="E44" s="13" t="str">
        <f t="shared" si="2"/>
        <v>CADmm</v>
      </c>
      <c r="F44" s="13" t="s">
        <v>57</v>
      </c>
      <c r="G44" s="13"/>
      <c r="H44" s="13"/>
      <c r="I44" s="94">
        <f>IF(I$6&lt;$B44,0,IF(I$6&gt;$B44+$G$7,0,IF(I$6=$B44+$G$7,$C44-SUM($H44:H44),IF(I$6=$B44,$C44/$G$7/2,$C44/$G$7))))</f>
        <v>0</v>
      </c>
      <c r="J44" s="94">
        <f>IF(J$6&lt;$B44,0,IF(J$6&gt;$B44+$G$7,0,IF(J$6=$B44+$G$7,$C44-SUM($H44:I44),IF(J$6=$B44,$C44/$G$7/2,$C44/$G$7))))</f>
        <v>0</v>
      </c>
      <c r="K44" s="94">
        <f>IF(K$6&lt;$B44,0,IF(K$6&gt;$B44+$G$7,0,IF(K$6=$B44+$G$7,$C44-SUM($H44:J44),IF(K$6=$B44,$C44/$G$7/2,$C44/$G$7))))</f>
        <v>0</v>
      </c>
      <c r="L44" s="94">
        <f>IF(L$6&lt;$B44,0,IF(L$6&gt;$B44+$G$7,0,IF(L$6=$B44+$G$7,$C44-SUM($H44:K44),IF(L$6=$B44,$C44/$G$7/2,$C44/$G$7))))</f>
        <v>0</v>
      </c>
      <c r="M44" s="94">
        <f>IF(M$6&lt;$B44,0,IF(M$6&gt;$B44+$G$7,0,IF(M$6=$B44+$G$7,$C44-SUM($H44:L44),IF(M$6=$B44,$C44/$G$7/2,$C44/$G$7))))</f>
        <v>0</v>
      </c>
      <c r="N44" s="94">
        <f>IF(N$6&lt;$B44,0,IF(N$6&gt;$B44+$G$7,0,IF(N$6=$B44+$G$7,$C44-SUM($H44:M44),IF(N$6=$B44,$C44/$G$7/2,$C44/$G$7))))</f>
        <v>0</v>
      </c>
      <c r="O44" s="94">
        <f>IF(O$6&lt;$B44,0,IF(O$6&gt;$B44+$G$7,0,IF(O$6=$B44+$G$7,$C44-SUM($H44:N44),IF(O$6=$B44,$C44/$G$7/2,$C44/$G$7))))</f>
        <v>0</v>
      </c>
      <c r="P44" s="94">
        <f>IF(P$6&lt;$B44,0,IF(P$6&gt;$B44+$G$7,0,IF(P$6=$B44+$G$7,$C44-SUM($H44:O44),IF(P$6=$B44,$C44/$G$7/2,$C44/$G$7))))</f>
        <v>0</v>
      </c>
      <c r="Q44" s="94">
        <f>IF(Q$6&lt;$B44,0,IF(Q$6&gt;$B44+$G$7,0,IF(Q$6=$B44+$G$7,$C44-SUM($H44:P44),IF(Q$6=$B44,$C44/$G$7/2,$C44/$G$7))))</f>
        <v>0</v>
      </c>
      <c r="R44" s="94">
        <f>IF(R$6&lt;$B44,0,IF(R$6&gt;$B44+$G$7,0,IF(R$6=$B44+$G$7,$C44-SUM($H44:Q44),IF(R$6=$B44,$C44/$G$7/2,$C44/$G$7))))</f>
        <v>0</v>
      </c>
      <c r="S44" s="94">
        <f>IF(S$6&lt;$B44,0,IF(S$6&gt;$B44+$G$7,0,IF(S$6=$B44+$G$7,$C44-SUM($H44:R44),IF(S$6=$B44,$C44/$G$7/2,$C44/$G$7))))</f>
        <v>0</v>
      </c>
      <c r="T44" s="94">
        <f>IF(T$6&lt;$B44,0,IF(T$6&gt;$B44+$G$7,0,IF(T$6=$B44+$G$7,$C44-SUM($H44:S44),IF(T$6=$B44,$C44/$G$7/2,$C44/$G$7))))</f>
        <v>0</v>
      </c>
      <c r="U44" s="94">
        <f>IF(U$6&lt;$B44,0,IF(U$6&gt;$B44+$G$7,0,IF(U$6=$B44+$G$7,$C44-SUM($H44:T44),IF(U$6=$B44,$C44/$G$7/2,$C44/$G$7))))</f>
        <v>0</v>
      </c>
      <c r="V44" s="94">
        <f>IF(V$6&lt;$B44,0,IF(V$6&gt;$B44+$G$7,0,IF(V$6=$B44+$G$7,$C44-SUM($H44:U44),IF(V$6=$B44,$C44/$G$7/2,$C44/$G$7))))</f>
        <v>0</v>
      </c>
      <c r="W44" s="94">
        <f>IF(W$6&lt;$B44,0,IF(W$6&gt;$B44+$G$7,0,IF(W$6=$B44+$G$7,$C44-SUM($H44:V44),IF(W$6=$B44,$C44/$G$7/2,$C44/$G$7))))</f>
        <v>0</v>
      </c>
      <c r="X44" s="94">
        <f>IF(X$6&lt;$B44,0,IF(X$6&gt;$B44+$G$7,0,IF(X$6=$B44+$G$7,$C44-SUM($H44:W44),IF(X$6=$B44,$C44/$G$7/2,$C44/$G$7))))</f>
        <v>0</v>
      </c>
      <c r="Y44" s="94">
        <f>IF(Y$6&lt;$B44,0,IF(Y$6&gt;$B44+$G$7,0,IF(Y$6=$B44+$G$7,$C44-SUM($H44:X44),IF(Y$6=$B44,$C44/$G$7/2,$C44/$G$7))))</f>
        <v>0</v>
      </c>
      <c r="Z44" s="94">
        <f>IF(Z$6&lt;$B44,0,IF(Z$6&gt;$B44+$G$7,0,IF(Z$6=$B44+$G$7,$C44-SUM($H44:Y44),IF(Z$6=$B44,$C44/$G$7/2,$C44/$G$7))))</f>
        <v>0</v>
      </c>
      <c r="AA44" s="94">
        <f>IF(AA$6&lt;$B44,0,IF(AA$6&gt;$B44+$G$7,0,IF(AA$6=$B44+$G$7,$C44-SUM($H44:Z44),IF(AA$6=$B44,$C44/$G$7/2,$C44/$G$7))))</f>
        <v>0</v>
      </c>
      <c r="AB44" s="94">
        <f>IF(AB$6&lt;$B44,0,IF(AB$6&gt;$B44+$G$7,0,IF(AB$6=$B44+$G$7,$C44-SUM($H44:AA44),IF(AB$6=$B44,$C44/$G$7/2,$C44/$G$7))))</f>
        <v>0</v>
      </c>
      <c r="AC44" s="94">
        <f>IF(AC$6&lt;$B44,0,IF(AC$6&gt;$B44+$G$7,0,IF(AC$6=$B44+$G$7,$C44-SUM($H44:AB44),IF(AC$6=$B44,$C44/$G$7/2,$C44/$G$7))))</f>
        <v>0</v>
      </c>
      <c r="AD44" s="94">
        <f>IF(AD$6&lt;$B44,0,IF(AD$6&gt;$B44+$G$7,0,IF(AD$6=$B44+$G$7,$C44-SUM($H44:AC44),IF(AD$6=$B44,$C44/$G$7/2,$C44/$G$7))))</f>
        <v>0</v>
      </c>
      <c r="AE44" s="94">
        <f>IF(AE$6&lt;$B44,0,IF(AE$6&gt;$B44+$G$7,0,IF(AE$6=$B44+$G$7,$C44-SUM($H44:AD44),IF(AE$6=$B44,$C44/$G$7/2,$C44/$G$7))))</f>
        <v>0</v>
      </c>
      <c r="AF44" s="94">
        <f>IF(AF$6&lt;$B44,0,IF(AF$6&gt;$B44+$G$7,0,IF(AF$6=$B44+$G$7,$C44-SUM($H44:AE44),IF(AF$6=$B44,$C44/$G$7/2,$C44/$G$7))))</f>
        <v>0</v>
      </c>
      <c r="AG44" s="94">
        <f>IF(AG$6&lt;$B44,0,IF(AG$6&gt;$B44+$G$7,0,IF(AG$6=$B44+$G$7,$C44-SUM($H44:AF44),IF(AG$6=$B44,$C44/$G$7/2,$C44/$G$7))))</f>
        <v>0</v>
      </c>
      <c r="AH44" s="94">
        <f>IF(AH$6&lt;$B44,0,IF(AH$6&gt;$B44+$G$7,0,IF(AH$6=$B44+$G$7,$C44-SUM($H44:AG44),IF(AH$6=$B44,$C44/$G$7/2,$C44/$G$7))))</f>
        <v>0</v>
      </c>
      <c r="AI44" s="94">
        <f>IF(AI$6&lt;$B44,0,IF(AI$6&gt;$B44+$G$7,0,IF(AI$6=$B44+$G$7,$C44-SUM($H44:AH44),IF(AI$6=$B44,$C44/$G$7/2,$C44/$G$7))))</f>
        <v>0</v>
      </c>
      <c r="AJ44" s="94">
        <f>IF(AJ$6&lt;$B44,0,IF(AJ$6&gt;$B44+$G$7,0,IF(AJ$6=$B44+$G$7,$C44-SUM($H44:AI44),IF(AJ$6=$B44,$C44/$G$7/2,$C44/$G$7))))</f>
        <v>0</v>
      </c>
      <c r="AK44" s="94">
        <f>IF(AK$6&lt;$B44,0,IF(AK$6&gt;$B44+$G$7,0,IF(AK$6=$B44+$G$7,$C44-SUM($H44:AJ44),IF(AK$6=$B44,$C44/$G$7/2,$C44/$G$7))))</f>
        <v>0</v>
      </c>
      <c r="AL44" s="94">
        <f>IF(AL$6&lt;$B44,0,IF(AL$6&gt;$B44+$G$7,0,IF(AL$6=$B44+$G$7,$C44-SUM($H44:AK44),IF(AL$6=$B44,$C44/$G$7/2,$C44/$G$7))))</f>
        <v>0</v>
      </c>
      <c r="AM44" s="94">
        <f>IF(AM$6&lt;$B44,0,IF(AM$6&gt;$B44+$G$7,0,IF(AM$6=$B44+$G$7,$C44-SUM($H44:AL44),IF(AM$6=$B44,$C44/$G$7/2,$C44/$G$7))))</f>
        <v>0</v>
      </c>
      <c r="AN44" s="94">
        <f>IF(AN$6&lt;$B44,0,IF(AN$6&gt;$B44+$G$7,0,IF(AN$6=$B44+$G$7,$C44-SUM($H44:AM44),IF(AN$6=$B44,$C44/$G$7/2,$C44/$G$7))))</f>
        <v>0</v>
      </c>
      <c r="AO44" s="94">
        <f>IF(AO$6&lt;$B44,0,IF(AO$6&gt;$B44+$G$7,0,IF(AO$6=$B44+$G$7,$C44-SUM($H44:AN44),IF(AO$6=$B44,$C44/$G$7/2,$C44/$G$7))))</f>
        <v>0</v>
      </c>
      <c r="AP44" s="94">
        <f>IF(AP$6&lt;$B44,0,IF(AP$6&gt;$B44+$G$7,0,IF(AP$6=$B44+$G$7,$C44-SUM($H44:AO44),IF(AP$6=$B44,$C44/$G$7/2,$C44/$G$7))))</f>
        <v>0</v>
      </c>
      <c r="AQ44" s="94">
        <f>IF(AQ$6&lt;$B44,0,IF(AQ$6&gt;$B44+$G$7,0,IF(AQ$6=$B44+$G$7,$C44-SUM($H44:AP44),IF(AQ$6=$B44,$C44/$G$7/2,$C44/$G$7))))</f>
        <v>3.90625</v>
      </c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</row>
    <row r="45" spans="2:55">
      <c r="B45" s="82" t="s">
        <v>20</v>
      </c>
      <c r="C45" s="15"/>
      <c r="D45" s="15"/>
      <c r="E45" s="102" t="str">
        <f t="shared" si="2"/>
        <v>CADmm</v>
      </c>
      <c r="F45" s="102" t="s">
        <v>57</v>
      </c>
      <c r="G45" s="15"/>
      <c r="H45" s="15"/>
      <c r="I45" s="103">
        <f>SUM(I10:I44)</f>
        <v>5.46875</v>
      </c>
      <c r="J45" s="103">
        <f t="shared" ref="J45:AQ45" si="4">SUM(J10:J44)</f>
        <v>14.0625</v>
      </c>
      <c r="K45" s="103">
        <f t="shared" si="4"/>
        <v>20.3125</v>
      </c>
      <c r="L45" s="103">
        <f t="shared" si="4"/>
        <v>27.34375</v>
      </c>
      <c r="M45" s="103">
        <f t="shared" si="4"/>
        <v>35.15625</v>
      </c>
      <c r="N45" s="103">
        <f t="shared" si="4"/>
        <v>42.96875</v>
      </c>
      <c r="O45" s="103">
        <f t="shared" si="4"/>
        <v>50.78125</v>
      </c>
      <c r="P45" s="103">
        <f t="shared" si="4"/>
        <v>58.59375</v>
      </c>
      <c r="Q45" s="103">
        <f t="shared" si="4"/>
        <v>66.40625</v>
      </c>
      <c r="R45" s="103">
        <f t="shared" si="4"/>
        <v>74.21875</v>
      </c>
      <c r="S45" s="103">
        <f t="shared" si="4"/>
        <v>82.03125</v>
      </c>
      <c r="T45" s="103">
        <f t="shared" si="4"/>
        <v>89.84375</v>
      </c>
      <c r="U45" s="103">
        <f t="shared" si="4"/>
        <v>100.3125</v>
      </c>
      <c r="V45" s="103">
        <f t="shared" si="4"/>
        <v>110.78125</v>
      </c>
      <c r="W45" s="103">
        <f t="shared" si="4"/>
        <v>118.59375</v>
      </c>
      <c r="X45" s="103">
        <f t="shared" si="4"/>
        <v>126.40625</v>
      </c>
      <c r="Y45" s="103">
        <f t="shared" si="4"/>
        <v>134.21875</v>
      </c>
      <c r="Z45" s="103">
        <f t="shared" si="4"/>
        <v>142.03125</v>
      </c>
      <c r="AA45" s="103">
        <f t="shared" si="4"/>
        <v>149.84375</v>
      </c>
      <c r="AB45" s="103">
        <f t="shared" si="4"/>
        <v>157.65625</v>
      </c>
      <c r="AC45" s="103">
        <f t="shared" si="4"/>
        <v>162.65625</v>
      </c>
      <c r="AD45" s="103">
        <f t="shared" si="4"/>
        <v>164.53125000000003</v>
      </c>
      <c r="AE45" s="103">
        <f t="shared" si="4"/>
        <v>166.09375</v>
      </c>
      <c r="AF45" s="103">
        <f t="shared" si="4"/>
        <v>166.875</v>
      </c>
      <c r="AG45" s="103">
        <f t="shared" si="4"/>
        <v>166.875</v>
      </c>
      <c r="AH45" s="103">
        <f t="shared" si="4"/>
        <v>166.875</v>
      </c>
      <c r="AI45" s="103">
        <f t="shared" si="4"/>
        <v>166.875</v>
      </c>
      <c r="AJ45" s="103">
        <f t="shared" si="4"/>
        <v>166.875</v>
      </c>
      <c r="AK45" s="103">
        <f t="shared" si="4"/>
        <v>169.53125</v>
      </c>
      <c r="AL45" s="103">
        <f t="shared" si="4"/>
        <v>172.1875</v>
      </c>
      <c r="AM45" s="103">
        <f t="shared" si="4"/>
        <v>172.1875</v>
      </c>
      <c r="AN45" s="103">
        <f t="shared" si="4"/>
        <v>172.1875</v>
      </c>
      <c r="AO45" s="103">
        <f t="shared" si="4"/>
        <v>169.53125</v>
      </c>
      <c r="AP45" s="103">
        <f t="shared" si="4"/>
        <v>166.875</v>
      </c>
      <c r="AQ45" s="103">
        <f t="shared" si="4"/>
        <v>166.875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DN114"/>
  <sheetViews>
    <sheetView showGridLines="0" zoomScaleNormal="100" workbookViewId="0">
      <selection activeCell="B1" sqref="B1"/>
    </sheetView>
  </sheetViews>
  <sheetFormatPr baseColWidth="10" defaultColWidth="9.1640625" defaultRowHeight="11"/>
  <cols>
    <col min="1" max="1" width="2.6640625" style="3" customWidth="1"/>
    <col min="2" max="8" width="9.1640625" style="3"/>
    <col min="9" max="43" width="9.33203125" style="3" customWidth="1"/>
    <col min="44" max="16384" width="9.1640625" style="3"/>
  </cols>
  <sheetData>
    <row r="1" spans="1:118" customFormat="1" ht="19">
      <c r="A1" s="1"/>
      <c r="B1" s="2" t="str">
        <f>Summary!$B$1</f>
        <v>RNFC: Highway Integrated Financial Model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</row>
    <row r="2" spans="1:118" customFormat="1" ht="19">
      <c r="A2" s="1"/>
      <c r="B2" s="2" t="s">
        <v>136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</row>
    <row r="4" spans="1:118">
      <c r="B4" s="3" t="s">
        <v>147</v>
      </c>
      <c r="D4" s="91">
        <v>1</v>
      </c>
    </row>
    <row r="5" spans="1:118">
      <c r="AF5" s="159"/>
    </row>
    <row r="6" spans="1:118">
      <c r="A6" s="3" t="s">
        <v>0</v>
      </c>
      <c r="B6" s="4" t="s">
        <v>174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</row>
    <row r="7" spans="1:118">
      <c r="I7" s="133">
        <v>1</v>
      </c>
      <c r="J7" s="133">
        <f>IF(J8="","",I7+1)</f>
        <v>2</v>
      </c>
      <c r="K7" s="133">
        <f t="shared" ref="K7:AQ7" si="0">IF(K8="","",J7+1)</f>
        <v>3</v>
      </c>
      <c r="L7" s="133">
        <f t="shared" si="0"/>
        <v>4</v>
      </c>
      <c r="M7" s="133">
        <f t="shared" si="0"/>
        <v>5</v>
      </c>
      <c r="N7" s="133">
        <f t="shared" si="0"/>
        <v>6</v>
      </c>
      <c r="O7" s="133">
        <f t="shared" si="0"/>
        <v>7</v>
      </c>
      <c r="P7" s="133">
        <f t="shared" si="0"/>
        <v>8</v>
      </c>
      <c r="Q7" s="133">
        <f t="shared" si="0"/>
        <v>9</v>
      </c>
      <c r="R7" s="133">
        <f t="shared" si="0"/>
        <v>10</v>
      </c>
      <c r="S7" s="133">
        <f t="shared" si="0"/>
        <v>11</v>
      </c>
      <c r="T7" s="133">
        <f t="shared" si="0"/>
        <v>12</v>
      </c>
      <c r="U7" s="133">
        <f t="shared" si="0"/>
        <v>13</v>
      </c>
      <c r="V7" s="133">
        <f t="shared" si="0"/>
        <v>14</v>
      </c>
      <c r="W7" s="133">
        <f t="shared" si="0"/>
        <v>15</v>
      </c>
      <c r="X7" s="133">
        <f t="shared" si="0"/>
        <v>16</v>
      </c>
      <c r="Y7" s="133">
        <f t="shared" si="0"/>
        <v>17</v>
      </c>
      <c r="Z7" s="133">
        <f t="shared" si="0"/>
        <v>18</v>
      </c>
      <c r="AA7" s="133">
        <f t="shared" si="0"/>
        <v>19</v>
      </c>
      <c r="AB7" s="133">
        <f t="shared" si="0"/>
        <v>20</v>
      </c>
      <c r="AC7" s="133">
        <f t="shared" si="0"/>
        <v>21</v>
      </c>
      <c r="AD7" s="133">
        <f t="shared" si="0"/>
        <v>22</v>
      </c>
      <c r="AE7" s="133">
        <f t="shared" si="0"/>
        <v>23</v>
      </c>
      <c r="AF7" s="133">
        <f t="shared" si="0"/>
        <v>24</v>
      </c>
      <c r="AG7" s="133">
        <f t="shared" si="0"/>
        <v>25</v>
      </c>
      <c r="AH7" s="133">
        <f t="shared" si="0"/>
        <v>26</v>
      </c>
      <c r="AI7" s="133">
        <f t="shared" si="0"/>
        <v>27</v>
      </c>
      <c r="AJ7" s="133">
        <f t="shared" si="0"/>
        <v>28</v>
      </c>
      <c r="AK7" s="133">
        <f t="shared" si="0"/>
        <v>29</v>
      </c>
      <c r="AL7" s="133">
        <f t="shared" si="0"/>
        <v>30</v>
      </c>
      <c r="AM7" s="133">
        <f t="shared" si="0"/>
        <v>31</v>
      </c>
      <c r="AN7" s="133">
        <f t="shared" si="0"/>
        <v>32</v>
      </c>
      <c r="AO7" s="133">
        <f t="shared" si="0"/>
        <v>33</v>
      </c>
      <c r="AP7" s="133">
        <f t="shared" si="0"/>
        <v>34</v>
      </c>
      <c r="AQ7" s="133">
        <f t="shared" si="0"/>
        <v>35</v>
      </c>
    </row>
    <row r="8" spans="1:118" ht="12" thickBot="1">
      <c r="B8" s="9"/>
      <c r="C8" s="8"/>
      <c r="D8" s="8"/>
      <c r="E8" s="9" t="s">
        <v>48</v>
      </c>
      <c r="F8" s="9" t="s">
        <v>72</v>
      </c>
      <c r="G8" s="8"/>
      <c r="H8" s="8"/>
      <c r="I8" s="9">
        <f>YEAR(Now)</f>
        <v>2016</v>
      </c>
      <c r="J8" s="9">
        <f t="shared" ref="J8:AQ8" si="1">IFERROR(IF(I8+1&gt;End,"",I8+1),"")</f>
        <v>2017</v>
      </c>
      <c r="K8" s="9">
        <f t="shared" si="1"/>
        <v>2018</v>
      </c>
      <c r="L8" s="9">
        <f t="shared" si="1"/>
        <v>2019</v>
      </c>
      <c r="M8" s="9">
        <f t="shared" si="1"/>
        <v>2020</v>
      </c>
      <c r="N8" s="9">
        <f t="shared" si="1"/>
        <v>2021</v>
      </c>
      <c r="O8" s="9">
        <f t="shared" si="1"/>
        <v>2022</v>
      </c>
      <c r="P8" s="9">
        <f t="shared" si="1"/>
        <v>2023</v>
      </c>
      <c r="Q8" s="9">
        <f t="shared" si="1"/>
        <v>2024</v>
      </c>
      <c r="R8" s="9">
        <f t="shared" si="1"/>
        <v>2025</v>
      </c>
      <c r="S8" s="9">
        <f t="shared" si="1"/>
        <v>2026</v>
      </c>
      <c r="T8" s="9">
        <f t="shared" si="1"/>
        <v>2027</v>
      </c>
      <c r="U8" s="9">
        <f t="shared" si="1"/>
        <v>2028</v>
      </c>
      <c r="V8" s="9">
        <f t="shared" si="1"/>
        <v>2029</v>
      </c>
      <c r="W8" s="9">
        <f t="shared" si="1"/>
        <v>2030</v>
      </c>
      <c r="X8" s="9">
        <f t="shared" si="1"/>
        <v>2031</v>
      </c>
      <c r="Y8" s="9">
        <f t="shared" si="1"/>
        <v>2032</v>
      </c>
      <c r="Z8" s="9">
        <f t="shared" si="1"/>
        <v>2033</v>
      </c>
      <c r="AA8" s="9">
        <f t="shared" si="1"/>
        <v>2034</v>
      </c>
      <c r="AB8" s="9">
        <f t="shared" si="1"/>
        <v>2035</v>
      </c>
      <c r="AC8" s="9">
        <f t="shared" si="1"/>
        <v>2036</v>
      </c>
      <c r="AD8" s="9">
        <f t="shared" si="1"/>
        <v>2037</v>
      </c>
      <c r="AE8" s="9">
        <f t="shared" si="1"/>
        <v>2038</v>
      </c>
      <c r="AF8" s="9">
        <f t="shared" si="1"/>
        <v>2039</v>
      </c>
      <c r="AG8" s="9">
        <f t="shared" si="1"/>
        <v>2040</v>
      </c>
      <c r="AH8" s="9">
        <f t="shared" si="1"/>
        <v>2041</v>
      </c>
      <c r="AI8" s="9">
        <f t="shared" si="1"/>
        <v>2042</v>
      </c>
      <c r="AJ8" s="9">
        <f t="shared" si="1"/>
        <v>2043</v>
      </c>
      <c r="AK8" s="9">
        <f t="shared" si="1"/>
        <v>2044</v>
      </c>
      <c r="AL8" s="9">
        <f t="shared" si="1"/>
        <v>2045</v>
      </c>
      <c r="AM8" s="9">
        <f t="shared" si="1"/>
        <v>2046</v>
      </c>
      <c r="AN8" s="9">
        <f t="shared" si="1"/>
        <v>2047</v>
      </c>
      <c r="AO8" s="9">
        <f t="shared" si="1"/>
        <v>2048</v>
      </c>
      <c r="AP8" s="9">
        <f t="shared" si="1"/>
        <v>2049</v>
      </c>
      <c r="AQ8" s="9">
        <f t="shared" si="1"/>
        <v>2050</v>
      </c>
    </row>
    <row r="9" spans="1:118">
      <c r="B9" s="3" t="s">
        <v>151</v>
      </c>
      <c r="H9" s="70"/>
      <c r="I9" s="70">
        <f t="shared" ref="I9" si="2">I52+I70+I88+I88+I106</f>
        <v>0</v>
      </c>
      <c r="J9" s="70">
        <f t="shared" ref="J9:AQ9" si="3">J52+J70+J88+J88+J106</f>
        <v>166.16560175781453</v>
      </c>
      <c r="K9" s="70">
        <f t="shared" si="3"/>
        <v>270.99549414035221</v>
      </c>
      <c r="L9" s="70">
        <f t="shared" si="3"/>
        <v>379.65610766654061</v>
      </c>
      <c r="M9" s="70">
        <f t="shared" si="3"/>
        <v>513.60336082338995</v>
      </c>
      <c r="N9" s="70">
        <f t="shared" si="3"/>
        <v>484.1386098885755</v>
      </c>
      <c r="O9" s="70">
        <f t="shared" si="3"/>
        <v>454.67385895376094</v>
      </c>
      <c r="P9" s="70">
        <f t="shared" si="3"/>
        <v>425.20910801894632</v>
      </c>
      <c r="Q9" s="70">
        <f t="shared" si="3"/>
        <v>395.74435708413176</v>
      </c>
      <c r="R9" s="70">
        <f t="shared" si="3"/>
        <v>366.27960614931726</v>
      </c>
      <c r="S9" s="70">
        <f t="shared" si="3"/>
        <v>336.8148552145027</v>
      </c>
      <c r="T9" s="70">
        <f t="shared" si="3"/>
        <v>307.35010427968808</v>
      </c>
      <c r="U9" s="70">
        <f t="shared" si="3"/>
        <v>277.88535334487358</v>
      </c>
      <c r="V9" s="70">
        <f t="shared" si="3"/>
        <v>248.42060241005902</v>
      </c>
      <c r="W9" s="70">
        <f t="shared" si="3"/>
        <v>218.95585147524446</v>
      </c>
      <c r="X9" s="70">
        <f t="shared" si="3"/>
        <v>189.4911005404299</v>
      </c>
      <c r="Y9" s="70">
        <f t="shared" si="3"/>
        <v>160.02634960561537</v>
      </c>
      <c r="Z9" s="70">
        <f t="shared" si="3"/>
        <v>130.56159867080083</v>
      </c>
      <c r="AA9" s="70">
        <f t="shared" si="3"/>
        <v>101.09684773598626</v>
      </c>
      <c r="AB9" s="70">
        <f t="shared" si="3"/>
        <v>71.632096801171713</v>
      </c>
      <c r="AC9" s="70">
        <f t="shared" si="3"/>
        <v>42.167345866357167</v>
      </c>
      <c r="AD9" s="70">
        <f t="shared" si="3"/>
        <v>20.188426794925345</v>
      </c>
      <c r="AE9" s="70">
        <f t="shared" si="3"/>
        <v>4.614497553125811</v>
      </c>
      <c r="AF9" s="70">
        <f t="shared" si="3"/>
        <v>2.3092638912203256E-14</v>
      </c>
      <c r="AG9" s="70">
        <f t="shared" si="3"/>
        <v>2.3092638912203256E-14</v>
      </c>
      <c r="AH9" s="70">
        <f t="shared" si="3"/>
        <v>2.3092638912203256E-14</v>
      </c>
      <c r="AI9" s="70">
        <f t="shared" si="3"/>
        <v>2.3092638912203256E-14</v>
      </c>
      <c r="AJ9" s="70">
        <f t="shared" si="3"/>
        <v>2.3092638912203256E-14</v>
      </c>
      <c r="AK9" s="70">
        <f t="shared" si="3"/>
        <v>2.3092638912203256E-14</v>
      </c>
      <c r="AL9" s="70">
        <f t="shared" si="3"/>
        <v>2.3092638912203256E-14</v>
      </c>
      <c r="AM9" s="70">
        <f t="shared" si="3"/>
        <v>2.3092638912203256E-14</v>
      </c>
      <c r="AN9" s="70">
        <f t="shared" si="3"/>
        <v>2.3092638912203256E-14</v>
      </c>
      <c r="AO9" s="70">
        <f t="shared" si="3"/>
        <v>2.3092638912203256E-14</v>
      </c>
      <c r="AP9" s="70">
        <f t="shared" si="3"/>
        <v>2.3092638912203256E-14</v>
      </c>
      <c r="AQ9" s="70">
        <f t="shared" si="3"/>
        <v>2.3092638912203256E-14</v>
      </c>
    </row>
    <row r="10" spans="1:118">
      <c r="B10" s="39" t="s">
        <v>171</v>
      </c>
      <c r="I10" s="70">
        <f>I53+I71+I89+I107</f>
        <v>129.94377459066629</v>
      </c>
      <c r="J10" s="70">
        <f t="shared" ref="J10:AQ14" si="4">J53+J71+J89+J107</f>
        <v>77.575334155063913</v>
      </c>
      <c r="K10" s="70">
        <f t="shared" si="4"/>
        <v>77.793014597534778</v>
      </c>
      <c r="L10" s="70">
        <f t="shared" si="4"/>
        <v>94.687876656735043</v>
      </c>
      <c r="M10" s="70">
        <f t="shared" si="4"/>
        <v>0</v>
      </c>
      <c r="N10" s="70">
        <f t="shared" si="4"/>
        <v>0</v>
      </c>
      <c r="O10" s="70">
        <f t="shared" si="4"/>
        <v>0</v>
      </c>
      <c r="P10" s="70">
        <f t="shared" si="4"/>
        <v>0</v>
      </c>
      <c r="Q10" s="70">
        <f t="shared" si="4"/>
        <v>0</v>
      </c>
      <c r="R10" s="70">
        <f t="shared" si="4"/>
        <v>0</v>
      </c>
      <c r="S10" s="70">
        <f t="shared" si="4"/>
        <v>0</v>
      </c>
      <c r="T10" s="70">
        <f t="shared" si="4"/>
        <v>0</v>
      </c>
      <c r="U10" s="70">
        <f t="shared" si="4"/>
        <v>0</v>
      </c>
      <c r="V10" s="70">
        <f t="shared" si="4"/>
        <v>0</v>
      </c>
      <c r="W10" s="70">
        <f t="shared" si="4"/>
        <v>0</v>
      </c>
      <c r="X10" s="70">
        <f t="shared" si="4"/>
        <v>0</v>
      </c>
      <c r="Y10" s="70">
        <f t="shared" si="4"/>
        <v>0</v>
      </c>
      <c r="Z10" s="70">
        <f t="shared" si="4"/>
        <v>0</v>
      </c>
      <c r="AA10" s="70">
        <f t="shared" si="4"/>
        <v>0</v>
      </c>
      <c r="AB10" s="70">
        <f t="shared" si="4"/>
        <v>0</v>
      </c>
      <c r="AC10" s="70">
        <f t="shared" si="4"/>
        <v>0</v>
      </c>
      <c r="AD10" s="70">
        <f t="shared" si="4"/>
        <v>0</v>
      </c>
      <c r="AE10" s="70">
        <f t="shared" si="4"/>
        <v>0</v>
      </c>
      <c r="AF10" s="70">
        <f t="shared" si="4"/>
        <v>0</v>
      </c>
      <c r="AG10" s="70">
        <f t="shared" si="4"/>
        <v>0</v>
      </c>
      <c r="AH10" s="70">
        <f t="shared" si="4"/>
        <v>0</v>
      </c>
      <c r="AI10" s="70">
        <f t="shared" si="4"/>
        <v>0</v>
      </c>
      <c r="AJ10" s="70">
        <f t="shared" si="4"/>
        <v>0</v>
      </c>
      <c r="AK10" s="70">
        <f t="shared" si="4"/>
        <v>0</v>
      </c>
      <c r="AL10" s="70">
        <f t="shared" si="4"/>
        <v>0</v>
      </c>
      <c r="AM10" s="70">
        <f t="shared" si="4"/>
        <v>0</v>
      </c>
      <c r="AN10" s="70">
        <f t="shared" si="4"/>
        <v>0</v>
      </c>
      <c r="AO10" s="70">
        <f t="shared" si="4"/>
        <v>0</v>
      </c>
      <c r="AP10" s="70">
        <f t="shared" si="4"/>
        <v>0</v>
      </c>
      <c r="AQ10" s="70">
        <f t="shared" si="4"/>
        <v>0</v>
      </c>
    </row>
    <row r="11" spans="1:118">
      <c r="B11" s="39" t="s">
        <v>181</v>
      </c>
      <c r="I11" s="70">
        <f t="shared" ref="I11:X14" si="5">I54+I72+I90+I108</f>
        <v>4.3685045273572687</v>
      </c>
      <c r="J11" s="70">
        <f t="shared" si="5"/>
        <v>7.1235277862805324</v>
      </c>
      <c r="K11" s="70">
        <f t="shared" si="5"/>
        <v>9.9786220714497684</v>
      </c>
      <c r="L11" s="70">
        <f t="shared" si="5"/>
        <v>13.497821240238666</v>
      </c>
      <c r="M11" s="70">
        <f t="shared" si="5"/>
        <v>0</v>
      </c>
      <c r="N11" s="70">
        <f t="shared" si="5"/>
        <v>0</v>
      </c>
      <c r="O11" s="70">
        <f t="shared" si="5"/>
        <v>0</v>
      </c>
      <c r="P11" s="70">
        <f t="shared" si="5"/>
        <v>0</v>
      </c>
      <c r="Q11" s="70">
        <f t="shared" si="5"/>
        <v>0</v>
      </c>
      <c r="R11" s="70">
        <f t="shared" si="5"/>
        <v>0</v>
      </c>
      <c r="S11" s="70">
        <f t="shared" si="5"/>
        <v>0</v>
      </c>
      <c r="T11" s="70">
        <f t="shared" si="5"/>
        <v>0</v>
      </c>
      <c r="U11" s="70">
        <f t="shared" si="5"/>
        <v>0</v>
      </c>
      <c r="V11" s="70">
        <f t="shared" si="5"/>
        <v>0</v>
      </c>
      <c r="W11" s="70">
        <f t="shared" si="5"/>
        <v>0</v>
      </c>
      <c r="X11" s="70">
        <f t="shared" si="5"/>
        <v>0</v>
      </c>
      <c r="Y11" s="70">
        <f t="shared" si="4"/>
        <v>0</v>
      </c>
      <c r="Z11" s="70">
        <f t="shared" si="4"/>
        <v>0</v>
      </c>
      <c r="AA11" s="70">
        <f t="shared" si="4"/>
        <v>0</v>
      </c>
      <c r="AB11" s="70">
        <f t="shared" si="4"/>
        <v>0</v>
      </c>
      <c r="AC11" s="70">
        <f t="shared" si="4"/>
        <v>0</v>
      </c>
      <c r="AD11" s="70">
        <f t="shared" si="4"/>
        <v>0</v>
      </c>
      <c r="AE11" s="70">
        <f t="shared" si="4"/>
        <v>0</v>
      </c>
      <c r="AF11" s="70">
        <f t="shared" si="4"/>
        <v>0</v>
      </c>
      <c r="AG11" s="70">
        <f t="shared" si="4"/>
        <v>0</v>
      </c>
      <c r="AH11" s="70">
        <f t="shared" si="4"/>
        <v>0</v>
      </c>
      <c r="AI11" s="70">
        <f t="shared" si="4"/>
        <v>0</v>
      </c>
      <c r="AJ11" s="70">
        <f t="shared" si="4"/>
        <v>0</v>
      </c>
      <c r="AK11" s="70">
        <f t="shared" si="4"/>
        <v>0</v>
      </c>
      <c r="AL11" s="70">
        <f t="shared" si="4"/>
        <v>0</v>
      </c>
      <c r="AM11" s="70">
        <f t="shared" si="4"/>
        <v>0</v>
      </c>
      <c r="AN11" s="70">
        <f t="shared" si="4"/>
        <v>0</v>
      </c>
      <c r="AO11" s="70">
        <f t="shared" si="4"/>
        <v>0</v>
      </c>
      <c r="AP11" s="70">
        <f t="shared" si="4"/>
        <v>0</v>
      </c>
      <c r="AQ11" s="70">
        <f t="shared" si="4"/>
        <v>0</v>
      </c>
    </row>
    <row r="12" spans="1:118">
      <c r="B12" s="39" t="s">
        <v>172</v>
      </c>
      <c r="I12" s="70">
        <f t="shared" si="5"/>
        <v>0</v>
      </c>
      <c r="J12" s="70">
        <f t="shared" si="4"/>
        <v>0</v>
      </c>
      <c r="K12" s="70">
        <f t="shared" si="4"/>
        <v>0</v>
      </c>
      <c r="L12" s="70">
        <f t="shared" si="4"/>
        <v>0</v>
      </c>
      <c r="M12" s="70">
        <f t="shared" si="4"/>
        <v>-23.985035090477677</v>
      </c>
      <c r="N12" s="70">
        <f t="shared" si="4"/>
        <v>-23.985035090477677</v>
      </c>
      <c r="O12" s="70">
        <f t="shared" si="4"/>
        <v>-23.985035090477677</v>
      </c>
      <c r="P12" s="70">
        <f t="shared" si="4"/>
        <v>-23.985035090477677</v>
      </c>
      <c r="Q12" s="70">
        <f t="shared" si="4"/>
        <v>-23.985035090477677</v>
      </c>
      <c r="R12" s="70">
        <f t="shared" si="4"/>
        <v>-23.985035090477677</v>
      </c>
      <c r="S12" s="70">
        <f t="shared" si="4"/>
        <v>-23.985035090477677</v>
      </c>
      <c r="T12" s="70">
        <f t="shared" si="4"/>
        <v>-23.985035090477677</v>
      </c>
      <c r="U12" s="70">
        <f t="shared" si="4"/>
        <v>-23.985035090477677</v>
      </c>
      <c r="V12" s="70">
        <f t="shared" si="4"/>
        <v>-23.985035090477677</v>
      </c>
      <c r="W12" s="70">
        <f t="shared" si="4"/>
        <v>-23.985035090477677</v>
      </c>
      <c r="X12" s="70">
        <f t="shared" si="4"/>
        <v>-23.985035090477677</v>
      </c>
      <c r="Y12" s="70">
        <f t="shared" si="4"/>
        <v>-23.985035090477677</v>
      </c>
      <c r="Z12" s="70">
        <f t="shared" si="4"/>
        <v>-23.985035090477677</v>
      </c>
      <c r="AA12" s="70">
        <f t="shared" si="4"/>
        <v>-23.985035090477677</v>
      </c>
      <c r="AB12" s="70">
        <f t="shared" si="4"/>
        <v>-23.985035090477677</v>
      </c>
      <c r="AC12" s="70">
        <f t="shared" si="4"/>
        <v>-16.499203227094945</v>
      </c>
      <c r="AD12" s="70">
        <f t="shared" si="4"/>
        <v>-10.09421339746266</v>
      </c>
      <c r="AE12" s="70">
        <f t="shared" si="4"/>
        <v>-4.6144975531257879</v>
      </c>
      <c r="AF12" s="70">
        <f t="shared" si="4"/>
        <v>0</v>
      </c>
      <c r="AG12" s="70">
        <f t="shared" si="4"/>
        <v>0</v>
      </c>
      <c r="AH12" s="70">
        <f t="shared" si="4"/>
        <v>0</v>
      </c>
      <c r="AI12" s="70">
        <f t="shared" si="4"/>
        <v>0</v>
      </c>
      <c r="AJ12" s="70">
        <f t="shared" si="4"/>
        <v>0</v>
      </c>
      <c r="AK12" s="70">
        <f t="shared" si="4"/>
        <v>0</v>
      </c>
      <c r="AL12" s="70">
        <f t="shared" si="4"/>
        <v>0</v>
      </c>
      <c r="AM12" s="70">
        <f t="shared" si="4"/>
        <v>0</v>
      </c>
      <c r="AN12" s="70">
        <f t="shared" si="4"/>
        <v>0</v>
      </c>
      <c r="AO12" s="70">
        <f t="shared" si="4"/>
        <v>0</v>
      </c>
      <c r="AP12" s="70">
        <f t="shared" si="4"/>
        <v>0</v>
      </c>
      <c r="AQ12" s="70">
        <f t="shared" si="4"/>
        <v>0</v>
      </c>
    </row>
    <row r="13" spans="1:118">
      <c r="B13" s="121" t="s">
        <v>173</v>
      </c>
      <c r="C13" s="118"/>
      <c r="D13" s="118"/>
      <c r="E13" s="118"/>
      <c r="F13" s="118"/>
      <c r="G13" s="118"/>
      <c r="H13" s="118"/>
      <c r="I13" s="122">
        <f t="shared" si="5"/>
        <v>0</v>
      </c>
      <c r="J13" s="122">
        <f t="shared" si="4"/>
        <v>0</v>
      </c>
      <c r="K13" s="122">
        <f t="shared" si="4"/>
        <v>0</v>
      </c>
      <c r="L13" s="122">
        <f t="shared" si="4"/>
        <v>0</v>
      </c>
      <c r="M13" s="122">
        <f t="shared" si="4"/>
        <v>0</v>
      </c>
      <c r="N13" s="122">
        <f t="shared" si="4"/>
        <v>0</v>
      </c>
      <c r="O13" s="122">
        <f t="shared" si="4"/>
        <v>0</v>
      </c>
      <c r="P13" s="122">
        <f t="shared" si="4"/>
        <v>0</v>
      </c>
      <c r="Q13" s="122">
        <f t="shared" si="4"/>
        <v>0</v>
      </c>
      <c r="R13" s="122">
        <f t="shared" si="4"/>
        <v>0</v>
      </c>
      <c r="S13" s="122">
        <f t="shared" si="4"/>
        <v>0</v>
      </c>
      <c r="T13" s="122">
        <f t="shared" si="4"/>
        <v>0</v>
      </c>
      <c r="U13" s="122">
        <f t="shared" si="4"/>
        <v>0</v>
      </c>
      <c r="V13" s="122">
        <f t="shared" si="4"/>
        <v>0</v>
      </c>
      <c r="W13" s="122">
        <f t="shared" si="4"/>
        <v>0</v>
      </c>
      <c r="X13" s="122">
        <f t="shared" si="4"/>
        <v>0</v>
      </c>
      <c r="Y13" s="122">
        <f t="shared" si="4"/>
        <v>0</v>
      </c>
      <c r="Z13" s="122">
        <f t="shared" si="4"/>
        <v>0</v>
      </c>
      <c r="AA13" s="122">
        <f t="shared" si="4"/>
        <v>0</v>
      </c>
      <c r="AB13" s="122">
        <f t="shared" si="4"/>
        <v>0</v>
      </c>
      <c r="AC13" s="122">
        <f t="shared" si="4"/>
        <v>0</v>
      </c>
      <c r="AD13" s="122">
        <f t="shared" si="4"/>
        <v>0</v>
      </c>
      <c r="AE13" s="122">
        <f t="shared" si="4"/>
        <v>0</v>
      </c>
      <c r="AF13" s="122">
        <f t="shared" si="4"/>
        <v>0</v>
      </c>
      <c r="AG13" s="122">
        <f t="shared" si="4"/>
        <v>0</v>
      </c>
      <c r="AH13" s="122">
        <f t="shared" si="4"/>
        <v>0</v>
      </c>
      <c r="AI13" s="122">
        <f t="shared" si="4"/>
        <v>0</v>
      </c>
      <c r="AJ13" s="122">
        <f t="shared" si="4"/>
        <v>0</v>
      </c>
      <c r="AK13" s="122">
        <f t="shared" si="4"/>
        <v>0</v>
      </c>
      <c r="AL13" s="122">
        <f t="shared" si="4"/>
        <v>0</v>
      </c>
      <c r="AM13" s="122">
        <f t="shared" si="4"/>
        <v>0</v>
      </c>
      <c r="AN13" s="122">
        <f t="shared" si="4"/>
        <v>0</v>
      </c>
      <c r="AO13" s="122">
        <f t="shared" si="4"/>
        <v>0</v>
      </c>
      <c r="AP13" s="122">
        <f t="shared" si="4"/>
        <v>0</v>
      </c>
      <c r="AQ13" s="122">
        <f t="shared" si="4"/>
        <v>0</v>
      </c>
    </row>
    <row r="14" spans="1:118">
      <c r="B14" s="15" t="s">
        <v>152</v>
      </c>
      <c r="C14" s="48"/>
      <c r="D14" s="48"/>
      <c r="E14" s="48"/>
      <c r="F14" s="48"/>
      <c r="G14" s="48"/>
      <c r="H14" s="48"/>
      <c r="I14" s="58">
        <f t="shared" si="5"/>
        <v>134.31227911802355</v>
      </c>
      <c r="J14" s="58">
        <f t="shared" si="4"/>
        <v>219.01114105936801</v>
      </c>
      <c r="K14" s="58">
        <f t="shared" si="4"/>
        <v>306.78277772835258</v>
      </c>
      <c r="L14" s="58">
        <f t="shared" si="4"/>
        <v>414.96847562532628</v>
      </c>
      <c r="M14" s="58">
        <f t="shared" si="4"/>
        <v>390.98344053484863</v>
      </c>
      <c r="N14" s="58">
        <f t="shared" si="4"/>
        <v>366.99840544437097</v>
      </c>
      <c r="O14" s="58">
        <f t="shared" si="4"/>
        <v>343.01337035389321</v>
      </c>
      <c r="P14" s="58">
        <f t="shared" si="4"/>
        <v>319.02833526341556</v>
      </c>
      <c r="Q14" s="58">
        <f t="shared" si="4"/>
        <v>295.0433001729379</v>
      </c>
      <c r="R14" s="58">
        <f t="shared" si="4"/>
        <v>271.0582650824602</v>
      </c>
      <c r="S14" s="58">
        <f t="shared" si="4"/>
        <v>247.07322999198249</v>
      </c>
      <c r="T14" s="58">
        <f t="shared" si="4"/>
        <v>223.08819490150483</v>
      </c>
      <c r="U14" s="58">
        <f t="shared" si="4"/>
        <v>199.10315981102718</v>
      </c>
      <c r="V14" s="58">
        <f t="shared" si="4"/>
        <v>175.11812472054947</v>
      </c>
      <c r="W14" s="58">
        <f t="shared" si="4"/>
        <v>151.13308963007182</v>
      </c>
      <c r="X14" s="58">
        <f t="shared" si="4"/>
        <v>127.14805453959413</v>
      </c>
      <c r="Y14" s="58">
        <f t="shared" si="4"/>
        <v>103.16301944911645</v>
      </c>
      <c r="Z14" s="58">
        <f t="shared" si="4"/>
        <v>79.177984358638767</v>
      </c>
      <c r="AA14" s="58">
        <f t="shared" si="4"/>
        <v>55.192949268161094</v>
      </c>
      <c r="AB14" s="58">
        <f t="shared" si="4"/>
        <v>31.207914177683417</v>
      </c>
      <c r="AC14" s="58">
        <f t="shared" si="4"/>
        <v>14.708710950588472</v>
      </c>
      <c r="AD14" s="58">
        <f t="shared" si="4"/>
        <v>4.614497553125811</v>
      </c>
      <c r="AE14" s="58">
        <f t="shared" si="4"/>
        <v>2.3092638912203256E-14</v>
      </c>
      <c r="AF14" s="58">
        <f t="shared" si="4"/>
        <v>2.3092638912203256E-14</v>
      </c>
      <c r="AG14" s="58">
        <f t="shared" si="4"/>
        <v>2.3092638912203256E-14</v>
      </c>
      <c r="AH14" s="58">
        <f t="shared" si="4"/>
        <v>2.3092638912203256E-14</v>
      </c>
      <c r="AI14" s="58">
        <f t="shared" si="4"/>
        <v>2.3092638912203256E-14</v>
      </c>
      <c r="AJ14" s="58">
        <f t="shared" si="4"/>
        <v>2.3092638912203256E-14</v>
      </c>
      <c r="AK14" s="58">
        <f t="shared" si="4"/>
        <v>2.3092638912203256E-14</v>
      </c>
      <c r="AL14" s="58">
        <f t="shared" si="4"/>
        <v>2.3092638912203256E-14</v>
      </c>
      <c r="AM14" s="58">
        <f t="shared" si="4"/>
        <v>2.3092638912203256E-14</v>
      </c>
      <c r="AN14" s="58">
        <f t="shared" si="4"/>
        <v>2.3092638912203256E-14</v>
      </c>
      <c r="AO14" s="58">
        <f t="shared" si="4"/>
        <v>2.3092638912203256E-14</v>
      </c>
      <c r="AP14" s="58">
        <f t="shared" si="4"/>
        <v>2.3092638912203256E-14</v>
      </c>
      <c r="AQ14" s="58">
        <f t="shared" si="4"/>
        <v>2.3092638912203256E-14</v>
      </c>
    </row>
    <row r="15" spans="1:118" s="7" customFormat="1">
      <c r="B15" s="160" t="s">
        <v>210</v>
      </c>
      <c r="I15" s="161">
        <f>IF(I14&gt;0.0001,1,0)</f>
        <v>1</v>
      </c>
      <c r="J15" s="161">
        <f t="shared" ref="J15:AQ15" si="6">IF(J14&gt;0.0001,1,0)</f>
        <v>1</v>
      </c>
      <c r="K15" s="161">
        <f t="shared" si="6"/>
        <v>1</v>
      </c>
      <c r="L15" s="161">
        <f t="shared" si="6"/>
        <v>1</v>
      </c>
      <c r="M15" s="161">
        <f t="shared" si="6"/>
        <v>1</v>
      </c>
      <c r="N15" s="161">
        <f t="shared" si="6"/>
        <v>1</v>
      </c>
      <c r="O15" s="161">
        <f t="shared" si="6"/>
        <v>1</v>
      </c>
      <c r="P15" s="161">
        <f t="shared" si="6"/>
        <v>1</v>
      </c>
      <c r="Q15" s="161">
        <f t="shared" si="6"/>
        <v>1</v>
      </c>
      <c r="R15" s="161">
        <f t="shared" si="6"/>
        <v>1</v>
      </c>
      <c r="S15" s="161">
        <f t="shared" si="6"/>
        <v>1</v>
      </c>
      <c r="T15" s="161">
        <f t="shared" si="6"/>
        <v>1</v>
      </c>
      <c r="U15" s="161">
        <f t="shared" si="6"/>
        <v>1</v>
      </c>
      <c r="V15" s="161">
        <f t="shared" si="6"/>
        <v>1</v>
      </c>
      <c r="W15" s="161">
        <f t="shared" si="6"/>
        <v>1</v>
      </c>
      <c r="X15" s="161">
        <f t="shared" si="6"/>
        <v>1</v>
      </c>
      <c r="Y15" s="161">
        <f t="shared" si="6"/>
        <v>1</v>
      </c>
      <c r="Z15" s="161">
        <f t="shared" si="6"/>
        <v>1</v>
      </c>
      <c r="AA15" s="161">
        <f t="shared" si="6"/>
        <v>1</v>
      </c>
      <c r="AB15" s="161">
        <f t="shared" si="6"/>
        <v>1</v>
      </c>
      <c r="AC15" s="161">
        <f t="shared" si="6"/>
        <v>1</v>
      </c>
      <c r="AD15" s="161">
        <f t="shared" si="6"/>
        <v>1</v>
      </c>
      <c r="AE15" s="161">
        <f t="shared" si="6"/>
        <v>0</v>
      </c>
      <c r="AF15" s="161">
        <f t="shared" si="6"/>
        <v>0</v>
      </c>
      <c r="AG15" s="161">
        <f t="shared" si="6"/>
        <v>0</v>
      </c>
      <c r="AH15" s="161">
        <f t="shared" si="6"/>
        <v>0</v>
      </c>
      <c r="AI15" s="161">
        <f t="shared" si="6"/>
        <v>0</v>
      </c>
      <c r="AJ15" s="161">
        <f t="shared" si="6"/>
        <v>0</v>
      </c>
      <c r="AK15" s="161">
        <f t="shared" si="6"/>
        <v>0</v>
      </c>
      <c r="AL15" s="161">
        <f t="shared" si="6"/>
        <v>0</v>
      </c>
      <c r="AM15" s="161">
        <f t="shared" si="6"/>
        <v>0</v>
      </c>
      <c r="AN15" s="161">
        <f t="shared" si="6"/>
        <v>0</v>
      </c>
      <c r="AO15" s="161">
        <f t="shared" si="6"/>
        <v>0</v>
      </c>
      <c r="AP15" s="161">
        <f t="shared" si="6"/>
        <v>0</v>
      </c>
      <c r="AQ15" s="161">
        <f t="shared" si="6"/>
        <v>0</v>
      </c>
    </row>
    <row r="16" spans="1:118">
      <c r="B16" s="11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</row>
    <row r="17" spans="2:43">
      <c r="B17" s="7" t="s">
        <v>149</v>
      </c>
      <c r="C17" s="7"/>
      <c r="D17" s="7"/>
      <c r="E17" s="7"/>
      <c r="F17" s="7"/>
      <c r="G17" s="7"/>
      <c r="H17" s="7"/>
      <c r="I17" s="157">
        <f>I60+I78+I96+I114</f>
        <v>4.3685045273572687</v>
      </c>
      <c r="J17" s="157">
        <f t="shared" ref="J17:AQ17" si="7">J60+J78+J96+J114</f>
        <v>7.1235277862805324</v>
      </c>
      <c r="K17" s="157">
        <f t="shared" si="7"/>
        <v>9.9786220714497684</v>
      </c>
      <c r="L17" s="157">
        <f t="shared" si="7"/>
        <v>13.497821240238666</v>
      </c>
      <c r="M17" s="157">
        <f t="shared" si="7"/>
        <v>13.147502130657557</v>
      </c>
      <c r="N17" s="157">
        <f t="shared" si="7"/>
        <v>12.342752956723377</v>
      </c>
      <c r="O17" s="157">
        <f t="shared" si="7"/>
        <v>11.538003782789193</v>
      </c>
      <c r="P17" s="157">
        <f t="shared" si="7"/>
        <v>10.733254608855013</v>
      </c>
      <c r="Q17" s="157">
        <f t="shared" si="7"/>
        <v>9.9285054349208313</v>
      </c>
      <c r="R17" s="157">
        <f t="shared" si="7"/>
        <v>9.1237562609866512</v>
      </c>
      <c r="S17" s="157">
        <f t="shared" si="7"/>
        <v>8.3190070870524711</v>
      </c>
      <c r="T17" s="157">
        <f t="shared" si="7"/>
        <v>7.5142579131182892</v>
      </c>
      <c r="U17" s="157">
        <f t="shared" si="7"/>
        <v>6.7095087391841082</v>
      </c>
      <c r="V17" s="157">
        <f t="shared" si="7"/>
        <v>5.9047595652499254</v>
      </c>
      <c r="W17" s="157">
        <f t="shared" si="7"/>
        <v>5.1000103913157453</v>
      </c>
      <c r="X17" s="157">
        <f t="shared" si="7"/>
        <v>4.2952612173815634</v>
      </c>
      <c r="Y17" s="157">
        <f t="shared" si="7"/>
        <v>3.4905120434473824</v>
      </c>
      <c r="Z17" s="157">
        <f t="shared" si="7"/>
        <v>2.685762869513201</v>
      </c>
      <c r="AA17" s="157">
        <f t="shared" si="7"/>
        <v>1.8810136955790202</v>
      </c>
      <c r="AB17" s="157">
        <f t="shared" si="7"/>
        <v>1.076264521644839</v>
      </c>
      <c r="AC17" s="157">
        <f t="shared" si="7"/>
        <v>0.51480488327059648</v>
      </c>
      <c r="AD17" s="157">
        <f t="shared" si="7"/>
        <v>0.16150741435940336</v>
      </c>
      <c r="AE17" s="157">
        <f t="shared" si="7"/>
        <v>7.8159700933611021E-16</v>
      </c>
      <c r="AF17" s="157">
        <f t="shared" si="7"/>
        <v>7.8159700933611021E-16</v>
      </c>
      <c r="AG17" s="157">
        <f t="shared" si="7"/>
        <v>7.8159700933611021E-16</v>
      </c>
      <c r="AH17" s="157">
        <f t="shared" si="7"/>
        <v>7.8159700933611021E-16</v>
      </c>
      <c r="AI17" s="157">
        <f t="shared" si="7"/>
        <v>7.8159700933611021E-16</v>
      </c>
      <c r="AJ17" s="157">
        <f t="shared" si="7"/>
        <v>7.8159700933611021E-16</v>
      </c>
      <c r="AK17" s="157">
        <f t="shared" si="7"/>
        <v>7.8159700933611021E-16</v>
      </c>
      <c r="AL17" s="157">
        <f t="shared" si="7"/>
        <v>7.8159700933611021E-16</v>
      </c>
      <c r="AM17" s="157">
        <f t="shared" si="7"/>
        <v>7.8159700933611021E-16</v>
      </c>
      <c r="AN17" s="157">
        <f t="shared" si="7"/>
        <v>7.8159700933611021E-16</v>
      </c>
      <c r="AO17" s="157">
        <f t="shared" si="7"/>
        <v>7.8159700933611021E-16</v>
      </c>
      <c r="AP17" s="157">
        <f t="shared" si="7"/>
        <v>7.8159700933611021E-16</v>
      </c>
      <c r="AQ17" s="157">
        <f t="shared" si="7"/>
        <v>7.8159700933611021E-16</v>
      </c>
    </row>
    <row r="18" spans="2:43">
      <c r="B18" s="117" t="s">
        <v>206</v>
      </c>
      <c r="C18" s="118"/>
      <c r="D18" s="118"/>
      <c r="E18" s="118"/>
      <c r="F18" s="118"/>
      <c r="G18" s="118"/>
      <c r="H18" s="118"/>
      <c r="I18" s="156">
        <f>I17/((I14+I9)/2)</f>
        <v>6.5049964992680301E-2</v>
      </c>
      <c r="J18" s="156">
        <f t="shared" ref="J18:AQ18" si="8">J17/((J14+J9)/2)</f>
        <v>3.6988358820312213E-2</v>
      </c>
      <c r="K18" s="156">
        <f t="shared" si="8"/>
        <v>3.4541354555185921E-2</v>
      </c>
      <c r="L18" s="156">
        <f t="shared" si="8"/>
        <v>3.3972825719339454E-2</v>
      </c>
      <c r="M18" s="156">
        <f t="shared" si="8"/>
        <v>2.9068525233657095E-2</v>
      </c>
      <c r="N18" s="156">
        <f t="shared" si="8"/>
        <v>2.9002975394966598E-2</v>
      </c>
      <c r="O18" s="156">
        <f t="shared" si="8"/>
        <v>2.8928641098600775E-2</v>
      </c>
      <c r="P18" s="156">
        <f t="shared" si="8"/>
        <v>2.8843629693011404E-2</v>
      </c>
      <c r="Q18" s="156">
        <f t="shared" si="8"/>
        <v>2.8745462749998261E-2</v>
      </c>
      <c r="R18" s="156">
        <f t="shared" si="8"/>
        <v>2.863083043646299E-2</v>
      </c>
      <c r="S18" s="156">
        <f t="shared" si="8"/>
        <v>2.8495210975612056E-2</v>
      </c>
      <c r="T18" s="156">
        <f t="shared" si="8"/>
        <v>2.8332260037473227E-2</v>
      </c>
      <c r="U18" s="156">
        <f t="shared" si="8"/>
        <v>2.8132789591900072E-2</v>
      </c>
      <c r="V18" s="156">
        <f t="shared" si="8"/>
        <v>2.7882973560663552E-2</v>
      </c>
      <c r="W18" s="156">
        <f t="shared" si="8"/>
        <v>2.7560998586361077E-2</v>
      </c>
      <c r="X18" s="156">
        <f t="shared" si="8"/>
        <v>2.7130322630478373E-2</v>
      </c>
      <c r="Y18" s="156">
        <f t="shared" si="8"/>
        <v>2.6524719109923545E-2</v>
      </c>
      <c r="Z18" s="156">
        <f t="shared" si="8"/>
        <v>2.5610453026753851E-2</v>
      </c>
      <c r="AA18" s="156">
        <f t="shared" si="8"/>
        <v>2.4070844439437147E-2</v>
      </c>
      <c r="AB18" s="156">
        <f t="shared" si="8"/>
        <v>2.0930851939837482E-2</v>
      </c>
      <c r="AC18" s="156">
        <f t="shared" si="8"/>
        <v>1.810269248894961E-2</v>
      </c>
      <c r="AD18" s="156">
        <f t="shared" si="8"/>
        <v>1.3023255813953527E-2</v>
      </c>
      <c r="AE18" s="156">
        <f t="shared" si="8"/>
        <v>3.3875714542601105E-16</v>
      </c>
      <c r="AF18" s="156">
        <f t="shared" si="8"/>
        <v>3.3846153846153845E-2</v>
      </c>
      <c r="AG18" s="156">
        <f t="shared" si="8"/>
        <v>3.3846153846153845E-2</v>
      </c>
      <c r="AH18" s="156">
        <f t="shared" si="8"/>
        <v>3.3846153846153845E-2</v>
      </c>
      <c r="AI18" s="156">
        <f t="shared" si="8"/>
        <v>3.3846153846153845E-2</v>
      </c>
      <c r="AJ18" s="156">
        <f t="shared" si="8"/>
        <v>3.3846153846153845E-2</v>
      </c>
      <c r="AK18" s="156">
        <f t="shared" si="8"/>
        <v>3.3846153846153845E-2</v>
      </c>
      <c r="AL18" s="156">
        <f t="shared" si="8"/>
        <v>3.3846153846153845E-2</v>
      </c>
      <c r="AM18" s="156">
        <f t="shared" si="8"/>
        <v>3.3846153846153845E-2</v>
      </c>
      <c r="AN18" s="156">
        <f t="shared" si="8"/>
        <v>3.3846153846153845E-2</v>
      </c>
      <c r="AO18" s="156">
        <f t="shared" si="8"/>
        <v>3.3846153846153845E-2</v>
      </c>
      <c r="AP18" s="156">
        <f t="shared" si="8"/>
        <v>3.3846153846153845E-2</v>
      </c>
      <c r="AQ18" s="156">
        <f t="shared" si="8"/>
        <v>3.3846153846153845E-2</v>
      </c>
    </row>
    <row r="19" spans="2:43">
      <c r="B19" s="15" t="s">
        <v>207</v>
      </c>
      <c r="C19" s="15"/>
      <c r="D19" s="15"/>
      <c r="E19" s="15"/>
      <c r="F19" s="15"/>
      <c r="G19" s="15"/>
      <c r="H19" s="15"/>
      <c r="I19" s="58">
        <f>SUM(-I12,I17)</f>
        <v>4.3685045273572687</v>
      </c>
      <c r="J19" s="58">
        <f t="shared" ref="J19:AQ19" si="9">SUM(-J12,J17)</f>
        <v>7.1235277862805324</v>
      </c>
      <c r="K19" s="58">
        <f t="shared" si="9"/>
        <v>9.9786220714497684</v>
      </c>
      <c r="L19" s="58">
        <f t="shared" si="9"/>
        <v>13.497821240238666</v>
      </c>
      <c r="M19" s="58">
        <f t="shared" si="9"/>
        <v>37.132537221135237</v>
      </c>
      <c r="N19" s="58">
        <f t="shared" si="9"/>
        <v>36.327788047201054</v>
      </c>
      <c r="O19" s="58">
        <f t="shared" si="9"/>
        <v>35.52303887326687</v>
      </c>
      <c r="P19" s="58">
        <f t="shared" si="9"/>
        <v>34.718289699332686</v>
      </c>
      <c r="Q19" s="58">
        <f t="shared" si="9"/>
        <v>33.91354052539851</v>
      </c>
      <c r="R19" s="58">
        <f t="shared" si="9"/>
        <v>33.108791351464326</v>
      </c>
      <c r="S19" s="58">
        <f t="shared" si="9"/>
        <v>32.30404217753015</v>
      </c>
      <c r="T19" s="58">
        <f t="shared" si="9"/>
        <v>31.499293003595966</v>
      </c>
      <c r="U19" s="58">
        <f t="shared" si="9"/>
        <v>30.694543829661786</v>
      </c>
      <c r="V19" s="58">
        <f t="shared" si="9"/>
        <v>29.889794655727602</v>
      </c>
      <c r="W19" s="58">
        <f t="shared" si="9"/>
        <v>29.085045481793422</v>
      </c>
      <c r="X19" s="58">
        <f t="shared" si="9"/>
        <v>28.280296307859238</v>
      </c>
      <c r="Y19" s="58">
        <f t="shared" si="9"/>
        <v>27.475547133925058</v>
      </c>
      <c r="Z19" s="58">
        <f t="shared" si="9"/>
        <v>26.670797959990878</v>
      </c>
      <c r="AA19" s="58">
        <f t="shared" si="9"/>
        <v>25.866048786056698</v>
      </c>
      <c r="AB19" s="58">
        <f t="shared" si="9"/>
        <v>25.061299612122514</v>
      </c>
      <c r="AC19" s="58">
        <f t="shared" si="9"/>
        <v>17.014008110365541</v>
      </c>
      <c r="AD19" s="58">
        <f t="shared" si="9"/>
        <v>10.255720811822064</v>
      </c>
      <c r="AE19" s="58">
        <f t="shared" si="9"/>
        <v>4.6144975531257888</v>
      </c>
      <c r="AF19" s="58">
        <f t="shared" si="9"/>
        <v>7.8159700933611021E-16</v>
      </c>
      <c r="AG19" s="58">
        <f t="shared" si="9"/>
        <v>7.8159700933611021E-16</v>
      </c>
      <c r="AH19" s="58">
        <f t="shared" si="9"/>
        <v>7.8159700933611021E-16</v>
      </c>
      <c r="AI19" s="58">
        <f t="shared" si="9"/>
        <v>7.8159700933611021E-16</v>
      </c>
      <c r="AJ19" s="58">
        <f t="shared" si="9"/>
        <v>7.8159700933611021E-16</v>
      </c>
      <c r="AK19" s="58">
        <f t="shared" si="9"/>
        <v>7.8159700933611021E-16</v>
      </c>
      <c r="AL19" s="58">
        <f t="shared" si="9"/>
        <v>7.8159700933611021E-16</v>
      </c>
      <c r="AM19" s="58">
        <f t="shared" si="9"/>
        <v>7.8159700933611021E-16</v>
      </c>
      <c r="AN19" s="58">
        <f t="shared" si="9"/>
        <v>7.8159700933611021E-16</v>
      </c>
      <c r="AO19" s="58">
        <f t="shared" si="9"/>
        <v>7.8159700933611021E-16</v>
      </c>
      <c r="AP19" s="58">
        <f t="shared" si="9"/>
        <v>7.8159700933611021E-16</v>
      </c>
      <c r="AQ19" s="58">
        <f t="shared" si="9"/>
        <v>7.8159700933611021E-16</v>
      </c>
    </row>
    <row r="20" spans="2:43">
      <c r="I20" s="134"/>
    </row>
    <row r="21" spans="2:43">
      <c r="B21" s="3" t="s">
        <v>205</v>
      </c>
      <c r="I21" s="134">
        <f>'Cash Flow Waterfall'!I45</f>
        <v>1.6438356164383663</v>
      </c>
      <c r="J21" s="134">
        <f>'Cash Flow Waterfall'!J45</f>
        <v>3.2876712328743452E-2</v>
      </c>
      <c r="K21" s="134">
        <f>'Cash Flow Waterfall'!K45</f>
        <v>3.3534246575328552E-2</v>
      </c>
      <c r="L21" s="134">
        <f>'Cash Flow Waterfall'!L45</f>
        <v>3.4204931506849334E-2</v>
      </c>
      <c r="M21" s="134">
        <f>'Cash Flow Waterfall'!M45</f>
        <v>359.06650200408626</v>
      </c>
      <c r="N21" s="134">
        <f>'Cash Flow Waterfall'!N45</f>
        <v>435.30300076015726</v>
      </c>
      <c r="O21" s="134">
        <f>'Cash Flow Waterfall'!O45</f>
        <v>437.33709304378635</v>
      </c>
      <c r="P21" s="134">
        <f>'Cash Flow Waterfall'!P45</f>
        <v>439.36281291730575</v>
      </c>
      <c r="Q21" s="134">
        <f>'Cash Flow Waterfall'!Q45</f>
        <v>441.37999293251278</v>
      </c>
      <c r="R21" s="134">
        <f>'Cash Flow Waterfall'!R45</f>
        <v>443.38846229224191</v>
      </c>
      <c r="S21" s="134">
        <f>'Cash Flow Waterfall'!S45</f>
        <v>445.38804678338261</v>
      </c>
      <c r="T21" s="134">
        <f>'Cash Flow Waterfall'!T45</f>
        <v>447.3785687085641</v>
      </c>
      <c r="U21" s="134">
        <f>'Cash Flow Waterfall'!U45</f>
        <v>344.03953431646664</v>
      </c>
      <c r="V21" s="134">
        <f>'Cash Flow Waterfall'!V45</f>
        <v>453.19107123074491</v>
      </c>
      <c r="W21" s="134">
        <f>'Cash Flow Waterfall'!W45</f>
        <v>455.15330337752584</v>
      </c>
      <c r="X21" s="134">
        <f>'Cash Flow Waterfall'!X45</f>
        <v>457.10572591146024</v>
      </c>
      <c r="Y21" s="134">
        <f>'Cash Flow Waterfall'!Y45</f>
        <v>459.04814264029085</v>
      </c>
      <c r="Z21" s="134">
        <f>'Cash Flow Waterfall'!Z45</f>
        <v>460.9803534479156</v>
      </c>
      <c r="AA21" s="134">
        <f>'Cash Flow Waterfall'!AA45</f>
        <v>462.9021542159104</v>
      </c>
      <c r="AB21" s="134">
        <f>'Cash Flow Waterfall'!AB45</f>
        <v>464.81333674348252</v>
      </c>
      <c r="AC21" s="134">
        <f>'Cash Flow Waterfall'!AC45</f>
        <v>359.56446500326979</v>
      </c>
      <c r="AD21" s="134">
        <f>'Cash Flow Waterfall'!AD45</f>
        <v>465.78365280503328</v>
      </c>
      <c r="AE21" s="134">
        <f>'Cash Flow Waterfall'!AE45</f>
        <v>465.69932396420768</v>
      </c>
      <c r="AF21" s="134">
        <f>'Cash Flow Waterfall'!AF45</f>
        <v>465.38659169349182</v>
      </c>
      <c r="AG21" s="134">
        <f>'Cash Flow Waterfall'!AG45</f>
        <v>464.7886985273617</v>
      </c>
      <c r="AH21" s="134">
        <f>'Cash Flow Waterfall'!AH45</f>
        <v>464.17884749790892</v>
      </c>
      <c r="AI21" s="134">
        <f>'Cash Flow Waterfall'!AI45</f>
        <v>463.55679944786698</v>
      </c>
      <c r="AJ21" s="134">
        <f>'Cash Flow Waterfall'!AJ45</f>
        <v>462.92231043682443</v>
      </c>
      <c r="AK21" s="134">
        <f>'Cash Flow Waterfall'!AK45</f>
        <v>356.95481914556103</v>
      </c>
      <c r="AL21" s="134">
        <f>'Cash Flow Waterfall'!AL45</f>
        <v>463.47438427847237</v>
      </c>
      <c r="AM21" s="134">
        <f>'Cash Flow Waterfall'!AM45</f>
        <v>461.55252220892203</v>
      </c>
      <c r="AN21" s="134">
        <f>'Cash Flow Waterfall'!AN45</f>
        <v>460.66003099675049</v>
      </c>
      <c r="AO21" s="134">
        <f>'Cash Flow Waterfall'!AO45</f>
        <v>459.00073161668524</v>
      </c>
      <c r="AP21" s="134">
        <f>'Cash Flow Waterfall'!AP45</f>
        <v>457.32683999901906</v>
      </c>
      <c r="AQ21" s="134">
        <f>'Cash Flow Waterfall'!AQ45</f>
        <v>456.56775179899932</v>
      </c>
    </row>
    <row r="22" spans="2:43"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</row>
    <row r="23" spans="2:43">
      <c r="B23" s="11" t="s">
        <v>212</v>
      </c>
      <c r="G23" s="177" t="s">
        <v>197</v>
      </c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</row>
    <row r="24" spans="2:43">
      <c r="B24" s="165" t="s">
        <v>208</v>
      </c>
      <c r="C24" s="166"/>
      <c r="D24" s="166"/>
      <c r="E24" s="166"/>
      <c r="F24" s="166"/>
      <c r="G24" s="175">
        <f>'Financing Assumptions'!R34</f>
        <v>1</v>
      </c>
      <c r="H24" s="166"/>
      <c r="I24" s="167" t="str">
        <f t="shared" ref="I24:AQ24" si="10">IF(OR(I8&lt;COD,I15=0),"n/a",I21/I19)</f>
        <v>n/a</v>
      </c>
      <c r="J24" s="167" t="str">
        <f t="shared" si="10"/>
        <v>n/a</v>
      </c>
      <c r="K24" s="167" t="str">
        <f t="shared" si="10"/>
        <v>n/a</v>
      </c>
      <c r="L24" s="167" t="str">
        <f t="shared" si="10"/>
        <v>n/a</v>
      </c>
      <c r="M24" s="167">
        <f t="shared" si="10"/>
        <v>9.6698617674773768</v>
      </c>
      <c r="N24" s="167">
        <f t="shared" si="10"/>
        <v>11.982645356622422</v>
      </c>
      <c r="O24" s="167">
        <f t="shared" si="10"/>
        <v>12.311364875174226</v>
      </c>
      <c r="P24" s="167">
        <f t="shared" si="10"/>
        <v>12.65508228436007</v>
      </c>
      <c r="Q24" s="167">
        <f t="shared" si="10"/>
        <v>13.014860321114355</v>
      </c>
      <c r="R24" s="167">
        <f t="shared" si="10"/>
        <v>13.391864945641752</v>
      </c>
      <c r="S24" s="167">
        <f t="shared" si="10"/>
        <v>13.787378196688429</v>
      </c>
      <c r="T24" s="167">
        <f t="shared" si="10"/>
        <v>14.202813017342683</v>
      </c>
      <c r="U24" s="167">
        <f t="shared" si="10"/>
        <v>11.208491522978841</v>
      </c>
      <c r="V24" s="167">
        <f t="shared" si="10"/>
        <v>15.162067068396626</v>
      </c>
      <c r="W24" s="167">
        <f t="shared" si="10"/>
        <v>15.649049050394007</v>
      </c>
      <c r="X24" s="167">
        <f t="shared" si="10"/>
        <v>16.163399454355371</v>
      </c>
      <c r="Y24" s="167">
        <f t="shared" si="10"/>
        <v>16.707515974212843</v>
      </c>
      <c r="Z24" s="167">
        <f t="shared" si="10"/>
        <v>17.284085543276085</v>
      </c>
      <c r="AA24" s="167">
        <f t="shared" si="10"/>
        <v>17.896129325536631</v>
      </c>
      <c r="AB24" s="167">
        <f t="shared" si="10"/>
        <v>18.547056375266571</v>
      </c>
      <c r="AC24" s="167">
        <f t="shared" si="10"/>
        <v>21.133436793427311</v>
      </c>
      <c r="AD24" s="167">
        <f t="shared" si="10"/>
        <v>45.41695911496646</v>
      </c>
      <c r="AE24" s="167" t="str">
        <f t="shared" si="10"/>
        <v>n/a</v>
      </c>
      <c r="AF24" s="167" t="str">
        <f t="shared" si="10"/>
        <v>n/a</v>
      </c>
      <c r="AG24" s="167" t="str">
        <f t="shared" si="10"/>
        <v>n/a</v>
      </c>
      <c r="AH24" s="167" t="str">
        <f t="shared" si="10"/>
        <v>n/a</v>
      </c>
      <c r="AI24" s="167" t="str">
        <f t="shared" si="10"/>
        <v>n/a</v>
      </c>
      <c r="AJ24" s="167" t="str">
        <f t="shared" si="10"/>
        <v>n/a</v>
      </c>
      <c r="AK24" s="167" t="str">
        <f t="shared" si="10"/>
        <v>n/a</v>
      </c>
      <c r="AL24" s="167" t="str">
        <f t="shared" si="10"/>
        <v>n/a</v>
      </c>
      <c r="AM24" s="167" t="str">
        <f t="shared" si="10"/>
        <v>n/a</v>
      </c>
      <c r="AN24" s="167" t="str">
        <f t="shared" si="10"/>
        <v>n/a</v>
      </c>
      <c r="AO24" s="167" t="str">
        <f t="shared" si="10"/>
        <v>n/a</v>
      </c>
      <c r="AP24" s="167" t="str">
        <f t="shared" si="10"/>
        <v>n/a</v>
      </c>
      <c r="AQ24" s="168" t="str">
        <f t="shared" si="10"/>
        <v>n/a</v>
      </c>
    </row>
    <row r="25" spans="2:43" hidden="1">
      <c r="B25" s="169"/>
      <c r="C25" s="50"/>
      <c r="D25" s="50"/>
      <c r="E25" s="50"/>
      <c r="F25" s="50"/>
      <c r="G25" s="164"/>
      <c r="H25" s="50"/>
      <c r="I25" s="170">
        <f t="shared" ref="I25:AQ25" si="11">I15*I21</f>
        <v>1.6438356164383663</v>
      </c>
      <c r="J25" s="170">
        <f t="shared" si="11"/>
        <v>3.2876712328743452E-2</v>
      </c>
      <c r="K25" s="170">
        <f t="shared" si="11"/>
        <v>3.3534246575328552E-2</v>
      </c>
      <c r="L25" s="170">
        <f t="shared" si="11"/>
        <v>3.4204931506849334E-2</v>
      </c>
      <c r="M25" s="170">
        <f t="shared" si="11"/>
        <v>359.06650200408626</v>
      </c>
      <c r="N25" s="170">
        <f t="shared" si="11"/>
        <v>435.30300076015726</v>
      </c>
      <c r="O25" s="170">
        <f t="shared" si="11"/>
        <v>437.33709304378635</v>
      </c>
      <c r="P25" s="170">
        <f t="shared" si="11"/>
        <v>439.36281291730575</v>
      </c>
      <c r="Q25" s="170">
        <f t="shared" si="11"/>
        <v>441.37999293251278</v>
      </c>
      <c r="R25" s="170">
        <f t="shared" si="11"/>
        <v>443.38846229224191</v>
      </c>
      <c r="S25" s="170">
        <f t="shared" si="11"/>
        <v>445.38804678338261</v>
      </c>
      <c r="T25" s="170">
        <f t="shared" si="11"/>
        <v>447.3785687085641</v>
      </c>
      <c r="U25" s="170">
        <f t="shared" si="11"/>
        <v>344.03953431646664</v>
      </c>
      <c r="V25" s="170">
        <f t="shared" si="11"/>
        <v>453.19107123074491</v>
      </c>
      <c r="W25" s="170">
        <f t="shared" si="11"/>
        <v>455.15330337752584</v>
      </c>
      <c r="X25" s="170">
        <f t="shared" si="11"/>
        <v>457.10572591146024</v>
      </c>
      <c r="Y25" s="170">
        <f t="shared" si="11"/>
        <v>459.04814264029085</v>
      </c>
      <c r="Z25" s="170">
        <f t="shared" si="11"/>
        <v>460.9803534479156</v>
      </c>
      <c r="AA25" s="170">
        <f t="shared" si="11"/>
        <v>462.9021542159104</v>
      </c>
      <c r="AB25" s="170">
        <f t="shared" si="11"/>
        <v>464.81333674348252</v>
      </c>
      <c r="AC25" s="170">
        <f t="shared" si="11"/>
        <v>359.56446500326979</v>
      </c>
      <c r="AD25" s="170">
        <f t="shared" si="11"/>
        <v>465.78365280503328</v>
      </c>
      <c r="AE25" s="170">
        <f t="shared" si="11"/>
        <v>0</v>
      </c>
      <c r="AF25" s="170">
        <f t="shared" si="11"/>
        <v>0</v>
      </c>
      <c r="AG25" s="170">
        <f t="shared" si="11"/>
        <v>0</v>
      </c>
      <c r="AH25" s="170">
        <f t="shared" si="11"/>
        <v>0</v>
      </c>
      <c r="AI25" s="170">
        <f t="shared" si="11"/>
        <v>0</v>
      </c>
      <c r="AJ25" s="170">
        <f t="shared" si="11"/>
        <v>0</v>
      </c>
      <c r="AK25" s="170">
        <f t="shared" si="11"/>
        <v>0</v>
      </c>
      <c r="AL25" s="170">
        <f t="shared" si="11"/>
        <v>0</v>
      </c>
      <c r="AM25" s="170">
        <f t="shared" si="11"/>
        <v>0</v>
      </c>
      <c r="AN25" s="170">
        <f t="shared" si="11"/>
        <v>0</v>
      </c>
      <c r="AO25" s="170">
        <f t="shared" si="11"/>
        <v>0</v>
      </c>
      <c r="AP25" s="170">
        <f t="shared" si="11"/>
        <v>0</v>
      </c>
      <c r="AQ25" s="171">
        <f t="shared" si="11"/>
        <v>0</v>
      </c>
    </row>
    <row r="26" spans="2:43">
      <c r="B26" s="99" t="s">
        <v>209</v>
      </c>
      <c r="C26" s="118"/>
      <c r="D26" s="118"/>
      <c r="E26" s="118"/>
      <c r="F26" s="174"/>
      <c r="G26" s="176">
        <f>'Financing Assumptions'!R35</f>
        <v>1</v>
      </c>
      <c r="H26" s="118"/>
      <c r="I26" s="172" t="str">
        <f>IF(OR(I8&lt;COD,I15=0),"n/a",NPV(rf,$I$25:$AQ$25)/I14)</f>
        <v>n/a</v>
      </c>
      <c r="J26" s="172" t="str">
        <f>IF(OR(J8&lt;COD,J15=0),"n/a",NPV(rf,$I$25:$AQ$25)/J14)</f>
        <v>n/a</v>
      </c>
      <c r="K26" s="172" t="str">
        <f>IF(OR(K8&lt;COD,K15=0),"n/a",NPV(rf,$I$25:$AQ$25)/K14)</f>
        <v>n/a</v>
      </c>
      <c r="L26" s="172" t="str">
        <f>IF(OR(L8&lt;COD,L15=0),"n/a",NPV(rf,$I$25:$AQ$25)/L14)</f>
        <v>n/a</v>
      </c>
      <c r="M26" s="172">
        <f>IF(OR(M8&lt;COD,M15=0),"n/a",(NPV(rf,$I$25:$AQ$25)/M14))</f>
        <v>15.380327148465353</v>
      </c>
      <c r="N26" s="172">
        <f t="shared" ref="N26:AQ26" si="12">IF(OR(N8&lt;COD,N15=0),"n/a",NPV(rf,$I$25:$AQ$25)/N14)</f>
        <v>16.3855023233065</v>
      </c>
      <c r="O26" s="172">
        <f t="shared" si="12"/>
        <v>17.53125022168766</v>
      </c>
      <c r="P26" s="172">
        <f t="shared" si="12"/>
        <v>18.84927625658495</v>
      </c>
      <c r="Q26" s="172">
        <f t="shared" si="12"/>
        <v>20.381595587948517</v>
      </c>
      <c r="R26" s="172">
        <f t="shared" si="12"/>
        <v>22.185094497041565</v>
      </c>
      <c r="S26" s="172">
        <f t="shared" si="12"/>
        <v>24.338748577713812</v>
      </c>
      <c r="T26" s="172">
        <f t="shared" si="12"/>
        <v>26.955497253960516</v>
      </c>
      <c r="U26" s="172">
        <f t="shared" si="12"/>
        <v>30.202701106130164</v>
      </c>
      <c r="V26" s="172">
        <f t="shared" si="12"/>
        <v>34.339410810015742</v>
      </c>
      <c r="W26" s="172">
        <f t="shared" si="12"/>
        <v>39.789123876032967</v>
      </c>
      <c r="X26" s="172">
        <f t="shared" si="12"/>
        <v>47.294889778953888</v>
      </c>
      <c r="Y26" s="172">
        <f t="shared" si="12"/>
        <v>58.29078343354</v>
      </c>
      <c r="Z26" s="172">
        <f t="shared" si="12"/>
        <v>75.948551529430546</v>
      </c>
      <c r="AA26" s="172">
        <f t="shared" si="12"/>
        <v>108.95328669322397</v>
      </c>
      <c r="AB26" s="172">
        <f t="shared" si="12"/>
        <v>192.69000775959273</v>
      </c>
      <c r="AC26" s="172">
        <f t="shared" si="12"/>
        <v>408.83618185575489</v>
      </c>
      <c r="AD26" s="172">
        <f t="shared" si="12"/>
        <v>1303.1653296652141</v>
      </c>
      <c r="AE26" s="172" t="str">
        <f t="shared" si="12"/>
        <v>n/a</v>
      </c>
      <c r="AF26" s="172" t="str">
        <f t="shared" si="12"/>
        <v>n/a</v>
      </c>
      <c r="AG26" s="172" t="str">
        <f t="shared" si="12"/>
        <v>n/a</v>
      </c>
      <c r="AH26" s="172" t="str">
        <f t="shared" si="12"/>
        <v>n/a</v>
      </c>
      <c r="AI26" s="172" t="str">
        <f t="shared" si="12"/>
        <v>n/a</v>
      </c>
      <c r="AJ26" s="172" t="str">
        <f t="shared" si="12"/>
        <v>n/a</v>
      </c>
      <c r="AK26" s="172" t="str">
        <f t="shared" si="12"/>
        <v>n/a</v>
      </c>
      <c r="AL26" s="172" t="str">
        <f t="shared" si="12"/>
        <v>n/a</v>
      </c>
      <c r="AM26" s="172" t="str">
        <f t="shared" si="12"/>
        <v>n/a</v>
      </c>
      <c r="AN26" s="172" t="str">
        <f t="shared" si="12"/>
        <v>n/a</v>
      </c>
      <c r="AO26" s="172" t="str">
        <f t="shared" si="12"/>
        <v>n/a</v>
      </c>
      <c r="AP26" s="172" t="str">
        <f t="shared" si="12"/>
        <v>n/a</v>
      </c>
      <c r="AQ26" s="173" t="str">
        <f t="shared" si="12"/>
        <v>n/a</v>
      </c>
    </row>
    <row r="27" spans="2:43">
      <c r="F27" s="163"/>
      <c r="G27" s="164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</row>
    <row r="28" spans="2:43" ht="12" thickBot="1">
      <c r="B28" s="9" t="s">
        <v>196</v>
      </c>
      <c r="C28" s="8"/>
      <c r="D28" s="8"/>
      <c r="E28" s="9" t="s">
        <v>48</v>
      </c>
      <c r="F28" s="9" t="s">
        <v>72</v>
      </c>
      <c r="G28" s="8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</row>
    <row r="29" spans="2:43">
      <c r="B29" s="3" t="s">
        <v>213</v>
      </c>
      <c r="G29" s="91">
        <f>'Financing Assumptions'!Q36</f>
        <v>300</v>
      </c>
      <c r="I29" s="134"/>
      <c r="M29" s="162"/>
    </row>
    <row r="30" spans="2:43">
      <c r="B30" s="3" t="s">
        <v>124</v>
      </c>
      <c r="I30" s="70">
        <v>0</v>
      </c>
      <c r="J30" s="70">
        <f>I33</f>
        <v>0</v>
      </c>
      <c r="K30" s="70">
        <f t="shared" ref="K30:AQ30" si="13">J33</f>
        <v>0</v>
      </c>
      <c r="L30" s="70">
        <f t="shared" si="13"/>
        <v>0</v>
      </c>
      <c r="M30" s="70">
        <f t="shared" si="13"/>
        <v>0</v>
      </c>
      <c r="N30" s="70">
        <f t="shared" si="13"/>
        <v>300</v>
      </c>
      <c r="O30" s="70">
        <f t="shared" si="13"/>
        <v>300</v>
      </c>
      <c r="P30" s="70">
        <f t="shared" si="13"/>
        <v>300</v>
      </c>
      <c r="Q30" s="70">
        <f t="shared" si="13"/>
        <v>300</v>
      </c>
      <c r="R30" s="70">
        <f t="shared" si="13"/>
        <v>300</v>
      </c>
      <c r="S30" s="70">
        <f t="shared" si="13"/>
        <v>300</v>
      </c>
      <c r="T30" s="70">
        <f t="shared" si="13"/>
        <v>300</v>
      </c>
      <c r="U30" s="70">
        <f t="shared" si="13"/>
        <v>300</v>
      </c>
      <c r="V30" s="70">
        <f t="shared" si="13"/>
        <v>300</v>
      </c>
      <c r="W30" s="70">
        <f t="shared" si="13"/>
        <v>300</v>
      </c>
      <c r="X30" s="70">
        <f t="shared" si="13"/>
        <v>300</v>
      </c>
      <c r="Y30" s="70">
        <f t="shared" si="13"/>
        <v>300</v>
      </c>
      <c r="Z30" s="70">
        <f t="shared" si="13"/>
        <v>300</v>
      </c>
      <c r="AA30" s="70">
        <f t="shared" si="13"/>
        <v>300</v>
      </c>
      <c r="AB30" s="70">
        <f t="shared" si="13"/>
        <v>300</v>
      </c>
      <c r="AC30" s="70">
        <f t="shared" si="13"/>
        <v>300</v>
      </c>
      <c r="AD30" s="70">
        <f t="shared" si="13"/>
        <v>300</v>
      </c>
      <c r="AE30" s="70">
        <f t="shared" si="13"/>
        <v>300</v>
      </c>
      <c r="AF30" s="70">
        <f t="shared" si="13"/>
        <v>300</v>
      </c>
      <c r="AG30" s="70">
        <f t="shared" si="13"/>
        <v>300</v>
      </c>
      <c r="AH30" s="70">
        <f t="shared" si="13"/>
        <v>300</v>
      </c>
      <c r="AI30" s="70">
        <f t="shared" si="13"/>
        <v>300</v>
      </c>
      <c r="AJ30" s="70">
        <f t="shared" si="13"/>
        <v>300</v>
      </c>
      <c r="AK30" s="70">
        <f t="shared" si="13"/>
        <v>300</v>
      </c>
      <c r="AL30" s="70">
        <f t="shared" si="13"/>
        <v>300</v>
      </c>
      <c r="AM30" s="70">
        <f t="shared" si="13"/>
        <v>300</v>
      </c>
      <c r="AN30" s="70">
        <f t="shared" si="13"/>
        <v>300</v>
      </c>
      <c r="AO30" s="70">
        <f t="shared" si="13"/>
        <v>300</v>
      </c>
      <c r="AP30" s="70">
        <f t="shared" si="13"/>
        <v>300</v>
      </c>
      <c r="AQ30" s="70">
        <f t="shared" si="13"/>
        <v>300</v>
      </c>
    </row>
    <row r="31" spans="2:43">
      <c r="B31" s="39" t="s">
        <v>214</v>
      </c>
      <c r="I31" s="70">
        <f>IF(I8&lt;COD,0,MIN(I21-I19,$G$29-I30))</f>
        <v>0</v>
      </c>
      <c r="J31" s="70">
        <f>IF(J8&lt;COD,0,MIN(J21-J19,$G$29-J30))</f>
        <v>0</v>
      </c>
      <c r="K31" s="70">
        <f>IF(K8&lt;COD,0,MIN(K21-K19,$G$29-K30))</f>
        <v>0</v>
      </c>
      <c r="L31" s="70">
        <f>IF(L8&lt;COD,0,MIN(L21-L19,$G$29-L30))</f>
        <v>0</v>
      </c>
      <c r="M31" s="70">
        <f t="shared" ref="M31:AQ31" si="14">IF(M8&lt;COD,0,IF(M19&lt;M21,MIN(M21-M19,$G$29-M30),0))</f>
        <v>300</v>
      </c>
      <c r="N31" s="70">
        <f t="shared" si="14"/>
        <v>0</v>
      </c>
      <c r="O31" s="70">
        <f t="shared" si="14"/>
        <v>0</v>
      </c>
      <c r="P31" s="70">
        <f t="shared" si="14"/>
        <v>0</v>
      </c>
      <c r="Q31" s="70">
        <f t="shared" si="14"/>
        <v>0</v>
      </c>
      <c r="R31" s="70">
        <f t="shared" si="14"/>
        <v>0</v>
      </c>
      <c r="S31" s="70">
        <f t="shared" si="14"/>
        <v>0</v>
      </c>
      <c r="T31" s="70">
        <f t="shared" si="14"/>
        <v>0</v>
      </c>
      <c r="U31" s="70">
        <f t="shared" si="14"/>
        <v>0</v>
      </c>
      <c r="V31" s="70">
        <f t="shared" si="14"/>
        <v>0</v>
      </c>
      <c r="W31" s="70">
        <f t="shared" si="14"/>
        <v>0</v>
      </c>
      <c r="X31" s="70">
        <f t="shared" si="14"/>
        <v>0</v>
      </c>
      <c r="Y31" s="70">
        <f t="shared" si="14"/>
        <v>0</v>
      </c>
      <c r="Z31" s="70">
        <f t="shared" si="14"/>
        <v>0</v>
      </c>
      <c r="AA31" s="70">
        <f t="shared" si="14"/>
        <v>0</v>
      </c>
      <c r="AB31" s="70">
        <f t="shared" si="14"/>
        <v>0</v>
      </c>
      <c r="AC31" s="70">
        <f t="shared" si="14"/>
        <v>0</v>
      </c>
      <c r="AD31" s="70">
        <f t="shared" si="14"/>
        <v>0</v>
      </c>
      <c r="AE31" s="70">
        <f t="shared" si="14"/>
        <v>0</v>
      </c>
      <c r="AF31" s="70">
        <f t="shared" si="14"/>
        <v>0</v>
      </c>
      <c r="AG31" s="70">
        <f t="shared" si="14"/>
        <v>0</v>
      </c>
      <c r="AH31" s="70">
        <f t="shared" si="14"/>
        <v>0</v>
      </c>
      <c r="AI31" s="70">
        <f t="shared" si="14"/>
        <v>0</v>
      </c>
      <c r="AJ31" s="70">
        <f t="shared" si="14"/>
        <v>0</v>
      </c>
      <c r="AK31" s="70">
        <f t="shared" si="14"/>
        <v>0</v>
      </c>
      <c r="AL31" s="70">
        <f t="shared" si="14"/>
        <v>0</v>
      </c>
      <c r="AM31" s="70">
        <f t="shared" si="14"/>
        <v>0</v>
      </c>
      <c r="AN31" s="70">
        <f t="shared" si="14"/>
        <v>0</v>
      </c>
      <c r="AO31" s="70">
        <f t="shared" si="14"/>
        <v>0</v>
      </c>
      <c r="AP31" s="70">
        <f t="shared" si="14"/>
        <v>0</v>
      </c>
      <c r="AQ31" s="70">
        <f t="shared" si="14"/>
        <v>0</v>
      </c>
    </row>
    <row r="32" spans="2:43">
      <c r="B32" s="121" t="s">
        <v>215</v>
      </c>
      <c r="C32" s="118"/>
      <c r="D32" s="118"/>
      <c r="E32" s="118"/>
      <c r="F32" s="118"/>
      <c r="G32" s="118"/>
      <c r="H32" s="118"/>
      <c r="I32" s="122">
        <f t="shared" ref="I32:AQ32" si="15">IF(I8&lt;COD,0,IF(I21&lt;I19,-MAX(-H32,I19-I21),0))</f>
        <v>0</v>
      </c>
      <c r="J32" s="122">
        <f t="shared" si="15"/>
        <v>0</v>
      </c>
      <c r="K32" s="122">
        <f t="shared" si="15"/>
        <v>0</v>
      </c>
      <c r="L32" s="122">
        <f t="shared" si="15"/>
        <v>0</v>
      </c>
      <c r="M32" s="122">
        <f t="shared" si="15"/>
        <v>0</v>
      </c>
      <c r="N32" s="122">
        <f t="shared" si="15"/>
        <v>0</v>
      </c>
      <c r="O32" s="122">
        <f t="shared" si="15"/>
        <v>0</v>
      </c>
      <c r="P32" s="122">
        <f t="shared" si="15"/>
        <v>0</v>
      </c>
      <c r="Q32" s="122">
        <f t="shared" si="15"/>
        <v>0</v>
      </c>
      <c r="R32" s="122">
        <f t="shared" si="15"/>
        <v>0</v>
      </c>
      <c r="S32" s="122">
        <f t="shared" si="15"/>
        <v>0</v>
      </c>
      <c r="T32" s="122">
        <f t="shared" si="15"/>
        <v>0</v>
      </c>
      <c r="U32" s="122">
        <f t="shared" si="15"/>
        <v>0</v>
      </c>
      <c r="V32" s="122">
        <f t="shared" si="15"/>
        <v>0</v>
      </c>
      <c r="W32" s="122">
        <f t="shared" si="15"/>
        <v>0</v>
      </c>
      <c r="X32" s="122">
        <f t="shared" si="15"/>
        <v>0</v>
      </c>
      <c r="Y32" s="122">
        <f t="shared" si="15"/>
        <v>0</v>
      </c>
      <c r="Z32" s="122">
        <f t="shared" si="15"/>
        <v>0</v>
      </c>
      <c r="AA32" s="122">
        <f t="shared" si="15"/>
        <v>0</v>
      </c>
      <c r="AB32" s="122">
        <f t="shared" si="15"/>
        <v>0</v>
      </c>
      <c r="AC32" s="122">
        <f t="shared" si="15"/>
        <v>0</v>
      </c>
      <c r="AD32" s="122">
        <f t="shared" si="15"/>
        <v>0</v>
      </c>
      <c r="AE32" s="122">
        <f t="shared" si="15"/>
        <v>0</v>
      </c>
      <c r="AF32" s="122">
        <f t="shared" si="15"/>
        <v>0</v>
      </c>
      <c r="AG32" s="122">
        <f t="shared" si="15"/>
        <v>0</v>
      </c>
      <c r="AH32" s="122">
        <f t="shared" si="15"/>
        <v>0</v>
      </c>
      <c r="AI32" s="122">
        <f t="shared" si="15"/>
        <v>0</v>
      </c>
      <c r="AJ32" s="122">
        <f t="shared" si="15"/>
        <v>0</v>
      </c>
      <c r="AK32" s="122">
        <f t="shared" si="15"/>
        <v>0</v>
      </c>
      <c r="AL32" s="122">
        <f t="shared" si="15"/>
        <v>0</v>
      </c>
      <c r="AM32" s="122">
        <f t="shared" si="15"/>
        <v>0</v>
      </c>
      <c r="AN32" s="122">
        <f t="shared" si="15"/>
        <v>0</v>
      </c>
      <c r="AO32" s="122">
        <f t="shared" si="15"/>
        <v>0</v>
      </c>
      <c r="AP32" s="122">
        <f t="shared" si="15"/>
        <v>0</v>
      </c>
      <c r="AQ32" s="122">
        <f t="shared" si="15"/>
        <v>0</v>
      </c>
    </row>
    <row r="33" spans="1:43">
      <c r="B33" s="15" t="s">
        <v>125</v>
      </c>
      <c r="C33" s="15"/>
      <c r="D33" s="15"/>
      <c r="E33" s="15"/>
      <c r="F33" s="15"/>
      <c r="G33" s="15"/>
      <c r="H33" s="15"/>
      <c r="I33" s="58">
        <f>SUM(I30:I32)</f>
        <v>0</v>
      </c>
      <c r="J33" s="58">
        <f t="shared" ref="J33:AQ33" si="16">SUM(J30:J32)</f>
        <v>0</v>
      </c>
      <c r="K33" s="58">
        <f t="shared" si="16"/>
        <v>0</v>
      </c>
      <c r="L33" s="58">
        <f t="shared" si="16"/>
        <v>0</v>
      </c>
      <c r="M33" s="58">
        <f t="shared" si="16"/>
        <v>300</v>
      </c>
      <c r="N33" s="58">
        <f t="shared" si="16"/>
        <v>300</v>
      </c>
      <c r="O33" s="58">
        <f t="shared" si="16"/>
        <v>300</v>
      </c>
      <c r="P33" s="58">
        <f t="shared" si="16"/>
        <v>300</v>
      </c>
      <c r="Q33" s="58">
        <f t="shared" si="16"/>
        <v>300</v>
      </c>
      <c r="R33" s="58">
        <f t="shared" si="16"/>
        <v>300</v>
      </c>
      <c r="S33" s="58">
        <f t="shared" si="16"/>
        <v>300</v>
      </c>
      <c r="T33" s="58">
        <f t="shared" si="16"/>
        <v>300</v>
      </c>
      <c r="U33" s="58">
        <f t="shared" si="16"/>
        <v>300</v>
      </c>
      <c r="V33" s="58">
        <f t="shared" si="16"/>
        <v>300</v>
      </c>
      <c r="W33" s="58">
        <f t="shared" si="16"/>
        <v>300</v>
      </c>
      <c r="X33" s="58">
        <f t="shared" si="16"/>
        <v>300</v>
      </c>
      <c r="Y33" s="58">
        <f t="shared" si="16"/>
        <v>300</v>
      </c>
      <c r="Z33" s="58">
        <f t="shared" si="16"/>
        <v>300</v>
      </c>
      <c r="AA33" s="58">
        <f t="shared" si="16"/>
        <v>300</v>
      </c>
      <c r="AB33" s="58">
        <f t="shared" si="16"/>
        <v>300</v>
      </c>
      <c r="AC33" s="58">
        <f t="shared" si="16"/>
        <v>300</v>
      </c>
      <c r="AD33" s="58">
        <f t="shared" si="16"/>
        <v>300</v>
      </c>
      <c r="AE33" s="58">
        <f t="shared" si="16"/>
        <v>300</v>
      </c>
      <c r="AF33" s="58">
        <f t="shared" si="16"/>
        <v>300</v>
      </c>
      <c r="AG33" s="58">
        <f t="shared" si="16"/>
        <v>300</v>
      </c>
      <c r="AH33" s="58">
        <f t="shared" si="16"/>
        <v>300</v>
      </c>
      <c r="AI33" s="58">
        <f t="shared" si="16"/>
        <v>300</v>
      </c>
      <c r="AJ33" s="58">
        <f t="shared" si="16"/>
        <v>300</v>
      </c>
      <c r="AK33" s="58">
        <f t="shared" si="16"/>
        <v>300</v>
      </c>
      <c r="AL33" s="58">
        <f t="shared" si="16"/>
        <v>300</v>
      </c>
      <c r="AM33" s="58">
        <f t="shared" si="16"/>
        <v>300</v>
      </c>
      <c r="AN33" s="58">
        <f t="shared" si="16"/>
        <v>300</v>
      </c>
      <c r="AO33" s="58">
        <f t="shared" si="16"/>
        <v>300</v>
      </c>
      <c r="AP33" s="58">
        <f t="shared" si="16"/>
        <v>300</v>
      </c>
      <c r="AQ33" s="58">
        <f t="shared" si="16"/>
        <v>300</v>
      </c>
    </row>
    <row r="35" spans="1:43" ht="12" thickBot="1">
      <c r="B35" s="9" t="s">
        <v>200</v>
      </c>
      <c r="C35" s="8"/>
      <c r="D35" s="8"/>
      <c r="E35" s="9" t="s">
        <v>48</v>
      </c>
      <c r="F35" s="9" t="s">
        <v>72</v>
      </c>
      <c r="G35" s="8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</row>
    <row r="36" spans="1:43">
      <c r="B36" s="3" t="s">
        <v>213</v>
      </c>
      <c r="G36" s="91">
        <f>'Financing Assumptions'!Q37</f>
        <v>300</v>
      </c>
      <c r="I36" s="134"/>
      <c r="M36" s="162"/>
    </row>
    <row r="37" spans="1:43">
      <c r="B37" s="3" t="s">
        <v>124</v>
      </c>
      <c r="I37" s="70">
        <v>0</v>
      </c>
      <c r="J37" s="70">
        <f>I40</f>
        <v>0</v>
      </c>
      <c r="K37" s="70">
        <f t="shared" ref="K37" si="17">J40</f>
        <v>0</v>
      </c>
      <c r="L37" s="70">
        <f t="shared" ref="L37" si="18">K40</f>
        <v>0</v>
      </c>
      <c r="M37" s="70">
        <f t="shared" ref="M37" si="19">L40</f>
        <v>0</v>
      </c>
      <c r="N37" s="70">
        <f t="shared" ref="N37" si="20">M40</f>
        <v>0</v>
      </c>
      <c r="O37" s="70">
        <f t="shared" ref="O37" si="21">N40</f>
        <v>300</v>
      </c>
      <c r="P37" s="70">
        <f t="shared" ref="P37" si="22">O40</f>
        <v>300</v>
      </c>
      <c r="Q37" s="70">
        <f t="shared" ref="Q37" si="23">P40</f>
        <v>300</v>
      </c>
      <c r="R37" s="70">
        <f t="shared" ref="R37" si="24">Q40</f>
        <v>300</v>
      </c>
      <c r="S37" s="70">
        <f t="shared" ref="S37" si="25">R40</f>
        <v>300</v>
      </c>
      <c r="T37" s="70">
        <f t="shared" ref="T37" si="26">S40</f>
        <v>300</v>
      </c>
      <c r="U37" s="70">
        <f t="shared" ref="U37" si="27">T40</f>
        <v>300</v>
      </c>
      <c r="V37" s="70">
        <f t="shared" ref="V37" si="28">U40</f>
        <v>300</v>
      </c>
      <c r="W37" s="70">
        <f t="shared" ref="W37" si="29">V40</f>
        <v>300</v>
      </c>
      <c r="X37" s="70">
        <f t="shared" ref="X37" si="30">W40</f>
        <v>300</v>
      </c>
      <c r="Y37" s="70">
        <f t="shared" ref="Y37" si="31">X40</f>
        <v>300</v>
      </c>
      <c r="Z37" s="70">
        <f t="shared" ref="Z37" si="32">Y40</f>
        <v>300</v>
      </c>
      <c r="AA37" s="70">
        <f t="shared" ref="AA37" si="33">Z40</f>
        <v>300</v>
      </c>
      <c r="AB37" s="70">
        <f t="shared" ref="AB37" si="34">AA40</f>
        <v>300</v>
      </c>
      <c r="AC37" s="70">
        <f t="shared" ref="AC37" si="35">AB40</f>
        <v>300</v>
      </c>
      <c r="AD37" s="70">
        <f t="shared" ref="AD37" si="36">AC40</f>
        <v>300</v>
      </c>
      <c r="AE37" s="70">
        <f t="shared" ref="AE37" si="37">AD40</f>
        <v>300</v>
      </c>
      <c r="AF37" s="70">
        <f t="shared" ref="AF37" si="38">AE40</f>
        <v>300</v>
      </c>
      <c r="AG37" s="70">
        <f t="shared" ref="AG37" si="39">AF40</f>
        <v>300</v>
      </c>
      <c r="AH37" s="70">
        <f t="shared" ref="AH37" si="40">AG40</f>
        <v>300</v>
      </c>
      <c r="AI37" s="70">
        <f t="shared" ref="AI37" si="41">AH40</f>
        <v>300</v>
      </c>
      <c r="AJ37" s="70">
        <f t="shared" ref="AJ37" si="42">AI40</f>
        <v>300</v>
      </c>
      <c r="AK37" s="70">
        <f t="shared" ref="AK37" si="43">AJ40</f>
        <v>300</v>
      </c>
      <c r="AL37" s="70">
        <f t="shared" ref="AL37" si="44">AK40</f>
        <v>300</v>
      </c>
      <c r="AM37" s="70">
        <f t="shared" ref="AM37" si="45">AL40</f>
        <v>300</v>
      </c>
      <c r="AN37" s="70">
        <f t="shared" ref="AN37" si="46">AM40</f>
        <v>300</v>
      </c>
      <c r="AO37" s="70">
        <f t="shared" ref="AO37" si="47">AN40</f>
        <v>300</v>
      </c>
      <c r="AP37" s="70">
        <f t="shared" ref="AP37" si="48">AO40</f>
        <v>300</v>
      </c>
      <c r="AQ37" s="70">
        <f t="shared" ref="AQ37" si="49">AP40</f>
        <v>300</v>
      </c>
    </row>
    <row r="38" spans="1:43">
      <c r="B38" s="39" t="s">
        <v>214</v>
      </c>
      <c r="I38" s="70">
        <f t="shared" ref="I38:AQ38" si="50">IF(I8&lt;COD,0,MIN(I21-I19-SUM(I31:I32),$G$36-I37-SUM(I31:I32)))</f>
        <v>0</v>
      </c>
      <c r="J38" s="70">
        <f t="shared" si="50"/>
        <v>0</v>
      </c>
      <c r="K38" s="70">
        <f t="shared" si="50"/>
        <v>0</v>
      </c>
      <c r="L38" s="70">
        <f t="shared" si="50"/>
        <v>0</v>
      </c>
      <c r="M38" s="70">
        <f t="shared" si="50"/>
        <v>0</v>
      </c>
      <c r="N38" s="70">
        <f t="shared" si="50"/>
        <v>300</v>
      </c>
      <c r="O38" s="70">
        <f t="shared" si="50"/>
        <v>0</v>
      </c>
      <c r="P38" s="70">
        <f t="shared" si="50"/>
        <v>0</v>
      </c>
      <c r="Q38" s="70">
        <f t="shared" si="50"/>
        <v>0</v>
      </c>
      <c r="R38" s="70">
        <f t="shared" si="50"/>
        <v>0</v>
      </c>
      <c r="S38" s="70">
        <f t="shared" si="50"/>
        <v>0</v>
      </c>
      <c r="T38" s="70">
        <f t="shared" si="50"/>
        <v>0</v>
      </c>
      <c r="U38" s="70">
        <f t="shared" si="50"/>
        <v>0</v>
      </c>
      <c r="V38" s="70">
        <f t="shared" si="50"/>
        <v>0</v>
      </c>
      <c r="W38" s="70">
        <f t="shared" si="50"/>
        <v>0</v>
      </c>
      <c r="X38" s="70">
        <f t="shared" si="50"/>
        <v>0</v>
      </c>
      <c r="Y38" s="70">
        <f t="shared" si="50"/>
        <v>0</v>
      </c>
      <c r="Z38" s="70">
        <f t="shared" si="50"/>
        <v>0</v>
      </c>
      <c r="AA38" s="70">
        <f t="shared" si="50"/>
        <v>0</v>
      </c>
      <c r="AB38" s="70">
        <f t="shared" si="50"/>
        <v>0</v>
      </c>
      <c r="AC38" s="70">
        <f t="shared" si="50"/>
        <v>0</v>
      </c>
      <c r="AD38" s="70">
        <f t="shared" si="50"/>
        <v>0</v>
      </c>
      <c r="AE38" s="70">
        <f t="shared" si="50"/>
        <v>0</v>
      </c>
      <c r="AF38" s="70">
        <f t="shared" si="50"/>
        <v>0</v>
      </c>
      <c r="AG38" s="70">
        <f t="shared" si="50"/>
        <v>0</v>
      </c>
      <c r="AH38" s="70">
        <f t="shared" si="50"/>
        <v>0</v>
      </c>
      <c r="AI38" s="70">
        <f t="shared" si="50"/>
        <v>0</v>
      </c>
      <c r="AJ38" s="70">
        <f t="shared" si="50"/>
        <v>0</v>
      </c>
      <c r="AK38" s="70">
        <f t="shared" si="50"/>
        <v>0</v>
      </c>
      <c r="AL38" s="70">
        <f t="shared" si="50"/>
        <v>0</v>
      </c>
      <c r="AM38" s="70">
        <f t="shared" si="50"/>
        <v>0</v>
      </c>
      <c r="AN38" s="70">
        <f t="shared" si="50"/>
        <v>0</v>
      </c>
      <c r="AO38" s="70">
        <f t="shared" si="50"/>
        <v>0</v>
      </c>
      <c r="AP38" s="70">
        <f t="shared" si="50"/>
        <v>0</v>
      </c>
      <c r="AQ38" s="70">
        <f t="shared" si="50"/>
        <v>0</v>
      </c>
    </row>
    <row r="39" spans="1:43">
      <c r="B39" s="121" t="s">
        <v>215</v>
      </c>
      <c r="C39" s="118"/>
      <c r="D39" s="118"/>
      <c r="E39" s="118"/>
      <c r="F39" s="118"/>
      <c r="G39" s="118"/>
      <c r="H39" s="118"/>
      <c r="I39" s="122">
        <f t="shared" ref="I39:AQ39" si="51">IF(I8&lt;COD,0,IF(I33=G36,-MAX(-H39,I19-I21-SUM(I31:I32)),0))</f>
        <v>0</v>
      </c>
      <c r="J39" s="122">
        <f t="shared" si="51"/>
        <v>0</v>
      </c>
      <c r="K39" s="122">
        <f t="shared" si="51"/>
        <v>0</v>
      </c>
      <c r="L39" s="122">
        <f t="shared" si="51"/>
        <v>0</v>
      </c>
      <c r="M39" s="122">
        <f t="shared" si="51"/>
        <v>0</v>
      </c>
      <c r="N39" s="122">
        <f t="shared" si="51"/>
        <v>0</v>
      </c>
      <c r="O39" s="122">
        <f t="shared" si="51"/>
        <v>0</v>
      </c>
      <c r="P39" s="122">
        <f t="shared" si="51"/>
        <v>0</v>
      </c>
      <c r="Q39" s="122">
        <f t="shared" si="51"/>
        <v>0</v>
      </c>
      <c r="R39" s="122">
        <f t="shared" si="51"/>
        <v>0</v>
      </c>
      <c r="S39" s="122">
        <f t="shared" si="51"/>
        <v>0</v>
      </c>
      <c r="T39" s="122">
        <f t="shared" si="51"/>
        <v>0</v>
      </c>
      <c r="U39" s="122">
        <f t="shared" si="51"/>
        <v>0</v>
      </c>
      <c r="V39" s="122">
        <f t="shared" si="51"/>
        <v>0</v>
      </c>
      <c r="W39" s="122">
        <f t="shared" si="51"/>
        <v>0</v>
      </c>
      <c r="X39" s="122">
        <f t="shared" si="51"/>
        <v>0</v>
      </c>
      <c r="Y39" s="122">
        <f t="shared" si="51"/>
        <v>0</v>
      </c>
      <c r="Z39" s="122">
        <f t="shared" si="51"/>
        <v>0</v>
      </c>
      <c r="AA39" s="122">
        <f t="shared" si="51"/>
        <v>0</v>
      </c>
      <c r="AB39" s="122">
        <f t="shared" si="51"/>
        <v>0</v>
      </c>
      <c r="AC39" s="122">
        <f t="shared" si="51"/>
        <v>0</v>
      </c>
      <c r="AD39" s="122">
        <f t="shared" si="51"/>
        <v>0</v>
      </c>
      <c r="AE39" s="122">
        <f t="shared" si="51"/>
        <v>0</v>
      </c>
      <c r="AF39" s="122">
        <f t="shared" si="51"/>
        <v>0</v>
      </c>
      <c r="AG39" s="122">
        <f t="shared" si="51"/>
        <v>0</v>
      </c>
      <c r="AH39" s="122">
        <f t="shared" si="51"/>
        <v>0</v>
      </c>
      <c r="AI39" s="122">
        <f t="shared" si="51"/>
        <v>0</v>
      </c>
      <c r="AJ39" s="122">
        <f t="shared" si="51"/>
        <v>0</v>
      </c>
      <c r="AK39" s="122">
        <f t="shared" si="51"/>
        <v>0</v>
      </c>
      <c r="AL39" s="122">
        <f t="shared" si="51"/>
        <v>0</v>
      </c>
      <c r="AM39" s="122">
        <f t="shared" si="51"/>
        <v>0</v>
      </c>
      <c r="AN39" s="122">
        <f t="shared" si="51"/>
        <v>0</v>
      </c>
      <c r="AO39" s="122">
        <f t="shared" si="51"/>
        <v>0</v>
      </c>
      <c r="AP39" s="122">
        <f t="shared" si="51"/>
        <v>0</v>
      </c>
      <c r="AQ39" s="122">
        <f t="shared" si="51"/>
        <v>0</v>
      </c>
    </row>
    <row r="40" spans="1:43">
      <c r="B40" s="15" t="s">
        <v>125</v>
      </c>
      <c r="C40" s="15"/>
      <c r="D40" s="15"/>
      <c r="E40" s="15"/>
      <c r="F40" s="15"/>
      <c r="G40" s="15"/>
      <c r="H40" s="15"/>
      <c r="I40" s="58">
        <f>SUM(I37:I39)</f>
        <v>0</v>
      </c>
      <c r="J40" s="58">
        <f t="shared" ref="J40:AQ40" si="52">SUM(J37:J39)</f>
        <v>0</v>
      </c>
      <c r="K40" s="58">
        <f t="shared" si="52"/>
        <v>0</v>
      </c>
      <c r="L40" s="58">
        <f t="shared" si="52"/>
        <v>0</v>
      </c>
      <c r="M40" s="58">
        <f t="shared" si="52"/>
        <v>0</v>
      </c>
      <c r="N40" s="58">
        <f t="shared" si="52"/>
        <v>300</v>
      </c>
      <c r="O40" s="58">
        <f t="shared" si="52"/>
        <v>300</v>
      </c>
      <c r="P40" s="58">
        <f t="shared" si="52"/>
        <v>300</v>
      </c>
      <c r="Q40" s="58">
        <f t="shared" si="52"/>
        <v>300</v>
      </c>
      <c r="R40" s="58">
        <f t="shared" si="52"/>
        <v>300</v>
      </c>
      <c r="S40" s="58">
        <f t="shared" si="52"/>
        <v>300</v>
      </c>
      <c r="T40" s="58">
        <f t="shared" si="52"/>
        <v>300</v>
      </c>
      <c r="U40" s="58">
        <f t="shared" si="52"/>
        <v>300</v>
      </c>
      <c r="V40" s="58">
        <f t="shared" si="52"/>
        <v>300</v>
      </c>
      <c r="W40" s="58">
        <f t="shared" si="52"/>
        <v>300</v>
      </c>
      <c r="X40" s="58">
        <f t="shared" si="52"/>
        <v>300</v>
      </c>
      <c r="Y40" s="58">
        <f t="shared" si="52"/>
        <v>300</v>
      </c>
      <c r="Z40" s="58">
        <f t="shared" si="52"/>
        <v>300</v>
      </c>
      <c r="AA40" s="58">
        <f t="shared" si="52"/>
        <v>300</v>
      </c>
      <c r="AB40" s="58">
        <f t="shared" si="52"/>
        <v>300</v>
      </c>
      <c r="AC40" s="58">
        <f t="shared" si="52"/>
        <v>300</v>
      </c>
      <c r="AD40" s="58">
        <f t="shared" si="52"/>
        <v>300</v>
      </c>
      <c r="AE40" s="58">
        <f t="shared" si="52"/>
        <v>300</v>
      </c>
      <c r="AF40" s="58">
        <f t="shared" si="52"/>
        <v>300</v>
      </c>
      <c r="AG40" s="58">
        <f t="shared" si="52"/>
        <v>300</v>
      </c>
      <c r="AH40" s="58">
        <f t="shared" si="52"/>
        <v>300</v>
      </c>
      <c r="AI40" s="58">
        <f t="shared" si="52"/>
        <v>300</v>
      </c>
      <c r="AJ40" s="58">
        <f t="shared" si="52"/>
        <v>300</v>
      </c>
      <c r="AK40" s="58">
        <f t="shared" si="52"/>
        <v>300</v>
      </c>
      <c r="AL40" s="58">
        <f t="shared" si="52"/>
        <v>300</v>
      </c>
      <c r="AM40" s="58">
        <f t="shared" si="52"/>
        <v>300</v>
      </c>
      <c r="AN40" s="58">
        <f t="shared" si="52"/>
        <v>300</v>
      </c>
      <c r="AO40" s="58">
        <f t="shared" si="52"/>
        <v>300</v>
      </c>
      <c r="AP40" s="58">
        <f t="shared" si="52"/>
        <v>300</v>
      </c>
      <c r="AQ40" s="58">
        <f t="shared" si="52"/>
        <v>300</v>
      </c>
    </row>
    <row r="42" spans="1:43">
      <c r="A42" s="3" t="s">
        <v>0</v>
      </c>
      <c r="B42" s="4" t="s">
        <v>146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</row>
    <row r="43" spans="1:43">
      <c r="I43" s="11">
        <v>1</v>
      </c>
      <c r="J43" s="11">
        <f t="shared" ref="J43:AQ43" si="53">IF(J44="","",I43+1)</f>
        <v>2</v>
      </c>
      <c r="K43" s="11">
        <f t="shared" si="53"/>
        <v>3</v>
      </c>
      <c r="L43" s="11">
        <f t="shared" si="53"/>
        <v>4</v>
      </c>
      <c r="M43" s="11">
        <f t="shared" si="53"/>
        <v>5</v>
      </c>
      <c r="N43" s="11">
        <f t="shared" si="53"/>
        <v>6</v>
      </c>
      <c r="O43" s="11">
        <f t="shared" si="53"/>
        <v>7</v>
      </c>
      <c r="P43" s="11">
        <f t="shared" si="53"/>
        <v>8</v>
      </c>
      <c r="Q43" s="11">
        <f t="shared" si="53"/>
        <v>9</v>
      </c>
      <c r="R43" s="11">
        <f t="shared" si="53"/>
        <v>10</v>
      </c>
      <c r="S43" s="11">
        <f t="shared" si="53"/>
        <v>11</v>
      </c>
      <c r="T43" s="11">
        <f t="shared" si="53"/>
        <v>12</v>
      </c>
      <c r="U43" s="11">
        <f t="shared" si="53"/>
        <v>13</v>
      </c>
      <c r="V43" s="11">
        <f t="shared" si="53"/>
        <v>14</v>
      </c>
      <c r="W43" s="11">
        <f t="shared" si="53"/>
        <v>15</v>
      </c>
      <c r="X43" s="11">
        <f t="shared" si="53"/>
        <v>16</v>
      </c>
      <c r="Y43" s="11">
        <f t="shared" si="53"/>
        <v>17</v>
      </c>
      <c r="Z43" s="11">
        <f t="shared" si="53"/>
        <v>18</v>
      </c>
      <c r="AA43" s="11">
        <f t="shared" si="53"/>
        <v>19</v>
      </c>
      <c r="AB43" s="11">
        <f t="shared" si="53"/>
        <v>20</v>
      </c>
      <c r="AC43" s="11">
        <f t="shared" si="53"/>
        <v>21</v>
      </c>
      <c r="AD43" s="11">
        <f t="shared" si="53"/>
        <v>22</v>
      </c>
      <c r="AE43" s="11">
        <f t="shared" si="53"/>
        <v>23</v>
      </c>
      <c r="AF43" s="11">
        <f t="shared" si="53"/>
        <v>24</v>
      </c>
      <c r="AG43" s="11">
        <f t="shared" si="53"/>
        <v>25</v>
      </c>
      <c r="AH43" s="11">
        <f t="shared" si="53"/>
        <v>26</v>
      </c>
      <c r="AI43" s="11">
        <f t="shared" si="53"/>
        <v>27</v>
      </c>
      <c r="AJ43" s="11">
        <f t="shared" si="53"/>
        <v>28</v>
      </c>
      <c r="AK43" s="11">
        <f t="shared" si="53"/>
        <v>29</v>
      </c>
      <c r="AL43" s="11">
        <f t="shared" si="53"/>
        <v>30</v>
      </c>
      <c r="AM43" s="11">
        <f t="shared" si="53"/>
        <v>31</v>
      </c>
      <c r="AN43" s="11">
        <f t="shared" si="53"/>
        <v>32</v>
      </c>
      <c r="AO43" s="11">
        <f t="shared" si="53"/>
        <v>33</v>
      </c>
      <c r="AP43" s="11">
        <f t="shared" si="53"/>
        <v>34</v>
      </c>
      <c r="AQ43" s="11">
        <f t="shared" si="53"/>
        <v>35</v>
      </c>
    </row>
    <row r="44" spans="1:43" ht="12" thickBot="1">
      <c r="B44" s="9" t="str">
        <f>'Financing Assumptions'!B40</f>
        <v>Debt Tranche 1</v>
      </c>
      <c r="C44" s="8"/>
      <c r="D44" s="8"/>
      <c r="E44" s="9" t="s">
        <v>48</v>
      </c>
      <c r="F44" s="9" t="s">
        <v>72</v>
      </c>
      <c r="G44" s="8"/>
      <c r="H44" s="8"/>
      <c r="I44" s="9">
        <f>YEAR(Now)</f>
        <v>2016</v>
      </c>
      <c r="J44" s="9">
        <f t="shared" ref="J44:AQ44" si="54">IFERROR(IF(I44+1&gt;End,"",I44+1),"")</f>
        <v>2017</v>
      </c>
      <c r="K44" s="9">
        <f t="shared" si="54"/>
        <v>2018</v>
      </c>
      <c r="L44" s="9">
        <f t="shared" si="54"/>
        <v>2019</v>
      </c>
      <c r="M44" s="9">
        <f t="shared" si="54"/>
        <v>2020</v>
      </c>
      <c r="N44" s="9">
        <f t="shared" si="54"/>
        <v>2021</v>
      </c>
      <c r="O44" s="9">
        <f t="shared" si="54"/>
        <v>2022</v>
      </c>
      <c r="P44" s="9">
        <f t="shared" si="54"/>
        <v>2023</v>
      </c>
      <c r="Q44" s="9">
        <f t="shared" si="54"/>
        <v>2024</v>
      </c>
      <c r="R44" s="9">
        <f t="shared" si="54"/>
        <v>2025</v>
      </c>
      <c r="S44" s="9">
        <f t="shared" si="54"/>
        <v>2026</v>
      </c>
      <c r="T44" s="9">
        <f t="shared" si="54"/>
        <v>2027</v>
      </c>
      <c r="U44" s="9">
        <f t="shared" si="54"/>
        <v>2028</v>
      </c>
      <c r="V44" s="9">
        <f t="shared" si="54"/>
        <v>2029</v>
      </c>
      <c r="W44" s="9">
        <f t="shared" si="54"/>
        <v>2030</v>
      </c>
      <c r="X44" s="9">
        <f t="shared" si="54"/>
        <v>2031</v>
      </c>
      <c r="Y44" s="9">
        <f t="shared" si="54"/>
        <v>2032</v>
      </c>
      <c r="Z44" s="9">
        <f t="shared" si="54"/>
        <v>2033</v>
      </c>
      <c r="AA44" s="9">
        <f t="shared" si="54"/>
        <v>2034</v>
      </c>
      <c r="AB44" s="9">
        <f t="shared" si="54"/>
        <v>2035</v>
      </c>
      <c r="AC44" s="9">
        <f t="shared" si="54"/>
        <v>2036</v>
      </c>
      <c r="AD44" s="9">
        <f t="shared" si="54"/>
        <v>2037</v>
      </c>
      <c r="AE44" s="9">
        <f t="shared" si="54"/>
        <v>2038</v>
      </c>
      <c r="AF44" s="9">
        <f t="shared" si="54"/>
        <v>2039</v>
      </c>
      <c r="AG44" s="9">
        <f t="shared" si="54"/>
        <v>2040</v>
      </c>
      <c r="AH44" s="9">
        <f t="shared" si="54"/>
        <v>2041</v>
      </c>
      <c r="AI44" s="9">
        <f t="shared" si="54"/>
        <v>2042</v>
      </c>
      <c r="AJ44" s="9">
        <f t="shared" si="54"/>
        <v>2043</v>
      </c>
      <c r="AK44" s="9">
        <f t="shared" si="54"/>
        <v>2044</v>
      </c>
      <c r="AL44" s="9">
        <f t="shared" si="54"/>
        <v>2045</v>
      </c>
      <c r="AM44" s="9">
        <f t="shared" si="54"/>
        <v>2046</v>
      </c>
      <c r="AN44" s="9">
        <f t="shared" si="54"/>
        <v>2047</v>
      </c>
      <c r="AO44" s="9">
        <f t="shared" si="54"/>
        <v>2048</v>
      </c>
      <c r="AP44" s="9">
        <f t="shared" si="54"/>
        <v>2049</v>
      </c>
      <c r="AQ44" s="9">
        <f t="shared" si="54"/>
        <v>2050</v>
      </c>
    </row>
    <row r="45" spans="1:43">
      <c r="B45" s="3" t="str">
        <f>'Financing Assumptions'!B41</f>
        <v>Size</v>
      </c>
      <c r="E45" s="3" t="str">
        <f>'Financing Assumptions'!E41</f>
        <v>CADmm</v>
      </c>
      <c r="H45" s="3">
        <f>'Financing Assumptions'!I41</f>
        <v>110</v>
      </c>
    </row>
    <row r="46" spans="1:43">
      <c r="B46" s="3" t="str">
        <f>'Financing Assumptions'!B42</f>
        <v>Spread</v>
      </c>
      <c r="E46" s="3" t="str">
        <f>'Financing Assumptions'!E42</f>
        <v>%</v>
      </c>
      <c r="H46" s="126">
        <f>'Financing Assumptions'!I42</f>
        <v>4.4999999999999998E-2</v>
      </c>
    </row>
    <row r="47" spans="1:43">
      <c r="B47" s="3" t="str">
        <f>'Financing Assumptions'!B43</f>
        <v>Term</v>
      </c>
      <c r="E47" s="3" t="str">
        <f>'Financing Assumptions'!E43</f>
        <v>Years</v>
      </c>
      <c r="H47" s="3">
        <f>'Financing Assumptions'!I43</f>
        <v>20</v>
      </c>
    </row>
    <row r="48" spans="1:43">
      <c r="B48" s="3" t="str">
        <f>'Financing Assumptions'!B44</f>
        <v>Grace Period</v>
      </c>
      <c r="E48" s="3" t="str">
        <f>'Financing Assumptions'!E44</f>
        <v>Years</v>
      </c>
      <c r="H48" s="3">
        <f>'Financing Assumptions'!I44</f>
        <v>4</v>
      </c>
    </row>
    <row r="49" spans="2:43">
      <c r="B49" s="3" t="str">
        <f>'Financing Assumptions'!B45</f>
        <v>Repayment Schedule</v>
      </c>
      <c r="E49" s="3" t="str">
        <f>'Financing Assumptions'!E45</f>
        <v>Type</v>
      </c>
      <c r="H49" s="137" t="str">
        <f>'Financing Assumptions'!I45</f>
        <v>Straighline</v>
      </c>
    </row>
    <row r="50" spans="2:43">
      <c r="B50" s="3" t="s">
        <v>150</v>
      </c>
      <c r="E50" s="3" t="s">
        <v>51</v>
      </c>
      <c r="H50" s="76"/>
      <c r="I50" s="115">
        <v>0.02</v>
      </c>
      <c r="J50" s="115">
        <v>0.02</v>
      </c>
      <c r="K50" s="115">
        <v>0.02</v>
      </c>
      <c r="L50" s="115">
        <v>0.02</v>
      </c>
      <c r="M50" s="115">
        <v>0.02</v>
      </c>
      <c r="N50" s="115">
        <v>0.02</v>
      </c>
      <c r="O50" s="115">
        <v>0.02</v>
      </c>
      <c r="P50" s="115">
        <v>0.02</v>
      </c>
      <c r="Q50" s="115">
        <v>0.02</v>
      </c>
      <c r="R50" s="115">
        <v>0.02</v>
      </c>
      <c r="S50" s="115">
        <v>0.02</v>
      </c>
      <c r="T50" s="115">
        <v>0.02</v>
      </c>
      <c r="U50" s="115">
        <v>0.02</v>
      </c>
      <c r="V50" s="115">
        <v>0.02</v>
      </c>
      <c r="W50" s="115">
        <v>0.02</v>
      </c>
      <c r="X50" s="115">
        <v>0.02</v>
      </c>
      <c r="Y50" s="115">
        <v>0.02</v>
      </c>
      <c r="Z50" s="115">
        <v>0.02</v>
      </c>
      <c r="AA50" s="115">
        <v>0.02</v>
      </c>
      <c r="AB50" s="115">
        <v>0.02</v>
      </c>
      <c r="AC50" s="115">
        <v>0.02</v>
      </c>
      <c r="AD50" s="115">
        <v>0.02</v>
      </c>
      <c r="AE50" s="115">
        <v>0.02</v>
      </c>
      <c r="AF50" s="115">
        <v>0.02</v>
      </c>
      <c r="AG50" s="115">
        <v>0.02</v>
      </c>
      <c r="AH50" s="115">
        <v>0.02</v>
      </c>
      <c r="AI50" s="115">
        <v>0.02</v>
      </c>
      <c r="AJ50" s="115">
        <v>0.02</v>
      </c>
      <c r="AK50" s="115">
        <v>0.02</v>
      </c>
      <c r="AL50" s="115">
        <v>0.02</v>
      </c>
      <c r="AM50" s="115">
        <v>0.02</v>
      </c>
      <c r="AN50" s="115">
        <v>0.02</v>
      </c>
      <c r="AO50" s="115">
        <v>0.02</v>
      </c>
      <c r="AP50" s="115">
        <v>0.02</v>
      </c>
      <c r="AQ50" s="115">
        <v>0.02</v>
      </c>
    </row>
    <row r="52" spans="2:43">
      <c r="B52" s="3" t="s">
        <v>151</v>
      </c>
      <c r="E52" s="3" t="str">
        <f t="shared" ref="E52:E57" si="55">Currency&amp;"mm"</f>
        <v>CADmm</v>
      </c>
      <c r="I52" s="70">
        <v>0</v>
      </c>
      <c r="J52" s="70">
        <f t="shared" ref="J52:AQ52" si="56">I57</f>
        <v>38.837800524039267</v>
      </c>
      <c r="K52" s="70">
        <f t="shared" si="56"/>
        <v>63.285867400705769</v>
      </c>
      <c r="L52" s="70">
        <f t="shared" si="56"/>
        <v>88.593557125215582</v>
      </c>
      <c r="M52" s="70">
        <f t="shared" si="56"/>
        <v>119.77330981412372</v>
      </c>
      <c r="N52" s="70">
        <f t="shared" si="56"/>
        <v>112.28747795074099</v>
      </c>
      <c r="O52" s="70">
        <f t="shared" si="56"/>
        <v>104.80164608735826</v>
      </c>
      <c r="P52" s="70">
        <f t="shared" si="56"/>
        <v>97.315814223975536</v>
      </c>
      <c r="Q52" s="70">
        <f t="shared" si="56"/>
        <v>89.829982360592808</v>
      </c>
      <c r="R52" s="70">
        <f t="shared" si="56"/>
        <v>82.34415049721008</v>
      </c>
      <c r="S52" s="70">
        <f t="shared" si="56"/>
        <v>74.858318633827352</v>
      </c>
      <c r="T52" s="70">
        <f t="shared" si="56"/>
        <v>67.372486770444624</v>
      </c>
      <c r="U52" s="70">
        <f t="shared" si="56"/>
        <v>59.886654907061889</v>
      </c>
      <c r="V52" s="70">
        <f t="shared" si="56"/>
        <v>52.400823043679154</v>
      </c>
      <c r="W52" s="70">
        <f t="shared" si="56"/>
        <v>44.914991180296418</v>
      </c>
      <c r="X52" s="70">
        <f t="shared" si="56"/>
        <v>37.429159316913683</v>
      </c>
      <c r="Y52" s="70">
        <f t="shared" si="56"/>
        <v>29.943327453530951</v>
      </c>
      <c r="Z52" s="70">
        <f t="shared" si="56"/>
        <v>22.45749559014822</v>
      </c>
      <c r="AA52" s="70">
        <f t="shared" si="56"/>
        <v>14.971663726765488</v>
      </c>
      <c r="AB52" s="70">
        <f t="shared" si="56"/>
        <v>7.4858318633827556</v>
      </c>
      <c r="AC52" s="70">
        <f t="shared" si="56"/>
        <v>2.3092638912203256E-14</v>
      </c>
      <c r="AD52" s="70">
        <f t="shared" si="56"/>
        <v>2.3092638912203256E-14</v>
      </c>
      <c r="AE52" s="70">
        <f t="shared" si="56"/>
        <v>2.3092638912203256E-14</v>
      </c>
      <c r="AF52" s="70">
        <f t="shared" si="56"/>
        <v>2.3092638912203256E-14</v>
      </c>
      <c r="AG52" s="70">
        <f t="shared" si="56"/>
        <v>2.3092638912203256E-14</v>
      </c>
      <c r="AH52" s="70">
        <f t="shared" si="56"/>
        <v>2.3092638912203256E-14</v>
      </c>
      <c r="AI52" s="70">
        <f t="shared" si="56"/>
        <v>2.3092638912203256E-14</v>
      </c>
      <c r="AJ52" s="70">
        <f t="shared" si="56"/>
        <v>2.3092638912203256E-14</v>
      </c>
      <c r="AK52" s="70">
        <f t="shared" si="56"/>
        <v>2.3092638912203256E-14</v>
      </c>
      <c r="AL52" s="70">
        <f t="shared" si="56"/>
        <v>2.3092638912203256E-14</v>
      </c>
      <c r="AM52" s="70">
        <f t="shared" si="56"/>
        <v>2.3092638912203256E-14</v>
      </c>
      <c r="AN52" s="70">
        <f t="shared" si="56"/>
        <v>2.3092638912203256E-14</v>
      </c>
      <c r="AO52" s="70">
        <f t="shared" si="56"/>
        <v>2.3092638912203256E-14</v>
      </c>
      <c r="AP52" s="70">
        <f t="shared" si="56"/>
        <v>2.3092638912203256E-14</v>
      </c>
      <c r="AQ52" s="70">
        <f t="shared" si="56"/>
        <v>2.3092638912203256E-14</v>
      </c>
    </row>
    <row r="53" spans="2:43">
      <c r="B53" s="39" t="s">
        <v>171</v>
      </c>
      <c r="E53" s="3" t="str">
        <f t="shared" si="55"/>
        <v>CADmm</v>
      </c>
      <c r="F53" s="3" t="s">
        <v>57</v>
      </c>
      <c r="I53" s="70">
        <f>IF(I44&lt;COD,'Financing Assumptions'!I26,0)</f>
        <v>37.615303170982344</v>
      </c>
      <c r="J53" s="70">
        <f>IF(J44&lt;COD,'Financing Assumptions'!J26,0)</f>
        <v>22.456017781729027</v>
      </c>
      <c r="K53" s="70">
        <f>IF(K44&lt;COD,'Financing Assumptions'!K26,0)</f>
        <v>22.519030541391647</v>
      </c>
      <c r="L53" s="70">
        <f>IF(L44&lt;COD,'Financing Assumptions'!L26,0)</f>
        <v>27.409648505896985</v>
      </c>
      <c r="M53" s="70">
        <f>IF(M44&lt;COD,'Financing Assumptions'!M26,0)</f>
        <v>0</v>
      </c>
      <c r="N53" s="70">
        <f>IF(N44&lt;COD,'Financing Assumptions'!N26,0)</f>
        <v>0</v>
      </c>
      <c r="O53" s="70">
        <f>IF(O44&lt;COD,'Financing Assumptions'!O26,0)</f>
        <v>0</v>
      </c>
      <c r="P53" s="70">
        <f>IF(P44&lt;COD,'Financing Assumptions'!P26,0)</f>
        <v>0</v>
      </c>
      <c r="Q53" s="70">
        <f>IF(Q44&lt;COD,'Financing Assumptions'!Q26,0)</f>
        <v>0</v>
      </c>
      <c r="R53" s="70">
        <f>IF(R44&lt;COD,'Financing Assumptions'!R26,0)</f>
        <v>0</v>
      </c>
      <c r="S53" s="70">
        <f>IF(S44&lt;COD,'Financing Assumptions'!S26,0)</f>
        <v>0</v>
      </c>
      <c r="T53" s="70">
        <f>IF(T44&lt;COD,'Financing Assumptions'!T26,0)</f>
        <v>0</v>
      </c>
      <c r="U53" s="70">
        <f>IF(U44&lt;COD,'Financing Assumptions'!U26,0)</f>
        <v>0</v>
      </c>
      <c r="V53" s="70">
        <f>IF(V44&lt;COD,'Financing Assumptions'!V26,0)</f>
        <v>0</v>
      </c>
      <c r="W53" s="70">
        <f>IF(W44&lt;COD,'Financing Assumptions'!W26,0)</f>
        <v>0</v>
      </c>
      <c r="X53" s="70">
        <f>IF(X44&lt;COD,'Financing Assumptions'!X26,0)</f>
        <v>0</v>
      </c>
      <c r="Y53" s="70">
        <f>IF(Y44&lt;COD,'Financing Assumptions'!Y26,0)</f>
        <v>0</v>
      </c>
      <c r="Z53" s="70">
        <f>IF(Z44&lt;COD,'Financing Assumptions'!Z26,0)</f>
        <v>0</v>
      </c>
      <c r="AA53" s="70">
        <f>IF(AA44&lt;COD,'Financing Assumptions'!AA26,0)</f>
        <v>0</v>
      </c>
      <c r="AB53" s="70">
        <f>IF(AB44&lt;COD,'Financing Assumptions'!AB26,0)</f>
        <v>0</v>
      </c>
      <c r="AC53" s="70">
        <f>IF(AC44&lt;COD,'Financing Assumptions'!AC26,0)</f>
        <v>0</v>
      </c>
      <c r="AD53" s="70">
        <f>IF(AD44&lt;COD,'Financing Assumptions'!AD26,0)</f>
        <v>0</v>
      </c>
      <c r="AE53" s="70">
        <f>IF(AE44&lt;COD,'Financing Assumptions'!AE26,0)</f>
        <v>0</v>
      </c>
      <c r="AF53" s="70">
        <f>IF(AF44&lt;COD,'Financing Assumptions'!AF26,0)</f>
        <v>0</v>
      </c>
      <c r="AG53" s="70">
        <f>IF(AG44&lt;COD,'Financing Assumptions'!AG26,0)</f>
        <v>0</v>
      </c>
      <c r="AH53" s="70">
        <f>IF(AH44&lt;COD,'Financing Assumptions'!AH26,0)</f>
        <v>0</v>
      </c>
      <c r="AI53" s="70">
        <f>IF(AI44&lt;COD,'Financing Assumptions'!AI26,0)</f>
        <v>0</v>
      </c>
      <c r="AJ53" s="70">
        <f>IF(AJ44&lt;COD,'Financing Assumptions'!AJ26,0)</f>
        <v>0</v>
      </c>
      <c r="AK53" s="70">
        <f>IF(AK44&lt;COD,'Financing Assumptions'!AK26,0)</f>
        <v>0</v>
      </c>
      <c r="AL53" s="70">
        <f>IF(AL44&lt;COD,'Financing Assumptions'!AL26,0)</f>
        <v>0</v>
      </c>
      <c r="AM53" s="70">
        <f>IF(AM44&lt;COD,'Financing Assumptions'!AM26,0)</f>
        <v>0</v>
      </c>
      <c r="AN53" s="70">
        <f>IF(AN44&lt;COD,'Financing Assumptions'!AN26,0)</f>
        <v>0</v>
      </c>
      <c r="AO53" s="70">
        <f>IF(AO44&lt;COD,'Financing Assumptions'!AO26,0)</f>
        <v>0</v>
      </c>
      <c r="AP53" s="70">
        <f>IF(AP44&lt;COD,'Financing Assumptions'!AP26,0)</f>
        <v>0</v>
      </c>
      <c r="AQ53" s="70">
        <f>IF(AQ44&lt;COD,'Financing Assumptions'!AQ26,0)</f>
        <v>0</v>
      </c>
    </row>
    <row r="54" spans="2:43">
      <c r="B54" s="39" t="s">
        <v>181</v>
      </c>
      <c r="E54" s="3" t="str">
        <f t="shared" si="55"/>
        <v>CADmm</v>
      </c>
      <c r="F54" s="3" t="s">
        <v>57</v>
      </c>
      <c r="I54" s="70">
        <f t="shared" ref="I54:AQ54" si="57">IF(I$44&gt;End,"",IF(I$44&lt;COD,I60,0))</f>
        <v>1.2224973530569263</v>
      </c>
      <c r="J54" s="70">
        <f t="shared" si="57"/>
        <v>1.9920490949374698</v>
      </c>
      <c r="K54" s="70">
        <f t="shared" si="57"/>
        <v>2.788659183118166</v>
      </c>
      <c r="L54" s="70">
        <f t="shared" si="57"/>
        <v>3.7701041830111586</v>
      </c>
      <c r="M54" s="70">
        <f t="shared" si="57"/>
        <v>0</v>
      </c>
      <c r="N54" s="70">
        <f t="shared" si="57"/>
        <v>0</v>
      </c>
      <c r="O54" s="70">
        <f t="shared" si="57"/>
        <v>0</v>
      </c>
      <c r="P54" s="70">
        <f t="shared" si="57"/>
        <v>0</v>
      </c>
      <c r="Q54" s="70">
        <f t="shared" si="57"/>
        <v>0</v>
      </c>
      <c r="R54" s="70">
        <f t="shared" si="57"/>
        <v>0</v>
      </c>
      <c r="S54" s="70">
        <f t="shared" si="57"/>
        <v>0</v>
      </c>
      <c r="T54" s="70">
        <f t="shared" si="57"/>
        <v>0</v>
      </c>
      <c r="U54" s="70">
        <f t="shared" si="57"/>
        <v>0</v>
      </c>
      <c r="V54" s="70">
        <f t="shared" si="57"/>
        <v>0</v>
      </c>
      <c r="W54" s="70">
        <f t="shared" si="57"/>
        <v>0</v>
      </c>
      <c r="X54" s="70">
        <f t="shared" si="57"/>
        <v>0</v>
      </c>
      <c r="Y54" s="70">
        <f t="shared" si="57"/>
        <v>0</v>
      </c>
      <c r="Z54" s="70">
        <f t="shared" si="57"/>
        <v>0</v>
      </c>
      <c r="AA54" s="70">
        <f t="shared" si="57"/>
        <v>0</v>
      </c>
      <c r="AB54" s="70">
        <f t="shared" si="57"/>
        <v>0</v>
      </c>
      <c r="AC54" s="70">
        <f t="shared" si="57"/>
        <v>0</v>
      </c>
      <c r="AD54" s="70">
        <f t="shared" si="57"/>
        <v>0</v>
      </c>
      <c r="AE54" s="70">
        <f t="shared" si="57"/>
        <v>0</v>
      </c>
      <c r="AF54" s="70">
        <f t="shared" si="57"/>
        <v>0</v>
      </c>
      <c r="AG54" s="70">
        <f t="shared" si="57"/>
        <v>0</v>
      </c>
      <c r="AH54" s="70">
        <f t="shared" si="57"/>
        <v>0</v>
      </c>
      <c r="AI54" s="70">
        <f t="shared" si="57"/>
        <v>0</v>
      </c>
      <c r="AJ54" s="70">
        <f t="shared" si="57"/>
        <v>0</v>
      </c>
      <c r="AK54" s="70">
        <f t="shared" si="57"/>
        <v>0</v>
      </c>
      <c r="AL54" s="70">
        <f t="shared" si="57"/>
        <v>0</v>
      </c>
      <c r="AM54" s="70">
        <f t="shared" si="57"/>
        <v>0</v>
      </c>
      <c r="AN54" s="70">
        <f t="shared" si="57"/>
        <v>0</v>
      </c>
      <c r="AO54" s="70">
        <f t="shared" si="57"/>
        <v>0</v>
      </c>
      <c r="AP54" s="70">
        <f t="shared" si="57"/>
        <v>0</v>
      </c>
      <c r="AQ54" s="70">
        <f t="shared" si="57"/>
        <v>0</v>
      </c>
    </row>
    <row r="55" spans="2:43">
      <c r="B55" s="39" t="s">
        <v>172</v>
      </c>
      <c r="E55" s="3" t="str">
        <f t="shared" si="55"/>
        <v>CADmm</v>
      </c>
      <c r="F55" s="3" t="s">
        <v>57</v>
      </c>
      <c r="I55" s="70">
        <f t="shared" ref="I55:AQ55" si="58">-IF(I$44&gt;End,"",IF(I$43&gt;$H47,0,IF(I$43&gt;$H48,($H45+SUM($I54:$AQ54))/($H47-$H48),0)))</f>
        <v>0</v>
      </c>
      <c r="J55" s="70">
        <f t="shared" si="58"/>
        <v>0</v>
      </c>
      <c r="K55" s="70">
        <f t="shared" si="58"/>
        <v>0</v>
      </c>
      <c r="L55" s="70">
        <f t="shared" si="58"/>
        <v>0</v>
      </c>
      <c r="M55" s="70">
        <f t="shared" si="58"/>
        <v>-7.4858318633827325</v>
      </c>
      <c r="N55" s="70">
        <f t="shared" si="58"/>
        <v>-7.4858318633827325</v>
      </c>
      <c r="O55" s="70">
        <f t="shared" si="58"/>
        <v>-7.4858318633827325</v>
      </c>
      <c r="P55" s="70">
        <f t="shared" si="58"/>
        <v>-7.4858318633827325</v>
      </c>
      <c r="Q55" s="70">
        <f t="shared" si="58"/>
        <v>-7.4858318633827325</v>
      </c>
      <c r="R55" s="70">
        <f t="shared" si="58"/>
        <v>-7.4858318633827325</v>
      </c>
      <c r="S55" s="70">
        <f t="shared" si="58"/>
        <v>-7.4858318633827325</v>
      </c>
      <c r="T55" s="70">
        <f t="shared" si="58"/>
        <v>-7.4858318633827325</v>
      </c>
      <c r="U55" s="70">
        <f t="shared" si="58"/>
        <v>-7.4858318633827325</v>
      </c>
      <c r="V55" s="70">
        <f t="shared" si="58"/>
        <v>-7.4858318633827325</v>
      </c>
      <c r="W55" s="70">
        <f t="shared" si="58"/>
        <v>-7.4858318633827325</v>
      </c>
      <c r="X55" s="70">
        <f t="shared" si="58"/>
        <v>-7.4858318633827325</v>
      </c>
      <c r="Y55" s="70">
        <f t="shared" si="58"/>
        <v>-7.4858318633827325</v>
      </c>
      <c r="Z55" s="70">
        <f t="shared" si="58"/>
        <v>-7.4858318633827325</v>
      </c>
      <c r="AA55" s="70">
        <f t="shared" si="58"/>
        <v>-7.4858318633827325</v>
      </c>
      <c r="AB55" s="70">
        <f t="shared" si="58"/>
        <v>-7.4858318633827325</v>
      </c>
      <c r="AC55" s="70">
        <f t="shared" si="58"/>
        <v>0</v>
      </c>
      <c r="AD55" s="70">
        <f t="shared" si="58"/>
        <v>0</v>
      </c>
      <c r="AE55" s="70">
        <f t="shared" si="58"/>
        <v>0</v>
      </c>
      <c r="AF55" s="70">
        <f t="shared" si="58"/>
        <v>0</v>
      </c>
      <c r="AG55" s="70">
        <f t="shared" si="58"/>
        <v>0</v>
      </c>
      <c r="AH55" s="70">
        <f t="shared" si="58"/>
        <v>0</v>
      </c>
      <c r="AI55" s="70">
        <f t="shared" si="58"/>
        <v>0</v>
      </c>
      <c r="AJ55" s="70">
        <f t="shared" si="58"/>
        <v>0</v>
      </c>
      <c r="AK55" s="70">
        <f t="shared" si="58"/>
        <v>0</v>
      </c>
      <c r="AL55" s="70">
        <f t="shared" si="58"/>
        <v>0</v>
      </c>
      <c r="AM55" s="70">
        <f t="shared" si="58"/>
        <v>0</v>
      </c>
      <c r="AN55" s="70">
        <f t="shared" si="58"/>
        <v>0</v>
      </c>
      <c r="AO55" s="70">
        <f t="shared" si="58"/>
        <v>0</v>
      </c>
      <c r="AP55" s="70">
        <f t="shared" si="58"/>
        <v>0</v>
      </c>
      <c r="AQ55" s="70">
        <f t="shared" si="58"/>
        <v>0</v>
      </c>
    </row>
    <row r="56" spans="2:43">
      <c r="B56" s="121" t="s">
        <v>173</v>
      </c>
      <c r="C56" s="118"/>
      <c r="D56" s="118"/>
      <c r="E56" s="118" t="str">
        <f t="shared" si="55"/>
        <v>CADmm</v>
      </c>
      <c r="F56" s="118" t="s">
        <v>57</v>
      </c>
      <c r="G56" s="118"/>
      <c r="H56" s="118"/>
      <c r="I56" s="122"/>
      <c r="J56" s="122"/>
      <c r="K56" s="122"/>
      <c r="L56" s="122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  <c r="AB56" s="122"/>
      <c r="AC56" s="122"/>
      <c r="AD56" s="122"/>
      <c r="AE56" s="122"/>
      <c r="AF56" s="122"/>
      <c r="AG56" s="122"/>
      <c r="AH56" s="122"/>
      <c r="AI56" s="122"/>
      <c r="AJ56" s="122"/>
      <c r="AK56" s="122"/>
      <c r="AL56" s="122"/>
      <c r="AM56" s="122"/>
      <c r="AN56" s="122"/>
      <c r="AO56" s="122"/>
      <c r="AP56" s="122"/>
      <c r="AQ56" s="122"/>
    </row>
    <row r="57" spans="2:43">
      <c r="B57" s="11" t="s">
        <v>152</v>
      </c>
      <c r="E57" s="11" t="str">
        <f t="shared" si="55"/>
        <v>CADmm</v>
      </c>
      <c r="I57" s="134">
        <f t="shared" ref="I57:AQ57" si="59">SUM(I52:I56)</f>
        <v>38.837800524039267</v>
      </c>
      <c r="J57" s="134">
        <f t="shared" si="59"/>
        <v>63.285867400705769</v>
      </c>
      <c r="K57" s="134">
        <f t="shared" si="59"/>
        <v>88.593557125215582</v>
      </c>
      <c r="L57" s="134">
        <f t="shared" si="59"/>
        <v>119.77330981412372</v>
      </c>
      <c r="M57" s="134">
        <f t="shared" si="59"/>
        <v>112.28747795074099</v>
      </c>
      <c r="N57" s="134">
        <f t="shared" si="59"/>
        <v>104.80164608735826</v>
      </c>
      <c r="O57" s="134">
        <f t="shared" si="59"/>
        <v>97.315814223975536</v>
      </c>
      <c r="P57" s="134">
        <f t="shared" si="59"/>
        <v>89.829982360592808</v>
      </c>
      <c r="Q57" s="134">
        <f t="shared" si="59"/>
        <v>82.34415049721008</v>
      </c>
      <c r="R57" s="134">
        <f t="shared" si="59"/>
        <v>74.858318633827352</v>
      </c>
      <c r="S57" s="134">
        <f t="shared" si="59"/>
        <v>67.372486770444624</v>
      </c>
      <c r="T57" s="134">
        <f t="shared" si="59"/>
        <v>59.886654907061889</v>
      </c>
      <c r="U57" s="134">
        <f t="shared" si="59"/>
        <v>52.400823043679154</v>
      </c>
      <c r="V57" s="134">
        <f t="shared" si="59"/>
        <v>44.914991180296418</v>
      </c>
      <c r="W57" s="134">
        <f t="shared" si="59"/>
        <v>37.429159316913683</v>
      </c>
      <c r="X57" s="134">
        <f t="shared" si="59"/>
        <v>29.943327453530951</v>
      </c>
      <c r="Y57" s="134">
        <f t="shared" si="59"/>
        <v>22.45749559014822</v>
      </c>
      <c r="Z57" s="134">
        <f t="shared" si="59"/>
        <v>14.971663726765488</v>
      </c>
      <c r="AA57" s="134">
        <f t="shared" si="59"/>
        <v>7.4858318633827556</v>
      </c>
      <c r="AB57" s="134">
        <f t="shared" si="59"/>
        <v>2.3092638912203256E-14</v>
      </c>
      <c r="AC57" s="134">
        <f t="shared" si="59"/>
        <v>2.3092638912203256E-14</v>
      </c>
      <c r="AD57" s="134">
        <f t="shared" si="59"/>
        <v>2.3092638912203256E-14</v>
      </c>
      <c r="AE57" s="134">
        <f t="shared" si="59"/>
        <v>2.3092638912203256E-14</v>
      </c>
      <c r="AF57" s="134">
        <f t="shared" si="59"/>
        <v>2.3092638912203256E-14</v>
      </c>
      <c r="AG57" s="134">
        <f t="shared" si="59"/>
        <v>2.3092638912203256E-14</v>
      </c>
      <c r="AH57" s="134">
        <f t="shared" si="59"/>
        <v>2.3092638912203256E-14</v>
      </c>
      <c r="AI57" s="134">
        <f t="shared" si="59"/>
        <v>2.3092638912203256E-14</v>
      </c>
      <c r="AJ57" s="134">
        <f t="shared" si="59"/>
        <v>2.3092638912203256E-14</v>
      </c>
      <c r="AK57" s="134">
        <f t="shared" si="59"/>
        <v>2.3092638912203256E-14</v>
      </c>
      <c r="AL57" s="134">
        <f t="shared" si="59"/>
        <v>2.3092638912203256E-14</v>
      </c>
      <c r="AM57" s="134">
        <f t="shared" si="59"/>
        <v>2.3092638912203256E-14</v>
      </c>
      <c r="AN57" s="134">
        <f t="shared" si="59"/>
        <v>2.3092638912203256E-14</v>
      </c>
      <c r="AO57" s="134">
        <f t="shared" si="59"/>
        <v>2.3092638912203256E-14</v>
      </c>
      <c r="AP57" s="134">
        <f t="shared" si="59"/>
        <v>2.3092638912203256E-14</v>
      </c>
      <c r="AQ57" s="134">
        <f t="shared" si="59"/>
        <v>2.3092638912203256E-14</v>
      </c>
    </row>
    <row r="58" spans="2:43">
      <c r="M58" s="155"/>
    </row>
    <row r="59" spans="2:43">
      <c r="B59" s="3" t="s">
        <v>148</v>
      </c>
      <c r="E59" s="11"/>
      <c r="I59" s="126">
        <f>$H46+I50</f>
        <v>6.5000000000000002E-2</v>
      </c>
      <c r="J59" s="126">
        <f t="shared" ref="J59:AQ59" si="60">$H46+J50</f>
        <v>6.5000000000000002E-2</v>
      </c>
      <c r="K59" s="126">
        <f t="shared" si="60"/>
        <v>6.5000000000000002E-2</v>
      </c>
      <c r="L59" s="126">
        <f t="shared" si="60"/>
        <v>6.5000000000000002E-2</v>
      </c>
      <c r="M59" s="126">
        <f t="shared" si="60"/>
        <v>6.5000000000000002E-2</v>
      </c>
      <c r="N59" s="126">
        <f t="shared" si="60"/>
        <v>6.5000000000000002E-2</v>
      </c>
      <c r="O59" s="126">
        <f t="shared" si="60"/>
        <v>6.5000000000000002E-2</v>
      </c>
      <c r="P59" s="126">
        <f t="shared" si="60"/>
        <v>6.5000000000000002E-2</v>
      </c>
      <c r="Q59" s="126">
        <f t="shared" si="60"/>
        <v>6.5000000000000002E-2</v>
      </c>
      <c r="R59" s="126">
        <f t="shared" si="60"/>
        <v>6.5000000000000002E-2</v>
      </c>
      <c r="S59" s="126">
        <f t="shared" si="60"/>
        <v>6.5000000000000002E-2</v>
      </c>
      <c r="T59" s="126">
        <f t="shared" si="60"/>
        <v>6.5000000000000002E-2</v>
      </c>
      <c r="U59" s="126">
        <f t="shared" si="60"/>
        <v>6.5000000000000002E-2</v>
      </c>
      <c r="V59" s="126">
        <f t="shared" si="60"/>
        <v>6.5000000000000002E-2</v>
      </c>
      <c r="W59" s="126">
        <f t="shared" si="60"/>
        <v>6.5000000000000002E-2</v>
      </c>
      <c r="X59" s="126">
        <f t="shared" si="60"/>
        <v>6.5000000000000002E-2</v>
      </c>
      <c r="Y59" s="126">
        <f t="shared" si="60"/>
        <v>6.5000000000000002E-2</v>
      </c>
      <c r="Z59" s="126">
        <f t="shared" si="60"/>
        <v>6.5000000000000002E-2</v>
      </c>
      <c r="AA59" s="126">
        <f t="shared" si="60"/>
        <v>6.5000000000000002E-2</v>
      </c>
      <c r="AB59" s="126">
        <f t="shared" si="60"/>
        <v>6.5000000000000002E-2</v>
      </c>
      <c r="AC59" s="126">
        <f t="shared" si="60"/>
        <v>6.5000000000000002E-2</v>
      </c>
      <c r="AD59" s="126">
        <f t="shared" si="60"/>
        <v>6.5000000000000002E-2</v>
      </c>
      <c r="AE59" s="126">
        <f t="shared" si="60"/>
        <v>6.5000000000000002E-2</v>
      </c>
      <c r="AF59" s="126">
        <f t="shared" si="60"/>
        <v>6.5000000000000002E-2</v>
      </c>
      <c r="AG59" s="126">
        <f t="shared" si="60"/>
        <v>6.5000000000000002E-2</v>
      </c>
      <c r="AH59" s="126">
        <f t="shared" si="60"/>
        <v>6.5000000000000002E-2</v>
      </c>
      <c r="AI59" s="126">
        <f t="shared" si="60"/>
        <v>6.5000000000000002E-2</v>
      </c>
      <c r="AJ59" s="126">
        <f t="shared" si="60"/>
        <v>6.5000000000000002E-2</v>
      </c>
      <c r="AK59" s="126">
        <f t="shared" si="60"/>
        <v>6.5000000000000002E-2</v>
      </c>
      <c r="AL59" s="126">
        <f t="shared" si="60"/>
        <v>6.5000000000000002E-2</v>
      </c>
      <c r="AM59" s="126">
        <f t="shared" si="60"/>
        <v>6.5000000000000002E-2</v>
      </c>
      <c r="AN59" s="126">
        <f t="shared" si="60"/>
        <v>6.5000000000000002E-2</v>
      </c>
      <c r="AO59" s="126">
        <f t="shared" si="60"/>
        <v>6.5000000000000002E-2</v>
      </c>
      <c r="AP59" s="126">
        <f t="shared" si="60"/>
        <v>6.5000000000000002E-2</v>
      </c>
      <c r="AQ59" s="126">
        <f t="shared" si="60"/>
        <v>6.5000000000000002E-2</v>
      </c>
    </row>
    <row r="60" spans="2:43">
      <c r="B60" s="3" t="s">
        <v>149</v>
      </c>
      <c r="I60" s="141">
        <f t="shared" ref="I60:AQ60" si="61">IF(I3&gt;End,"",(I52+I55+I53)/2*I59)</f>
        <v>1.2224973530569263</v>
      </c>
      <c r="J60" s="141">
        <f t="shared" si="61"/>
        <v>1.9920490949374698</v>
      </c>
      <c r="K60" s="141">
        <f t="shared" si="61"/>
        <v>2.788659183118166</v>
      </c>
      <c r="L60" s="141">
        <f t="shared" si="61"/>
        <v>3.7701041830111586</v>
      </c>
      <c r="M60" s="141">
        <f t="shared" si="61"/>
        <v>3.6493430333990822</v>
      </c>
      <c r="N60" s="141">
        <f t="shared" si="61"/>
        <v>3.4060534978391437</v>
      </c>
      <c r="O60" s="141">
        <f t="shared" si="61"/>
        <v>3.1627639622792052</v>
      </c>
      <c r="P60" s="141">
        <f t="shared" si="61"/>
        <v>2.9194744267192663</v>
      </c>
      <c r="Q60" s="141">
        <f t="shared" si="61"/>
        <v>2.6761848911593278</v>
      </c>
      <c r="R60" s="141">
        <f t="shared" si="61"/>
        <v>2.4328953555993889</v>
      </c>
      <c r="S60" s="141">
        <f t="shared" si="61"/>
        <v>2.1896058200394504</v>
      </c>
      <c r="T60" s="141">
        <f t="shared" si="61"/>
        <v>1.9463162844795114</v>
      </c>
      <c r="U60" s="141">
        <f t="shared" si="61"/>
        <v>1.7030267489195725</v>
      </c>
      <c r="V60" s="141">
        <f t="shared" si="61"/>
        <v>1.4597372133596336</v>
      </c>
      <c r="W60" s="141">
        <f t="shared" si="61"/>
        <v>1.2164476777996946</v>
      </c>
      <c r="X60" s="141">
        <f t="shared" si="61"/>
        <v>0.97315814223975594</v>
      </c>
      <c r="Y60" s="141">
        <f t="shared" si="61"/>
        <v>0.72986860667981712</v>
      </c>
      <c r="Z60" s="141">
        <f t="shared" si="61"/>
        <v>0.48657907111987836</v>
      </c>
      <c r="AA60" s="141">
        <f t="shared" si="61"/>
        <v>0.24328953555993957</v>
      </c>
      <c r="AB60" s="141">
        <f t="shared" si="61"/>
        <v>7.505107646466058E-16</v>
      </c>
      <c r="AC60" s="141">
        <f t="shared" si="61"/>
        <v>7.505107646466058E-16</v>
      </c>
      <c r="AD60" s="141">
        <f t="shared" si="61"/>
        <v>7.505107646466058E-16</v>
      </c>
      <c r="AE60" s="141">
        <f t="shared" si="61"/>
        <v>7.505107646466058E-16</v>
      </c>
      <c r="AF60" s="141">
        <f t="shared" si="61"/>
        <v>7.505107646466058E-16</v>
      </c>
      <c r="AG60" s="141">
        <f t="shared" si="61"/>
        <v>7.505107646466058E-16</v>
      </c>
      <c r="AH60" s="141">
        <f t="shared" si="61"/>
        <v>7.505107646466058E-16</v>
      </c>
      <c r="AI60" s="141">
        <f t="shared" si="61"/>
        <v>7.505107646466058E-16</v>
      </c>
      <c r="AJ60" s="141">
        <f t="shared" si="61"/>
        <v>7.505107646466058E-16</v>
      </c>
      <c r="AK60" s="141">
        <f t="shared" si="61"/>
        <v>7.505107646466058E-16</v>
      </c>
      <c r="AL60" s="141">
        <f t="shared" si="61"/>
        <v>7.505107646466058E-16</v>
      </c>
      <c r="AM60" s="141">
        <f t="shared" si="61"/>
        <v>7.505107646466058E-16</v>
      </c>
      <c r="AN60" s="141">
        <f t="shared" si="61"/>
        <v>7.505107646466058E-16</v>
      </c>
      <c r="AO60" s="141">
        <f t="shared" si="61"/>
        <v>7.505107646466058E-16</v>
      </c>
      <c r="AP60" s="141">
        <f t="shared" si="61"/>
        <v>7.505107646466058E-16</v>
      </c>
      <c r="AQ60" s="141">
        <f t="shared" si="61"/>
        <v>7.505107646466058E-16</v>
      </c>
    </row>
    <row r="62" spans="2:43" ht="12" thickBot="1">
      <c r="B62" s="9" t="str">
        <f>'Financing Assumptions'!K40</f>
        <v>Debt Tranche 2</v>
      </c>
      <c r="C62" s="8"/>
      <c r="D62" s="8"/>
      <c r="E62" s="9" t="s">
        <v>48</v>
      </c>
      <c r="F62" s="9" t="s">
        <v>72</v>
      </c>
      <c r="G62" s="8"/>
      <c r="H62" s="8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</row>
    <row r="63" spans="2:43">
      <c r="B63" s="3" t="str">
        <f>'Financing Assumptions'!K41</f>
        <v>Size</v>
      </c>
      <c r="E63" s="3" t="str">
        <f>'Financing Assumptions'!N41</f>
        <v>CADmm</v>
      </c>
      <c r="H63" s="3">
        <f>'Financing Assumptions'!R41</f>
        <v>100</v>
      </c>
    </row>
    <row r="64" spans="2:43">
      <c r="B64" s="3" t="str">
        <f>'Financing Assumptions'!K42</f>
        <v>Spread</v>
      </c>
      <c r="E64" s="3" t="str">
        <f>'Financing Assumptions'!N42</f>
        <v>%</v>
      </c>
      <c r="H64" s="126">
        <f>'Financing Assumptions'!R42</f>
        <v>4.4999999999999998E-2</v>
      </c>
    </row>
    <row r="65" spans="2:43">
      <c r="B65" s="3" t="str">
        <f>'Financing Assumptions'!K43</f>
        <v>Term</v>
      </c>
      <c r="E65" s="3" t="str">
        <f>'Financing Assumptions'!N43</f>
        <v>Years</v>
      </c>
      <c r="H65" s="24">
        <f>'Financing Assumptions'!R43</f>
        <v>21</v>
      </c>
    </row>
    <row r="66" spans="2:43">
      <c r="B66" s="3" t="str">
        <f>'Financing Assumptions'!K44</f>
        <v>Grace Period</v>
      </c>
      <c r="E66" s="3" t="str">
        <f>'Financing Assumptions'!N44</f>
        <v>Years</v>
      </c>
      <c r="H66" s="24">
        <f>'Financing Assumptions'!R44</f>
        <v>4</v>
      </c>
    </row>
    <row r="67" spans="2:43">
      <c r="B67" s="3" t="str">
        <f>'Financing Assumptions'!K45</f>
        <v>Repayment Schedule</v>
      </c>
      <c r="E67" s="138" t="str">
        <f>'Financing Assumptions'!N45</f>
        <v>Type</v>
      </c>
      <c r="H67" s="137" t="str">
        <f>'Financing Assumptions'!R45</f>
        <v>Straighline</v>
      </c>
    </row>
    <row r="68" spans="2:43">
      <c r="B68" s="3" t="s">
        <v>150</v>
      </c>
      <c r="E68" s="3" t="s">
        <v>51</v>
      </c>
      <c r="I68" s="115">
        <v>0.02</v>
      </c>
      <c r="J68" s="115">
        <v>0.02</v>
      </c>
      <c r="K68" s="115">
        <v>0.02</v>
      </c>
      <c r="L68" s="115">
        <v>0.02</v>
      </c>
      <c r="M68" s="115">
        <v>0.02</v>
      </c>
      <c r="N68" s="115">
        <v>0.02</v>
      </c>
      <c r="O68" s="115">
        <v>0.02</v>
      </c>
      <c r="P68" s="115">
        <v>0.02</v>
      </c>
      <c r="Q68" s="115">
        <v>0.02</v>
      </c>
      <c r="R68" s="115">
        <v>0.02</v>
      </c>
      <c r="S68" s="115">
        <v>0.02</v>
      </c>
      <c r="T68" s="115">
        <v>0.02</v>
      </c>
      <c r="U68" s="115">
        <v>0.02</v>
      </c>
      <c r="V68" s="115">
        <v>0.02</v>
      </c>
      <c r="W68" s="115">
        <v>0.02</v>
      </c>
      <c r="X68" s="115">
        <v>0.02</v>
      </c>
      <c r="Y68" s="115">
        <v>0.02</v>
      </c>
      <c r="Z68" s="115">
        <v>0.02</v>
      </c>
      <c r="AA68" s="115">
        <v>0.02</v>
      </c>
      <c r="AB68" s="115">
        <v>0.02</v>
      </c>
      <c r="AC68" s="115">
        <v>0.02</v>
      </c>
      <c r="AD68" s="115">
        <v>0.02</v>
      </c>
      <c r="AE68" s="115">
        <v>0.02</v>
      </c>
      <c r="AF68" s="115">
        <v>0.02</v>
      </c>
      <c r="AG68" s="115">
        <v>0.02</v>
      </c>
      <c r="AH68" s="115">
        <v>0.02</v>
      </c>
      <c r="AI68" s="115">
        <v>0.02</v>
      </c>
      <c r="AJ68" s="115">
        <v>0.02</v>
      </c>
      <c r="AK68" s="115">
        <v>0.02</v>
      </c>
      <c r="AL68" s="115">
        <v>0.02</v>
      </c>
      <c r="AM68" s="115">
        <v>0.02</v>
      </c>
      <c r="AN68" s="115">
        <v>0.02</v>
      </c>
      <c r="AO68" s="115">
        <v>0.02</v>
      </c>
      <c r="AP68" s="115">
        <v>0.02</v>
      </c>
      <c r="AQ68" s="115">
        <v>0.02</v>
      </c>
    </row>
    <row r="70" spans="2:43">
      <c r="B70" s="3" t="s">
        <v>151</v>
      </c>
      <c r="E70" s="3" t="str">
        <f t="shared" ref="E70:E75" si="62">Currency&amp;"mm"</f>
        <v>CADmm</v>
      </c>
      <c r="I70" s="70">
        <v>0</v>
      </c>
      <c r="J70" s="70">
        <f>I75</f>
        <v>35.307091385490246</v>
      </c>
      <c r="K70" s="70">
        <f t="shared" ref="K70:AQ70" si="63">J75</f>
        <v>57.532606727914334</v>
      </c>
      <c r="L70" s="70">
        <f t="shared" si="63"/>
        <v>80.53959738655962</v>
      </c>
      <c r="M70" s="70">
        <f t="shared" si="63"/>
        <v>108.88482710374883</v>
      </c>
      <c r="N70" s="70">
        <f t="shared" si="63"/>
        <v>102.47983727411655</v>
      </c>
      <c r="O70" s="70">
        <f t="shared" si="63"/>
        <v>96.074847444484263</v>
      </c>
      <c r="P70" s="70">
        <f t="shared" si="63"/>
        <v>89.669857614851978</v>
      </c>
      <c r="Q70" s="70">
        <f t="shared" si="63"/>
        <v>83.264867785219693</v>
      </c>
      <c r="R70" s="70">
        <f t="shared" si="63"/>
        <v>76.859877955587407</v>
      </c>
      <c r="S70" s="70">
        <f t="shared" si="63"/>
        <v>70.454888125955122</v>
      </c>
      <c r="T70" s="70">
        <f t="shared" si="63"/>
        <v>64.049898296322837</v>
      </c>
      <c r="U70" s="70">
        <f t="shared" si="63"/>
        <v>57.644908466690552</v>
      </c>
      <c r="V70" s="70">
        <f t="shared" si="63"/>
        <v>51.239918637058267</v>
      </c>
      <c r="W70" s="70">
        <f t="shared" si="63"/>
        <v>44.834928807425982</v>
      </c>
      <c r="X70" s="70">
        <f t="shared" si="63"/>
        <v>38.429938977793697</v>
      </c>
      <c r="Y70" s="70">
        <f t="shared" si="63"/>
        <v>32.024949148161411</v>
      </c>
      <c r="Z70" s="70">
        <f t="shared" si="63"/>
        <v>25.619959318529126</v>
      </c>
      <c r="AA70" s="70">
        <f t="shared" si="63"/>
        <v>19.214969488896841</v>
      </c>
      <c r="AB70" s="70">
        <f t="shared" si="63"/>
        <v>12.809979659264556</v>
      </c>
      <c r="AC70" s="70">
        <f t="shared" si="63"/>
        <v>6.4049898296322718</v>
      </c>
      <c r="AD70" s="70">
        <f t="shared" si="63"/>
        <v>-1.2434497875801753E-14</v>
      </c>
      <c r="AE70" s="70">
        <f t="shared" si="63"/>
        <v>-1.2434497875801753E-14</v>
      </c>
      <c r="AF70" s="70">
        <f t="shared" si="63"/>
        <v>-1.2434497875801753E-14</v>
      </c>
      <c r="AG70" s="70">
        <f t="shared" si="63"/>
        <v>-1.2434497875801753E-14</v>
      </c>
      <c r="AH70" s="70">
        <f t="shared" si="63"/>
        <v>-1.2434497875801753E-14</v>
      </c>
      <c r="AI70" s="70">
        <f t="shared" si="63"/>
        <v>-1.2434497875801753E-14</v>
      </c>
      <c r="AJ70" s="70">
        <f t="shared" si="63"/>
        <v>-1.2434497875801753E-14</v>
      </c>
      <c r="AK70" s="70">
        <f t="shared" si="63"/>
        <v>-1.2434497875801753E-14</v>
      </c>
      <c r="AL70" s="70">
        <f t="shared" si="63"/>
        <v>-1.2434497875801753E-14</v>
      </c>
      <c r="AM70" s="70">
        <f t="shared" si="63"/>
        <v>-1.2434497875801753E-14</v>
      </c>
      <c r="AN70" s="70">
        <f t="shared" si="63"/>
        <v>-1.2434497875801753E-14</v>
      </c>
      <c r="AO70" s="70">
        <f t="shared" si="63"/>
        <v>-1.2434497875801753E-14</v>
      </c>
      <c r="AP70" s="70">
        <f t="shared" si="63"/>
        <v>-1.2434497875801753E-14</v>
      </c>
      <c r="AQ70" s="70">
        <f t="shared" si="63"/>
        <v>-1.2434497875801753E-14</v>
      </c>
    </row>
    <row r="71" spans="2:43">
      <c r="B71" s="39" t="s">
        <v>171</v>
      </c>
      <c r="E71" s="3" t="str">
        <f t="shared" si="62"/>
        <v>CADmm</v>
      </c>
      <c r="F71" s="3" t="s">
        <v>57</v>
      </c>
      <c r="I71" s="70">
        <f>IF(I44&lt;COD,'Financing Assumptions'!I27,0)</f>
        <v>34.195730155438497</v>
      </c>
      <c r="J71" s="70">
        <f>IF(J44&lt;COD,'Financing Assumptions'!J27,0)</f>
        <v>20.414561619753659</v>
      </c>
      <c r="K71" s="70">
        <f>IF(K44&lt;COD,'Financing Assumptions'!K27,0)</f>
        <v>20.471845946719679</v>
      </c>
      <c r="L71" s="70">
        <f>IF(L44&lt;COD,'Financing Assumptions'!L27,0)</f>
        <v>24.917862278088169</v>
      </c>
      <c r="M71" s="70">
        <f>IF(M44&lt;COD,'Financing Assumptions'!M27,0)</f>
        <v>0</v>
      </c>
      <c r="N71" s="70">
        <f>IF(N44&lt;COD,'Financing Assumptions'!N27,0)</f>
        <v>0</v>
      </c>
      <c r="O71" s="70">
        <f>IF(O44&lt;COD,'Financing Assumptions'!O27,0)</f>
        <v>0</v>
      </c>
      <c r="P71" s="70">
        <f>IF(P44&lt;COD,'Financing Assumptions'!P27,0)</f>
        <v>0</v>
      </c>
      <c r="Q71" s="70">
        <f>IF(Q44&lt;COD,'Financing Assumptions'!Q27,0)</f>
        <v>0</v>
      </c>
      <c r="R71" s="70">
        <f>IF(R44&lt;COD,'Financing Assumptions'!R27,0)</f>
        <v>0</v>
      </c>
      <c r="S71" s="70">
        <f>IF(S44&lt;COD,'Financing Assumptions'!S27,0)</f>
        <v>0</v>
      </c>
      <c r="T71" s="70">
        <f>IF(T44&lt;COD,'Financing Assumptions'!T27,0)</f>
        <v>0</v>
      </c>
      <c r="U71" s="70">
        <f>IF(U44&lt;COD,'Financing Assumptions'!U27,0)</f>
        <v>0</v>
      </c>
      <c r="V71" s="70">
        <f>IF(V44&lt;COD,'Financing Assumptions'!V27,0)</f>
        <v>0</v>
      </c>
      <c r="W71" s="70">
        <f>IF(W44&lt;COD,'Financing Assumptions'!W27,0)</f>
        <v>0</v>
      </c>
      <c r="X71" s="70">
        <f>IF(X44&lt;COD,'Financing Assumptions'!X27,0)</f>
        <v>0</v>
      </c>
      <c r="Y71" s="70">
        <f>IF(Y44&lt;COD,'Financing Assumptions'!Y27,0)</f>
        <v>0</v>
      </c>
      <c r="Z71" s="70">
        <f>IF(Z44&lt;COD,'Financing Assumptions'!Z27,0)</f>
        <v>0</v>
      </c>
      <c r="AA71" s="70">
        <f>IF(AA44&lt;COD,'Financing Assumptions'!AA27,0)</f>
        <v>0</v>
      </c>
      <c r="AB71" s="70">
        <f>IF(AB44&lt;COD,'Financing Assumptions'!AB27,0)</f>
        <v>0</v>
      </c>
      <c r="AC71" s="70">
        <f>IF(AC44&lt;COD,'Financing Assumptions'!AC27,0)</f>
        <v>0</v>
      </c>
      <c r="AD71" s="70">
        <f>IF(AD44&lt;COD,'Financing Assumptions'!AD27,0)</f>
        <v>0</v>
      </c>
      <c r="AE71" s="70">
        <f>IF(AE44&lt;COD,'Financing Assumptions'!AE27,0)</f>
        <v>0</v>
      </c>
      <c r="AF71" s="70">
        <f>IF(AF44&lt;COD,'Financing Assumptions'!AF27,0)</f>
        <v>0</v>
      </c>
      <c r="AG71" s="70">
        <f>IF(AG44&lt;COD,'Financing Assumptions'!AG27,0)</f>
        <v>0</v>
      </c>
      <c r="AH71" s="70">
        <f>IF(AH44&lt;COD,'Financing Assumptions'!AH27,0)</f>
        <v>0</v>
      </c>
      <c r="AI71" s="70">
        <f>IF(AI44&lt;COD,'Financing Assumptions'!AI27,0)</f>
        <v>0</v>
      </c>
      <c r="AJ71" s="70">
        <f>IF(AJ44&lt;COD,'Financing Assumptions'!AJ27,0)</f>
        <v>0</v>
      </c>
      <c r="AK71" s="70">
        <f>IF(AK44&lt;COD,'Financing Assumptions'!AK27,0)</f>
        <v>0</v>
      </c>
      <c r="AL71" s="70">
        <f>IF(AL44&lt;COD,'Financing Assumptions'!AL27,0)</f>
        <v>0</v>
      </c>
      <c r="AM71" s="70">
        <f>IF(AM44&lt;COD,'Financing Assumptions'!AM27,0)</f>
        <v>0</v>
      </c>
      <c r="AN71" s="70">
        <f>IF(AN44&lt;COD,'Financing Assumptions'!AN27,0)</f>
        <v>0</v>
      </c>
      <c r="AO71" s="70">
        <f>IF(AO44&lt;COD,'Financing Assumptions'!AO27,0)</f>
        <v>0</v>
      </c>
      <c r="AP71" s="70">
        <f>IF(AP44&lt;COD,'Financing Assumptions'!AP27,0)</f>
        <v>0</v>
      </c>
      <c r="AQ71" s="70">
        <f>IF(AQ44&lt;COD,'Financing Assumptions'!AQ27,0)</f>
        <v>0</v>
      </c>
    </row>
    <row r="72" spans="2:43">
      <c r="B72" s="39" t="s">
        <v>181</v>
      </c>
      <c r="E72" s="3" t="str">
        <f t="shared" si="62"/>
        <v>CADmm</v>
      </c>
      <c r="F72" s="3" t="s">
        <v>57</v>
      </c>
      <c r="I72" s="70">
        <f t="shared" ref="I72:AQ72" si="64">IF(I$44&gt;End,"",IF(I$44&lt;COD,I78,0))</f>
        <v>1.1113612300517512</v>
      </c>
      <c r="J72" s="70">
        <f t="shared" si="64"/>
        <v>1.8109537226704271</v>
      </c>
      <c r="K72" s="70">
        <f t="shared" si="64"/>
        <v>2.5351447119256054</v>
      </c>
      <c r="L72" s="70">
        <f t="shared" si="64"/>
        <v>3.4273674391010531</v>
      </c>
      <c r="M72" s="70">
        <f t="shared" si="64"/>
        <v>0</v>
      </c>
      <c r="N72" s="70">
        <f t="shared" si="64"/>
        <v>0</v>
      </c>
      <c r="O72" s="70">
        <f t="shared" si="64"/>
        <v>0</v>
      </c>
      <c r="P72" s="70">
        <f t="shared" si="64"/>
        <v>0</v>
      </c>
      <c r="Q72" s="70">
        <f t="shared" si="64"/>
        <v>0</v>
      </c>
      <c r="R72" s="70">
        <f t="shared" si="64"/>
        <v>0</v>
      </c>
      <c r="S72" s="70">
        <f t="shared" si="64"/>
        <v>0</v>
      </c>
      <c r="T72" s="70">
        <f t="shared" si="64"/>
        <v>0</v>
      </c>
      <c r="U72" s="70">
        <f t="shared" si="64"/>
        <v>0</v>
      </c>
      <c r="V72" s="70">
        <f t="shared" si="64"/>
        <v>0</v>
      </c>
      <c r="W72" s="70">
        <f t="shared" si="64"/>
        <v>0</v>
      </c>
      <c r="X72" s="70">
        <f t="shared" si="64"/>
        <v>0</v>
      </c>
      <c r="Y72" s="70">
        <f t="shared" si="64"/>
        <v>0</v>
      </c>
      <c r="Z72" s="70">
        <f t="shared" si="64"/>
        <v>0</v>
      </c>
      <c r="AA72" s="70">
        <f t="shared" si="64"/>
        <v>0</v>
      </c>
      <c r="AB72" s="70">
        <f t="shared" si="64"/>
        <v>0</v>
      </c>
      <c r="AC72" s="70">
        <f t="shared" si="64"/>
        <v>0</v>
      </c>
      <c r="AD72" s="70">
        <f t="shared" si="64"/>
        <v>0</v>
      </c>
      <c r="AE72" s="70">
        <f t="shared" si="64"/>
        <v>0</v>
      </c>
      <c r="AF72" s="70">
        <f t="shared" si="64"/>
        <v>0</v>
      </c>
      <c r="AG72" s="70">
        <f t="shared" si="64"/>
        <v>0</v>
      </c>
      <c r="AH72" s="70">
        <f t="shared" si="64"/>
        <v>0</v>
      </c>
      <c r="AI72" s="70">
        <f t="shared" si="64"/>
        <v>0</v>
      </c>
      <c r="AJ72" s="70">
        <f t="shared" si="64"/>
        <v>0</v>
      </c>
      <c r="AK72" s="70">
        <f t="shared" si="64"/>
        <v>0</v>
      </c>
      <c r="AL72" s="70">
        <f t="shared" si="64"/>
        <v>0</v>
      </c>
      <c r="AM72" s="70">
        <f t="shared" si="64"/>
        <v>0</v>
      </c>
      <c r="AN72" s="70">
        <f t="shared" si="64"/>
        <v>0</v>
      </c>
      <c r="AO72" s="70">
        <f t="shared" si="64"/>
        <v>0</v>
      </c>
      <c r="AP72" s="70">
        <f t="shared" si="64"/>
        <v>0</v>
      </c>
      <c r="AQ72" s="70">
        <f t="shared" si="64"/>
        <v>0</v>
      </c>
    </row>
    <row r="73" spans="2:43">
      <c r="B73" s="39" t="s">
        <v>172</v>
      </c>
      <c r="E73" s="3" t="str">
        <f t="shared" si="62"/>
        <v>CADmm</v>
      </c>
      <c r="F73" s="3" t="s">
        <v>57</v>
      </c>
      <c r="I73" s="70">
        <f t="shared" ref="I73:AQ73" si="65">-IF(I$44&gt;End,"",IF(I$43&gt;$H65,0,IF(I$43&gt;$H66,($H63+SUM($I72:$AQ72))/($H65-$H66),0)))</f>
        <v>0</v>
      </c>
      <c r="J73" s="70">
        <f t="shared" si="65"/>
        <v>0</v>
      </c>
      <c r="K73" s="70">
        <f t="shared" si="65"/>
        <v>0</v>
      </c>
      <c r="L73" s="70">
        <f t="shared" si="65"/>
        <v>0</v>
      </c>
      <c r="M73" s="70">
        <f t="shared" si="65"/>
        <v>-6.4049898296322842</v>
      </c>
      <c r="N73" s="70">
        <f t="shared" si="65"/>
        <v>-6.4049898296322842</v>
      </c>
      <c r="O73" s="70">
        <f t="shared" si="65"/>
        <v>-6.4049898296322842</v>
      </c>
      <c r="P73" s="70">
        <f t="shared" si="65"/>
        <v>-6.4049898296322842</v>
      </c>
      <c r="Q73" s="70">
        <f t="shared" si="65"/>
        <v>-6.4049898296322842</v>
      </c>
      <c r="R73" s="70">
        <f t="shared" si="65"/>
        <v>-6.4049898296322842</v>
      </c>
      <c r="S73" s="70">
        <f t="shared" si="65"/>
        <v>-6.4049898296322842</v>
      </c>
      <c r="T73" s="70">
        <f t="shared" si="65"/>
        <v>-6.4049898296322842</v>
      </c>
      <c r="U73" s="70">
        <f t="shared" si="65"/>
        <v>-6.4049898296322842</v>
      </c>
      <c r="V73" s="70">
        <f t="shared" si="65"/>
        <v>-6.4049898296322842</v>
      </c>
      <c r="W73" s="70">
        <f t="shared" si="65"/>
        <v>-6.4049898296322842</v>
      </c>
      <c r="X73" s="70">
        <f t="shared" si="65"/>
        <v>-6.4049898296322842</v>
      </c>
      <c r="Y73" s="70">
        <f t="shared" si="65"/>
        <v>-6.4049898296322842</v>
      </c>
      <c r="Z73" s="70">
        <f t="shared" si="65"/>
        <v>-6.4049898296322842</v>
      </c>
      <c r="AA73" s="70">
        <f t="shared" si="65"/>
        <v>-6.4049898296322842</v>
      </c>
      <c r="AB73" s="70">
        <f t="shared" si="65"/>
        <v>-6.4049898296322842</v>
      </c>
      <c r="AC73" s="70">
        <f t="shared" si="65"/>
        <v>-6.4049898296322842</v>
      </c>
      <c r="AD73" s="70">
        <f t="shared" si="65"/>
        <v>0</v>
      </c>
      <c r="AE73" s="70">
        <f t="shared" si="65"/>
        <v>0</v>
      </c>
      <c r="AF73" s="70">
        <f t="shared" si="65"/>
        <v>0</v>
      </c>
      <c r="AG73" s="70">
        <f t="shared" si="65"/>
        <v>0</v>
      </c>
      <c r="AH73" s="70">
        <f t="shared" si="65"/>
        <v>0</v>
      </c>
      <c r="AI73" s="70">
        <f t="shared" si="65"/>
        <v>0</v>
      </c>
      <c r="AJ73" s="70">
        <f t="shared" si="65"/>
        <v>0</v>
      </c>
      <c r="AK73" s="70">
        <f t="shared" si="65"/>
        <v>0</v>
      </c>
      <c r="AL73" s="70">
        <f t="shared" si="65"/>
        <v>0</v>
      </c>
      <c r="AM73" s="70">
        <f t="shared" si="65"/>
        <v>0</v>
      </c>
      <c r="AN73" s="70">
        <f t="shared" si="65"/>
        <v>0</v>
      </c>
      <c r="AO73" s="70">
        <f t="shared" si="65"/>
        <v>0</v>
      </c>
      <c r="AP73" s="70">
        <f t="shared" si="65"/>
        <v>0</v>
      </c>
      <c r="AQ73" s="70">
        <f t="shared" si="65"/>
        <v>0</v>
      </c>
    </row>
    <row r="74" spans="2:43">
      <c r="B74" s="121" t="s">
        <v>173</v>
      </c>
      <c r="C74" s="118"/>
      <c r="D74" s="118"/>
      <c r="E74" s="118" t="str">
        <f t="shared" si="62"/>
        <v>CADmm</v>
      </c>
      <c r="F74" s="118" t="s">
        <v>57</v>
      </c>
      <c r="G74" s="118"/>
      <c r="H74" s="118"/>
      <c r="I74" s="122"/>
      <c r="J74" s="122"/>
      <c r="K74" s="122"/>
      <c r="L74" s="122"/>
      <c r="M74" s="122"/>
      <c r="N74" s="122"/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  <c r="AA74" s="122"/>
      <c r="AB74" s="122"/>
      <c r="AC74" s="122"/>
      <c r="AD74" s="122"/>
      <c r="AE74" s="122"/>
      <c r="AF74" s="122"/>
      <c r="AG74" s="122"/>
      <c r="AH74" s="122"/>
      <c r="AI74" s="122"/>
      <c r="AJ74" s="122"/>
      <c r="AK74" s="122"/>
      <c r="AL74" s="122"/>
      <c r="AM74" s="122"/>
      <c r="AN74" s="122"/>
      <c r="AO74" s="122"/>
      <c r="AP74" s="122"/>
      <c r="AQ74" s="122"/>
    </row>
    <row r="75" spans="2:43">
      <c r="B75" s="11" t="s">
        <v>152</v>
      </c>
      <c r="E75" s="11" t="str">
        <f t="shared" si="62"/>
        <v>CADmm</v>
      </c>
      <c r="I75" s="134">
        <f t="shared" ref="I75:AQ75" si="66">SUM(I70:I74)</f>
        <v>35.307091385490246</v>
      </c>
      <c r="J75" s="134">
        <f t="shared" si="66"/>
        <v>57.532606727914334</v>
      </c>
      <c r="K75" s="134">
        <f t="shared" si="66"/>
        <v>80.53959738655962</v>
      </c>
      <c r="L75" s="134">
        <f t="shared" si="66"/>
        <v>108.88482710374883</v>
      </c>
      <c r="M75" s="134">
        <f t="shared" si="66"/>
        <v>102.47983727411655</v>
      </c>
      <c r="N75" s="134">
        <f t="shared" si="66"/>
        <v>96.074847444484263</v>
      </c>
      <c r="O75" s="134">
        <f t="shared" si="66"/>
        <v>89.669857614851978</v>
      </c>
      <c r="P75" s="134">
        <f t="shared" si="66"/>
        <v>83.264867785219693</v>
      </c>
      <c r="Q75" s="134">
        <f t="shared" si="66"/>
        <v>76.859877955587407</v>
      </c>
      <c r="R75" s="134">
        <f t="shared" si="66"/>
        <v>70.454888125955122</v>
      </c>
      <c r="S75" s="134">
        <f t="shared" si="66"/>
        <v>64.049898296322837</v>
      </c>
      <c r="T75" s="134">
        <f t="shared" si="66"/>
        <v>57.644908466690552</v>
      </c>
      <c r="U75" s="134">
        <f t="shared" si="66"/>
        <v>51.239918637058267</v>
      </c>
      <c r="V75" s="134">
        <f t="shared" si="66"/>
        <v>44.834928807425982</v>
      </c>
      <c r="W75" s="134">
        <f t="shared" si="66"/>
        <v>38.429938977793697</v>
      </c>
      <c r="X75" s="134">
        <f t="shared" si="66"/>
        <v>32.024949148161411</v>
      </c>
      <c r="Y75" s="134">
        <f t="shared" si="66"/>
        <v>25.619959318529126</v>
      </c>
      <c r="Z75" s="134">
        <f t="shared" si="66"/>
        <v>19.214969488896841</v>
      </c>
      <c r="AA75" s="134">
        <f t="shared" si="66"/>
        <v>12.809979659264556</v>
      </c>
      <c r="AB75" s="134">
        <f t="shared" si="66"/>
        <v>6.4049898296322718</v>
      </c>
      <c r="AC75" s="134">
        <f t="shared" si="66"/>
        <v>-1.2434497875801753E-14</v>
      </c>
      <c r="AD75" s="134">
        <f t="shared" si="66"/>
        <v>-1.2434497875801753E-14</v>
      </c>
      <c r="AE75" s="134">
        <f t="shared" si="66"/>
        <v>-1.2434497875801753E-14</v>
      </c>
      <c r="AF75" s="134">
        <f t="shared" si="66"/>
        <v>-1.2434497875801753E-14</v>
      </c>
      <c r="AG75" s="134">
        <f t="shared" si="66"/>
        <v>-1.2434497875801753E-14</v>
      </c>
      <c r="AH75" s="134">
        <f t="shared" si="66"/>
        <v>-1.2434497875801753E-14</v>
      </c>
      <c r="AI75" s="134">
        <f t="shared" si="66"/>
        <v>-1.2434497875801753E-14</v>
      </c>
      <c r="AJ75" s="134">
        <f t="shared" si="66"/>
        <v>-1.2434497875801753E-14</v>
      </c>
      <c r="AK75" s="134">
        <f t="shared" si="66"/>
        <v>-1.2434497875801753E-14</v>
      </c>
      <c r="AL75" s="134">
        <f t="shared" si="66"/>
        <v>-1.2434497875801753E-14</v>
      </c>
      <c r="AM75" s="134">
        <f t="shared" si="66"/>
        <v>-1.2434497875801753E-14</v>
      </c>
      <c r="AN75" s="134">
        <f t="shared" si="66"/>
        <v>-1.2434497875801753E-14</v>
      </c>
      <c r="AO75" s="134">
        <f t="shared" si="66"/>
        <v>-1.2434497875801753E-14</v>
      </c>
      <c r="AP75" s="134">
        <f t="shared" si="66"/>
        <v>-1.2434497875801753E-14</v>
      </c>
      <c r="AQ75" s="134">
        <f t="shared" si="66"/>
        <v>-1.2434497875801753E-14</v>
      </c>
    </row>
    <row r="76" spans="2:43">
      <c r="B76" s="11"/>
      <c r="E76" s="11"/>
    </row>
    <row r="77" spans="2:43">
      <c r="B77" s="3" t="s">
        <v>148</v>
      </c>
      <c r="E77" s="11"/>
      <c r="I77" s="126">
        <f>$H64+I68</f>
        <v>6.5000000000000002E-2</v>
      </c>
      <c r="J77" s="126">
        <f t="shared" ref="J77:AQ77" si="67">$H64+J68</f>
        <v>6.5000000000000002E-2</v>
      </c>
      <c r="K77" s="126">
        <f t="shared" si="67"/>
        <v>6.5000000000000002E-2</v>
      </c>
      <c r="L77" s="126">
        <f t="shared" si="67"/>
        <v>6.5000000000000002E-2</v>
      </c>
      <c r="M77" s="126">
        <f t="shared" si="67"/>
        <v>6.5000000000000002E-2</v>
      </c>
      <c r="N77" s="126">
        <f t="shared" si="67"/>
        <v>6.5000000000000002E-2</v>
      </c>
      <c r="O77" s="126">
        <f t="shared" si="67"/>
        <v>6.5000000000000002E-2</v>
      </c>
      <c r="P77" s="126">
        <f t="shared" si="67"/>
        <v>6.5000000000000002E-2</v>
      </c>
      <c r="Q77" s="126">
        <f t="shared" si="67"/>
        <v>6.5000000000000002E-2</v>
      </c>
      <c r="R77" s="126">
        <f t="shared" si="67"/>
        <v>6.5000000000000002E-2</v>
      </c>
      <c r="S77" s="126">
        <f t="shared" si="67"/>
        <v>6.5000000000000002E-2</v>
      </c>
      <c r="T77" s="126">
        <f t="shared" si="67"/>
        <v>6.5000000000000002E-2</v>
      </c>
      <c r="U77" s="126">
        <f t="shared" si="67"/>
        <v>6.5000000000000002E-2</v>
      </c>
      <c r="V77" s="126">
        <f t="shared" si="67"/>
        <v>6.5000000000000002E-2</v>
      </c>
      <c r="W77" s="126">
        <f t="shared" si="67"/>
        <v>6.5000000000000002E-2</v>
      </c>
      <c r="X77" s="126">
        <f t="shared" si="67"/>
        <v>6.5000000000000002E-2</v>
      </c>
      <c r="Y77" s="126">
        <f t="shared" si="67"/>
        <v>6.5000000000000002E-2</v>
      </c>
      <c r="Z77" s="126">
        <f t="shared" si="67"/>
        <v>6.5000000000000002E-2</v>
      </c>
      <c r="AA77" s="126">
        <f t="shared" si="67"/>
        <v>6.5000000000000002E-2</v>
      </c>
      <c r="AB77" s="126">
        <f t="shared" si="67"/>
        <v>6.5000000000000002E-2</v>
      </c>
      <c r="AC77" s="126">
        <f t="shared" si="67"/>
        <v>6.5000000000000002E-2</v>
      </c>
      <c r="AD77" s="126">
        <f t="shared" si="67"/>
        <v>6.5000000000000002E-2</v>
      </c>
      <c r="AE77" s="126">
        <f t="shared" si="67"/>
        <v>6.5000000000000002E-2</v>
      </c>
      <c r="AF77" s="126">
        <f t="shared" si="67"/>
        <v>6.5000000000000002E-2</v>
      </c>
      <c r="AG77" s="126">
        <f t="shared" si="67"/>
        <v>6.5000000000000002E-2</v>
      </c>
      <c r="AH77" s="126">
        <f t="shared" si="67"/>
        <v>6.5000000000000002E-2</v>
      </c>
      <c r="AI77" s="126">
        <f t="shared" si="67"/>
        <v>6.5000000000000002E-2</v>
      </c>
      <c r="AJ77" s="126">
        <f t="shared" si="67"/>
        <v>6.5000000000000002E-2</v>
      </c>
      <c r="AK77" s="126">
        <f t="shared" si="67"/>
        <v>6.5000000000000002E-2</v>
      </c>
      <c r="AL77" s="126">
        <f t="shared" si="67"/>
        <v>6.5000000000000002E-2</v>
      </c>
      <c r="AM77" s="126">
        <f t="shared" si="67"/>
        <v>6.5000000000000002E-2</v>
      </c>
      <c r="AN77" s="126">
        <f t="shared" si="67"/>
        <v>6.5000000000000002E-2</v>
      </c>
      <c r="AO77" s="126">
        <f t="shared" si="67"/>
        <v>6.5000000000000002E-2</v>
      </c>
      <c r="AP77" s="126">
        <f t="shared" si="67"/>
        <v>6.5000000000000002E-2</v>
      </c>
      <c r="AQ77" s="126">
        <f t="shared" si="67"/>
        <v>6.5000000000000002E-2</v>
      </c>
    </row>
    <row r="78" spans="2:43">
      <c r="B78" s="3" t="s">
        <v>149</v>
      </c>
      <c r="I78" s="141">
        <f t="shared" ref="I78:AQ78" si="68">IF(I44&gt;End,"",(I70+I73+I71)/2*I77)</f>
        <v>1.1113612300517512</v>
      </c>
      <c r="J78" s="141">
        <f t="shared" si="68"/>
        <v>1.8109537226704271</v>
      </c>
      <c r="K78" s="141">
        <f t="shared" si="68"/>
        <v>2.5351447119256054</v>
      </c>
      <c r="L78" s="141">
        <f t="shared" si="68"/>
        <v>3.4273674391010531</v>
      </c>
      <c r="M78" s="141">
        <f t="shared" si="68"/>
        <v>3.3305947114087879</v>
      </c>
      <c r="N78" s="141">
        <f t="shared" si="68"/>
        <v>3.1224325419457388</v>
      </c>
      <c r="O78" s="141">
        <f t="shared" si="68"/>
        <v>2.9142703724826893</v>
      </c>
      <c r="P78" s="141">
        <f t="shared" si="68"/>
        <v>2.7061082030196402</v>
      </c>
      <c r="Q78" s="141">
        <f t="shared" si="68"/>
        <v>2.4979460335565906</v>
      </c>
      <c r="R78" s="141">
        <f t="shared" si="68"/>
        <v>2.2897838640935415</v>
      </c>
      <c r="S78" s="141">
        <f t="shared" si="68"/>
        <v>2.0816216946304924</v>
      </c>
      <c r="T78" s="141">
        <f t="shared" si="68"/>
        <v>1.8734595251674431</v>
      </c>
      <c r="U78" s="141">
        <f t="shared" si="68"/>
        <v>1.6652973557043937</v>
      </c>
      <c r="V78" s="141">
        <f t="shared" si="68"/>
        <v>1.4571351862413444</v>
      </c>
      <c r="W78" s="141">
        <f t="shared" si="68"/>
        <v>1.2489730167782951</v>
      </c>
      <c r="X78" s="141">
        <f t="shared" si="68"/>
        <v>1.040810847315246</v>
      </c>
      <c r="Y78" s="141">
        <f t="shared" si="68"/>
        <v>0.83264867785219665</v>
      </c>
      <c r="Z78" s="141">
        <f t="shared" si="68"/>
        <v>0.62448650838914732</v>
      </c>
      <c r="AA78" s="141">
        <f t="shared" si="68"/>
        <v>0.4163243389260981</v>
      </c>
      <c r="AB78" s="141">
        <f t="shared" si="68"/>
        <v>0.20816216946304883</v>
      </c>
      <c r="AC78" s="141">
        <f t="shared" si="68"/>
        <v>-4.0412118096355699E-16</v>
      </c>
      <c r="AD78" s="141">
        <f t="shared" si="68"/>
        <v>-4.0412118096355699E-16</v>
      </c>
      <c r="AE78" s="141">
        <f t="shared" si="68"/>
        <v>-4.0412118096355699E-16</v>
      </c>
      <c r="AF78" s="141">
        <f t="shared" si="68"/>
        <v>-4.0412118096355699E-16</v>
      </c>
      <c r="AG78" s="141">
        <f t="shared" si="68"/>
        <v>-4.0412118096355699E-16</v>
      </c>
      <c r="AH78" s="141">
        <f t="shared" si="68"/>
        <v>-4.0412118096355699E-16</v>
      </c>
      <c r="AI78" s="141">
        <f t="shared" si="68"/>
        <v>-4.0412118096355699E-16</v>
      </c>
      <c r="AJ78" s="141">
        <f t="shared" si="68"/>
        <v>-4.0412118096355699E-16</v>
      </c>
      <c r="AK78" s="141">
        <f t="shared" si="68"/>
        <v>-4.0412118096355699E-16</v>
      </c>
      <c r="AL78" s="141">
        <f t="shared" si="68"/>
        <v>-4.0412118096355699E-16</v>
      </c>
      <c r="AM78" s="141">
        <f t="shared" si="68"/>
        <v>-4.0412118096355699E-16</v>
      </c>
      <c r="AN78" s="141">
        <f t="shared" si="68"/>
        <v>-4.0412118096355699E-16</v>
      </c>
      <c r="AO78" s="141">
        <f t="shared" si="68"/>
        <v>-4.0412118096355699E-16</v>
      </c>
      <c r="AP78" s="141">
        <f t="shared" si="68"/>
        <v>-4.0412118096355699E-16</v>
      </c>
      <c r="AQ78" s="141">
        <f t="shared" si="68"/>
        <v>-4.0412118096355699E-16</v>
      </c>
    </row>
    <row r="80" spans="2:43" ht="12" thickBot="1">
      <c r="B80" s="9" t="str">
        <f>'Financing Assumptions'!B47</f>
        <v>Debt Tranche 3</v>
      </c>
      <c r="C80" s="8"/>
      <c r="D80" s="8"/>
      <c r="E80" s="9" t="s">
        <v>48</v>
      </c>
      <c r="F80" s="9" t="s">
        <v>72</v>
      </c>
      <c r="G80" s="8"/>
      <c r="H80" s="8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</row>
    <row r="81" spans="2:43">
      <c r="B81" s="3" t="str">
        <f>'Financing Assumptions'!B48</f>
        <v>Size</v>
      </c>
      <c r="E81" s="3" t="str">
        <f>'Financing Assumptions'!E48</f>
        <v>CADmm</v>
      </c>
      <c r="H81" s="70">
        <f>'Financing Assumptions'!I48</f>
        <v>90</v>
      </c>
    </row>
    <row r="82" spans="2:43">
      <c r="B82" s="3" t="str">
        <f>'Financing Assumptions'!B49</f>
        <v>Spread</v>
      </c>
      <c r="E82" s="3" t="str">
        <f>'Financing Assumptions'!E49</f>
        <v>%</v>
      </c>
      <c r="H82" s="126">
        <f>'Financing Assumptions'!I49</f>
        <v>0.05</v>
      </c>
    </row>
    <row r="83" spans="2:43">
      <c r="B83" s="3" t="str">
        <f>'Financing Assumptions'!B50</f>
        <v>Term</v>
      </c>
      <c r="E83" s="3" t="str">
        <f>'Financing Assumptions'!E50</f>
        <v>Years</v>
      </c>
      <c r="H83" s="70">
        <f>'Financing Assumptions'!I50</f>
        <v>22</v>
      </c>
    </row>
    <row r="84" spans="2:43">
      <c r="B84" s="3" t="str">
        <f>'Financing Assumptions'!B51</f>
        <v>Grace Period</v>
      </c>
      <c r="E84" s="3" t="str">
        <f>'Financing Assumptions'!E51</f>
        <v>Years</v>
      </c>
      <c r="H84" s="70">
        <f>'Financing Assumptions'!I51</f>
        <v>4</v>
      </c>
    </row>
    <row r="85" spans="2:43">
      <c r="B85" s="3" t="str">
        <f>'Financing Assumptions'!B52</f>
        <v>Repayment Schedule</v>
      </c>
      <c r="E85" s="3" t="str">
        <f>'Financing Assumptions'!E52</f>
        <v>Type</v>
      </c>
      <c r="H85" s="142" t="str">
        <f>'Financing Assumptions'!I52</f>
        <v>Straightline</v>
      </c>
    </row>
    <row r="86" spans="2:43">
      <c r="B86" s="3" t="s">
        <v>150</v>
      </c>
      <c r="E86" s="3" t="s">
        <v>51</v>
      </c>
      <c r="I86" s="115">
        <v>0.02</v>
      </c>
      <c r="J86" s="115">
        <v>0.02</v>
      </c>
      <c r="K86" s="115">
        <v>0.02</v>
      </c>
      <c r="L86" s="115">
        <v>0.02</v>
      </c>
      <c r="M86" s="115">
        <v>0.02</v>
      </c>
      <c r="N86" s="115">
        <v>0.02</v>
      </c>
      <c r="O86" s="115">
        <v>0.02</v>
      </c>
      <c r="P86" s="115">
        <v>0.02</v>
      </c>
      <c r="Q86" s="115">
        <v>0.02</v>
      </c>
      <c r="R86" s="115">
        <v>0.02</v>
      </c>
      <c r="S86" s="115">
        <v>0.02</v>
      </c>
      <c r="T86" s="115">
        <v>0.02</v>
      </c>
      <c r="U86" s="115">
        <v>0.02</v>
      </c>
      <c r="V86" s="115">
        <v>0.02</v>
      </c>
      <c r="W86" s="115">
        <v>0.02</v>
      </c>
      <c r="X86" s="115">
        <v>0.02</v>
      </c>
      <c r="Y86" s="115">
        <v>0.02</v>
      </c>
      <c r="Z86" s="115">
        <v>0.02</v>
      </c>
      <c r="AA86" s="115">
        <v>0.02</v>
      </c>
      <c r="AB86" s="115">
        <v>0.02</v>
      </c>
      <c r="AC86" s="115">
        <v>0.02</v>
      </c>
      <c r="AD86" s="115">
        <v>0.02</v>
      </c>
      <c r="AE86" s="115">
        <v>0.02</v>
      </c>
      <c r="AF86" s="115">
        <v>0.02</v>
      </c>
      <c r="AG86" s="115">
        <v>0.02</v>
      </c>
      <c r="AH86" s="115">
        <v>0.02</v>
      </c>
      <c r="AI86" s="115">
        <v>0.02</v>
      </c>
      <c r="AJ86" s="115">
        <v>0.02</v>
      </c>
      <c r="AK86" s="115">
        <v>0.02</v>
      </c>
      <c r="AL86" s="115">
        <v>0.02</v>
      </c>
      <c r="AM86" s="115">
        <v>0.02</v>
      </c>
      <c r="AN86" s="115">
        <v>0.02</v>
      </c>
      <c r="AO86" s="115">
        <v>0.02</v>
      </c>
      <c r="AP86" s="115">
        <v>0.02</v>
      </c>
      <c r="AQ86" s="115">
        <v>0.02</v>
      </c>
    </row>
    <row r="88" spans="2:43">
      <c r="B88" s="3" t="s">
        <v>151</v>
      </c>
      <c r="E88" s="3" t="str">
        <f t="shared" ref="E88:E93" si="69">Currency&amp;"mm"</f>
        <v>CADmm</v>
      </c>
      <c r="I88" s="70">
        <v>0</v>
      </c>
      <c r="J88" s="70">
        <f t="shared" ref="J88:AQ88" si="70">I93</f>
        <v>31.853322639790964</v>
      </c>
      <c r="K88" s="70">
        <f t="shared" si="70"/>
        <v>51.984353080984185</v>
      </c>
      <c r="L88" s="70">
        <f t="shared" si="70"/>
        <v>72.873329938188022</v>
      </c>
      <c r="M88" s="70">
        <f t="shared" si="70"/>
        <v>98.634885198063742</v>
      </c>
      <c r="N88" s="70">
        <f t="shared" si="70"/>
        <v>93.155169353726876</v>
      </c>
      <c r="O88" s="70">
        <f t="shared" si="70"/>
        <v>87.675453509389996</v>
      </c>
      <c r="P88" s="70">
        <f t="shared" si="70"/>
        <v>82.195737665053116</v>
      </c>
      <c r="Q88" s="70">
        <f t="shared" si="70"/>
        <v>76.716021820716236</v>
      </c>
      <c r="R88" s="70">
        <f t="shared" si="70"/>
        <v>71.236305976379356</v>
      </c>
      <c r="S88" s="70">
        <f t="shared" si="70"/>
        <v>65.756590132042476</v>
      </c>
      <c r="T88" s="70">
        <f t="shared" si="70"/>
        <v>60.276874287705603</v>
      </c>
      <c r="U88" s="70">
        <f t="shared" si="70"/>
        <v>54.79715844336873</v>
      </c>
      <c r="V88" s="70">
        <f t="shared" si="70"/>
        <v>49.317442599031857</v>
      </c>
      <c r="W88" s="70">
        <f t="shared" si="70"/>
        <v>43.837726754694984</v>
      </c>
      <c r="X88" s="70">
        <f t="shared" si="70"/>
        <v>38.358010910358111</v>
      </c>
      <c r="Y88" s="70">
        <f t="shared" si="70"/>
        <v>32.878295066021238</v>
      </c>
      <c r="Z88" s="70">
        <f t="shared" si="70"/>
        <v>27.398579221684365</v>
      </c>
      <c r="AA88" s="70">
        <f t="shared" si="70"/>
        <v>21.918863377347492</v>
      </c>
      <c r="AB88" s="70">
        <f t="shared" si="70"/>
        <v>16.439147533010619</v>
      </c>
      <c r="AC88" s="70">
        <f t="shared" si="70"/>
        <v>10.959431688673746</v>
      </c>
      <c r="AD88" s="70">
        <f t="shared" si="70"/>
        <v>5.479715844336873</v>
      </c>
      <c r="AE88" s="70">
        <f t="shared" si="70"/>
        <v>0</v>
      </c>
      <c r="AF88" s="70">
        <f t="shared" si="70"/>
        <v>0</v>
      </c>
      <c r="AG88" s="70">
        <f t="shared" si="70"/>
        <v>0</v>
      </c>
      <c r="AH88" s="70">
        <f t="shared" si="70"/>
        <v>0</v>
      </c>
      <c r="AI88" s="70">
        <f t="shared" si="70"/>
        <v>0</v>
      </c>
      <c r="AJ88" s="70">
        <f t="shared" si="70"/>
        <v>0</v>
      </c>
      <c r="AK88" s="70">
        <f t="shared" si="70"/>
        <v>0</v>
      </c>
      <c r="AL88" s="70">
        <f t="shared" si="70"/>
        <v>0</v>
      </c>
      <c r="AM88" s="70">
        <f t="shared" si="70"/>
        <v>0</v>
      </c>
      <c r="AN88" s="70">
        <f t="shared" si="70"/>
        <v>0</v>
      </c>
      <c r="AO88" s="70">
        <f t="shared" si="70"/>
        <v>0</v>
      </c>
      <c r="AP88" s="70">
        <f t="shared" si="70"/>
        <v>0</v>
      </c>
      <c r="AQ88" s="70">
        <f t="shared" si="70"/>
        <v>0</v>
      </c>
    </row>
    <row r="89" spans="2:43">
      <c r="B89" s="39" t="s">
        <v>171</v>
      </c>
      <c r="E89" s="3" t="str">
        <f t="shared" si="69"/>
        <v>CADmm</v>
      </c>
      <c r="F89" s="3" t="s">
        <v>57</v>
      </c>
      <c r="I89" s="70">
        <f>IF(I44&lt;COD,'Financing Assumptions'!I28,0)</f>
        <v>30.77615713989465</v>
      </c>
      <c r="J89" s="70">
        <f>IF(J44&lt;COD,'Financing Assumptions'!J28,0)</f>
        <v>18.373105457778298</v>
      </c>
      <c r="K89" s="70">
        <f>IF(K44&lt;COD,'Financing Assumptions'!K28,0)</f>
        <v>18.424661352047714</v>
      </c>
      <c r="L89" s="70">
        <f>IF(L44&lt;COD,'Financing Assumptions'!L28,0)</f>
        <v>22.426076050279356</v>
      </c>
      <c r="M89" s="70">
        <f>IF(M44&lt;COD,'Financing Assumptions'!M28,0)</f>
        <v>0</v>
      </c>
      <c r="N89" s="70">
        <f>IF(N44&lt;COD,'Financing Assumptions'!N28,0)</f>
        <v>0</v>
      </c>
      <c r="O89" s="70">
        <f>IF(O44&lt;COD,'Financing Assumptions'!O28,0)</f>
        <v>0</v>
      </c>
      <c r="P89" s="70">
        <f>IF(P44&lt;COD,'Financing Assumptions'!P28,0)</f>
        <v>0</v>
      </c>
      <c r="Q89" s="70">
        <f>IF(Q44&lt;COD,'Financing Assumptions'!Q28,0)</f>
        <v>0</v>
      </c>
      <c r="R89" s="70">
        <f>IF(R44&lt;COD,'Financing Assumptions'!R28,0)</f>
        <v>0</v>
      </c>
      <c r="S89" s="70">
        <f>IF(S44&lt;COD,'Financing Assumptions'!S28,0)</f>
        <v>0</v>
      </c>
      <c r="T89" s="70">
        <f>IF(T44&lt;COD,'Financing Assumptions'!T28,0)</f>
        <v>0</v>
      </c>
      <c r="U89" s="70">
        <f>IF(U44&lt;COD,'Financing Assumptions'!U28,0)</f>
        <v>0</v>
      </c>
      <c r="V89" s="70">
        <f>IF(V44&lt;COD,'Financing Assumptions'!V28,0)</f>
        <v>0</v>
      </c>
      <c r="W89" s="70">
        <f>IF(W44&lt;COD,'Financing Assumptions'!W28,0)</f>
        <v>0</v>
      </c>
      <c r="X89" s="70">
        <f>IF(X44&lt;COD,'Financing Assumptions'!X28,0)</f>
        <v>0</v>
      </c>
      <c r="Y89" s="70">
        <f>IF(Y44&lt;COD,'Financing Assumptions'!Y28,0)</f>
        <v>0</v>
      </c>
      <c r="Z89" s="70">
        <f>IF(Z44&lt;COD,'Financing Assumptions'!Z28,0)</f>
        <v>0</v>
      </c>
      <c r="AA89" s="70">
        <f>IF(AA44&lt;COD,'Financing Assumptions'!AA28,0)</f>
        <v>0</v>
      </c>
      <c r="AB89" s="70">
        <f>IF(AB44&lt;COD,'Financing Assumptions'!AB28,0)</f>
        <v>0</v>
      </c>
      <c r="AC89" s="70">
        <f>IF(AC44&lt;COD,'Financing Assumptions'!AC28,0)</f>
        <v>0</v>
      </c>
      <c r="AD89" s="70">
        <f>IF(AD44&lt;COD,'Financing Assumptions'!AD28,0)</f>
        <v>0</v>
      </c>
      <c r="AE89" s="70">
        <f>IF(AE44&lt;COD,'Financing Assumptions'!AE28,0)</f>
        <v>0</v>
      </c>
      <c r="AF89" s="70">
        <f>IF(AF44&lt;COD,'Financing Assumptions'!AF28,0)</f>
        <v>0</v>
      </c>
      <c r="AG89" s="70">
        <f>IF(AG44&lt;COD,'Financing Assumptions'!AG28,0)</f>
        <v>0</v>
      </c>
      <c r="AH89" s="70">
        <f>IF(AH44&lt;COD,'Financing Assumptions'!AH28,0)</f>
        <v>0</v>
      </c>
      <c r="AI89" s="70">
        <f>IF(AI44&lt;COD,'Financing Assumptions'!AI28,0)</f>
        <v>0</v>
      </c>
      <c r="AJ89" s="70">
        <f>IF(AJ44&lt;COD,'Financing Assumptions'!AJ28,0)</f>
        <v>0</v>
      </c>
      <c r="AK89" s="70">
        <f>IF(AK44&lt;COD,'Financing Assumptions'!AK28,0)</f>
        <v>0</v>
      </c>
      <c r="AL89" s="70">
        <f>IF(AL44&lt;COD,'Financing Assumptions'!AL28,0)</f>
        <v>0</v>
      </c>
      <c r="AM89" s="70">
        <f>IF(AM44&lt;COD,'Financing Assumptions'!AM28,0)</f>
        <v>0</v>
      </c>
      <c r="AN89" s="70">
        <f>IF(AN44&lt;COD,'Financing Assumptions'!AN28,0)</f>
        <v>0</v>
      </c>
      <c r="AO89" s="70">
        <f>IF(AO44&lt;COD,'Financing Assumptions'!AO28,0)</f>
        <v>0</v>
      </c>
      <c r="AP89" s="70">
        <f>IF(AP44&lt;COD,'Financing Assumptions'!AP28,0)</f>
        <v>0</v>
      </c>
      <c r="AQ89" s="70">
        <f>IF(AQ44&lt;COD,'Financing Assumptions'!AQ28,0)</f>
        <v>0</v>
      </c>
    </row>
    <row r="90" spans="2:43">
      <c r="B90" s="39" t="s">
        <v>181</v>
      </c>
      <c r="E90" s="3" t="str">
        <f t="shared" si="69"/>
        <v>CADmm</v>
      </c>
      <c r="F90" s="3" t="s">
        <v>57</v>
      </c>
      <c r="I90" s="70">
        <f t="shared" ref="I90:AQ90" si="71">IF(I$44&gt;End,"",IF(I$44&lt;COD,I96,0))</f>
        <v>1.0771654998963129</v>
      </c>
      <c r="J90" s="70">
        <f t="shared" si="71"/>
        <v>1.7579249834149244</v>
      </c>
      <c r="K90" s="70">
        <f t="shared" si="71"/>
        <v>2.4643155051561165</v>
      </c>
      <c r="L90" s="70">
        <f t="shared" si="71"/>
        <v>3.3354792095963588</v>
      </c>
      <c r="M90" s="70">
        <f t="shared" si="71"/>
        <v>0</v>
      </c>
      <c r="N90" s="70">
        <f t="shared" si="71"/>
        <v>0</v>
      </c>
      <c r="O90" s="70">
        <f t="shared" si="71"/>
        <v>0</v>
      </c>
      <c r="P90" s="70">
        <f t="shared" si="71"/>
        <v>0</v>
      </c>
      <c r="Q90" s="70">
        <f t="shared" si="71"/>
        <v>0</v>
      </c>
      <c r="R90" s="70">
        <f t="shared" si="71"/>
        <v>0</v>
      </c>
      <c r="S90" s="70">
        <f t="shared" si="71"/>
        <v>0</v>
      </c>
      <c r="T90" s="70">
        <f t="shared" si="71"/>
        <v>0</v>
      </c>
      <c r="U90" s="70">
        <f t="shared" si="71"/>
        <v>0</v>
      </c>
      <c r="V90" s="70">
        <f t="shared" si="71"/>
        <v>0</v>
      </c>
      <c r="W90" s="70">
        <f t="shared" si="71"/>
        <v>0</v>
      </c>
      <c r="X90" s="70">
        <f t="shared" si="71"/>
        <v>0</v>
      </c>
      <c r="Y90" s="70">
        <f t="shared" si="71"/>
        <v>0</v>
      </c>
      <c r="Z90" s="70">
        <f t="shared" si="71"/>
        <v>0</v>
      </c>
      <c r="AA90" s="70">
        <f t="shared" si="71"/>
        <v>0</v>
      </c>
      <c r="AB90" s="70">
        <f t="shared" si="71"/>
        <v>0</v>
      </c>
      <c r="AC90" s="70">
        <f t="shared" si="71"/>
        <v>0</v>
      </c>
      <c r="AD90" s="70">
        <f t="shared" si="71"/>
        <v>0</v>
      </c>
      <c r="AE90" s="70">
        <f t="shared" si="71"/>
        <v>0</v>
      </c>
      <c r="AF90" s="70">
        <f t="shared" si="71"/>
        <v>0</v>
      </c>
      <c r="AG90" s="70">
        <f t="shared" si="71"/>
        <v>0</v>
      </c>
      <c r="AH90" s="70">
        <f t="shared" si="71"/>
        <v>0</v>
      </c>
      <c r="AI90" s="70">
        <f t="shared" si="71"/>
        <v>0</v>
      </c>
      <c r="AJ90" s="70">
        <f t="shared" si="71"/>
        <v>0</v>
      </c>
      <c r="AK90" s="70">
        <f t="shared" si="71"/>
        <v>0</v>
      </c>
      <c r="AL90" s="70">
        <f t="shared" si="71"/>
        <v>0</v>
      </c>
      <c r="AM90" s="70">
        <f t="shared" si="71"/>
        <v>0</v>
      </c>
      <c r="AN90" s="70">
        <f t="shared" si="71"/>
        <v>0</v>
      </c>
      <c r="AO90" s="70">
        <f t="shared" si="71"/>
        <v>0</v>
      </c>
      <c r="AP90" s="70">
        <f t="shared" si="71"/>
        <v>0</v>
      </c>
      <c r="AQ90" s="70">
        <f t="shared" si="71"/>
        <v>0</v>
      </c>
    </row>
    <row r="91" spans="2:43">
      <c r="B91" s="39" t="s">
        <v>172</v>
      </c>
      <c r="E91" s="3" t="str">
        <f t="shared" si="69"/>
        <v>CADmm</v>
      </c>
      <c r="F91" s="3" t="s">
        <v>57</v>
      </c>
      <c r="I91" s="70">
        <f t="shared" ref="I91:AQ91" si="72">-IF(I$44&gt;End,"",IF(I$43&gt;$H83,0,IF(I$43&gt;$H84,($H81+SUM($I90:$AQ90))/($H83-$H84),0)))</f>
        <v>0</v>
      </c>
      <c r="J91" s="70">
        <f t="shared" si="72"/>
        <v>0</v>
      </c>
      <c r="K91" s="70">
        <f t="shared" si="72"/>
        <v>0</v>
      </c>
      <c r="L91" s="70">
        <f t="shared" si="72"/>
        <v>0</v>
      </c>
      <c r="M91" s="70">
        <f t="shared" si="72"/>
        <v>-5.479715844336873</v>
      </c>
      <c r="N91" s="70">
        <f t="shared" si="72"/>
        <v>-5.479715844336873</v>
      </c>
      <c r="O91" s="70">
        <f t="shared" si="72"/>
        <v>-5.479715844336873</v>
      </c>
      <c r="P91" s="70">
        <f t="shared" si="72"/>
        <v>-5.479715844336873</v>
      </c>
      <c r="Q91" s="70">
        <f t="shared" si="72"/>
        <v>-5.479715844336873</v>
      </c>
      <c r="R91" s="70">
        <f t="shared" si="72"/>
        <v>-5.479715844336873</v>
      </c>
      <c r="S91" s="70">
        <f t="shared" si="72"/>
        <v>-5.479715844336873</v>
      </c>
      <c r="T91" s="70">
        <f t="shared" si="72"/>
        <v>-5.479715844336873</v>
      </c>
      <c r="U91" s="70">
        <f t="shared" si="72"/>
        <v>-5.479715844336873</v>
      </c>
      <c r="V91" s="70">
        <f t="shared" si="72"/>
        <v>-5.479715844336873</v>
      </c>
      <c r="W91" s="70">
        <f t="shared" si="72"/>
        <v>-5.479715844336873</v>
      </c>
      <c r="X91" s="70">
        <f t="shared" si="72"/>
        <v>-5.479715844336873</v>
      </c>
      <c r="Y91" s="70">
        <f t="shared" si="72"/>
        <v>-5.479715844336873</v>
      </c>
      <c r="Z91" s="70">
        <f t="shared" si="72"/>
        <v>-5.479715844336873</v>
      </c>
      <c r="AA91" s="70">
        <f t="shared" si="72"/>
        <v>-5.479715844336873</v>
      </c>
      <c r="AB91" s="70">
        <f t="shared" si="72"/>
        <v>-5.479715844336873</v>
      </c>
      <c r="AC91" s="70">
        <f t="shared" si="72"/>
        <v>-5.479715844336873</v>
      </c>
      <c r="AD91" s="70">
        <f t="shared" si="72"/>
        <v>-5.479715844336873</v>
      </c>
      <c r="AE91" s="70">
        <f t="shared" si="72"/>
        <v>0</v>
      </c>
      <c r="AF91" s="70">
        <f t="shared" si="72"/>
        <v>0</v>
      </c>
      <c r="AG91" s="70">
        <f t="shared" si="72"/>
        <v>0</v>
      </c>
      <c r="AH91" s="70">
        <f t="shared" si="72"/>
        <v>0</v>
      </c>
      <c r="AI91" s="70">
        <f t="shared" si="72"/>
        <v>0</v>
      </c>
      <c r="AJ91" s="70">
        <f t="shared" si="72"/>
        <v>0</v>
      </c>
      <c r="AK91" s="70">
        <f t="shared" si="72"/>
        <v>0</v>
      </c>
      <c r="AL91" s="70">
        <f t="shared" si="72"/>
        <v>0</v>
      </c>
      <c r="AM91" s="70">
        <f t="shared" si="72"/>
        <v>0</v>
      </c>
      <c r="AN91" s="70">
        <f t="shared" si="72"/>
        <v>0</v>
      </c>
      <c r="AO91" s="70">
        <f t="shared" si="72"/>
        <v>0</v>
      </c>
      <c r="AP91" s="70">
        <f t="shared" si="72"/>
        <v>0</v>
      </c>
      <c r="AQ91" s="70">
        <f t="shared" si="72"/>
        <v>0</v>
      </c>
    </row>
    <row r="92" spans="2:43">
      <c r="B92" s="121" t="s">
        <v>173</v>
      </c>
      <c r="C92" s="118"/>
      <c r="D92" s="118"/>
      <c r="E92" s="118" t="str">
        <f t="shared" si="69"/>
        <v>CADmm</v>
      </c>
      <c r="F92" s="118" t="s">
        <v>57</v>
      </c>
      <c r="G92" s="118"/>
      <c r="H92" s="118"/>
      <c r="I92" s="122"/>
      <c r="J92" s="122"/>
      <c r="K92" s="122"/>
      <c r="L92" s="122"/>
      <c r="M92" s="122"/>
      <c r="N92" s="122"/>
      <c r="O92" s="122"/>
      <c r="P92" s="122"/>
      <c r="Q92" s="122"/>
      <c r="R92" s="122"/>
      <c r="S92" s="122"/>
      <c r="T92" s="122"/>
      <c r="U92" s="122"/>
      <c r="V92" s="122"/>
      <c r="W92" s="122"/>
      <c r="X92" s="122"/>
      <c r="Y92" s="122"/>
      <c r="Z92" s="122"/>
      <c r="AA92" s="122"/>
      <c r="AB92" s="122"/>
      <c r="AC92" s="122"/>
      <c r="AD92" s="122"/>
      <c r="AE92" s="122"/>
      <c r="AF92" s="122"/>
      <c r="AG92" s="122"/>
      <c r="AH92" s="122"/>
      <c r="AI92" s="122"/>
      <c r="AJ92" s="122"/>
      <c r="AK92" s="122"/>
      <c r="AL92" s="122"/>
      <c r="AM92" s="122"/>
      <c r="AN92" s="122"/>
      <c r="AO92" s="122"/>
      <c r="AP92" s="122"/>
      <c r="AQ92" s="122"/>
    </row>
    <row r="93" spans="2:43">
      <c r="B93" s="11" t="s">
        <v>152</v>
      </c>
      <c r="E93" s="11" t="str">
        <f t="shared" si="69"/>
        <v>CADmm</v>
      </c>
      <c r="I93" s="134">
        <f t="shared" ref="I93:AQ93" si="73">SUM(I88:I92)</f>
        <v>31.853322639790964</v>
      </c>
      <c r="J93" s="134">
        <f t="shared" si="73"/>
        <v>51.984353080984185</v>
      </c>
      <c r="K93" s="134">
        <f t="shared" si="73"/>
        <v>72.873329938188022</v>
      </c>
      <c r="L93" s="134">
        <f t="shared" si="73"/>
        <v>98.634885198063742</v>
      </c>
      <c r="M93" s="134">
        <f t="shared" si="73"/>
        <v>93.155169353726876</v>
      </c>
      <c r="N93" s="134">
        <f t="shared" si="73"/>
        <v>87.675453509389996</v>
      </c>
      <c r="O93" s="134">
        <f t="shared" si="73"/>
        <v>82.195737665053116</v>
      </c>
      <c r="P93" s="134">
        <f t="shared" si="73"/>
        <v>76.716021820716236</v>
      </c>
      <c r="Q93" s="134">
        <f t="shared" si="73"/>
        <v>71.236305976379356</v>
      </c>
      <c r="R93" s="134">
        <f t="shared" si="73"/>
        <v>65.756590132042476</v>
      </c>
      <c r="S93" s="134">
        <f t="shared" si="73"/>
        <v>60.276874287705603</v>
      </c>
      <c r="T93" s="134">
        <f t="shared" si="73"/>
        <v>54.79715844336873</v>
      </c>
      <c r="U93" s="134">
        <f t="shared" si="73"/>
        <v>49.317442599031857</v>
      </c>
      <c r="V93" s="134">
        <f t="shared" si="73"/>
        <v>43.837726754694984</v>
      </c>
      <c r="W93" s="134">
        <f t="shared" si="73"/>
        <v>38.358010910358111</v>
      </c>
      <c r="X93" s="134">
        <f t="shared" si="73"/>
        <v>32.878295066021238</v>
      </c>
      <c r="Y93" s="134">
        <f t="shared" si="73"/>
        <v>27.398579221684365</v>
      </c>
      <c r="Z93" s="134">
        <f t="shared" si="73"/>
        <v>21.918863377347492</v>
      </c>
      <c r="AA93" s="134">
        <f t="shared" si="73"/>
        <v>16.439147533010619</v>
      </c>
      <c r="AB93" s="134">
        <f t="shared" si="73"/>
        <v>10.959431688673746</v>
      </c>
      <c r="AC93" s="134">
        <f t="shared" si="73"/>
        <v>5.479715844336873</v>
      </c>
      <c r="AD93" s="134">
        <f t="shared" si="73"/>
        <v>0</v>
      </c>
      <c r="AE93" s="134">
        <f t="shared" si="73"/>
        <v>0</v>
      </c>
      <c r="AF93" s="134">
        <f t="shared" si="73"/>
        <v>0</v>
      </c>
      <c r="AG93" s="134">
        <f t="shared" si="73"/>
        <v>0</v>
      </c>
      <c r="AH93" s="134">
        <f t="shared" si="73"/>
        <v>0</v>
      </c>
      <c r="AI93" s="134">
        <f t="shared" si="73"/>
        <v>0</v>
      </c>
      <c r="AJ93" s="134">
        <f t="shared" si="73"/>
        <v>0</v>
      </c>
      <c r="AK93" s="134">
        <f t="shared" si="73"/>
        <v>0</v>
      </c>
      <c r="AL93" s="134">
        <f t="shared" si="73"/>
        <v>0</v>
      </c>
      <c r="AM93" s="134">
        <f t="shared" si="73"/>
        <v>0</v>
      </c>
      <c r="AN93" s="134">
        <f t="shared" si="73"/>
        <v>0</v>
      </c>
      <c r="AO93" s="134">
        <f t="shared" si="73"/>
        <v>0</v>
      </c>
      <c r="AP93" s="134">
        <f t="shared" si="73"/>
        <v>0</v>
      </c>
      <c r="AQ93" s="134">
        <f t="shared" si="73"/>
        <v>0</v>
      </c>
    </row>
    <row r="95" spans="2:43">
      <c r="B95" s="3" t="s">
        <v>148</v>
      </c>
      <c r="I95" s="126">
        <f>$H82+I86</f>
        <v>7.0000000000000007E-2</v>
      </c>
      <c r="J95" s="126">
        <f t="shared" ref="J95:AQ95" si="74">$H82+J86</f>
        <v>7.0000000000000007E-2</v>
      </c>
      <c r="K95" s="126">
        <f t="shared" si="74"/>
        <v>7.0000000000000007E-2</v>
      </c>
      <c r="L95" s="126">
        <f t="shared" si="74"/>
        <v>7.0000000000000007E-2</v>
      </c>
      <c r="M95" s="126">
        <f t="shared" si="74"/>
        <v>7.0000000000000007E-2</v>
      </c>
      <c r="N95" s="126">
        <f t="shared" si="74"/>
        <v>7.0000000000000007E-2</v>
      </c>
      <c r="O95" s="126">
        <f t="shared" si="74"/>
        <v>7.0000000000000007E-2</v>
      </c>
      <c r="P95" s="126">
        <f t="shared" si="74"/>
        <v>7.0000000000000007E-2</v>
      </c>
      <c r="Q95" s="126">
        <f t="shared" si="74"/>
        <v>7.0000000000000007E-2</v>
      </c>
      <c r="R95" s="126">
        <f t="shared" si="74"/>
        <v>7.0000000000000007E-2</v>
      </c>
      <c r="S95" s="126">
        <f t="shared" si="74"/>
        <v>7.0000000000000007E-2</v>
      </c>
      <c r="T95" s="126">
        <f t="shared" si="74"/>
        <v>7.0000000000000007E-2</v>
      </c>
      <c r="U95" s="126">
        <f t="shared" si="74"/>
        <v>7.0000000000000007E-2</v>
      </c>
      <c r="V95" s="126">
        <f t="shared" si="74"/>
        <v>7.0000000000000007E-2</v>
      </c>
      <c r="W95" s="126">
        <f t="shared" si="74"/>
        <v>7.0000000000000007E-2</v>
      </c>
      <c r="X95" s="126">
        <f t="shared" si="74"/>
        <v>7.0000000000000007E-2</v>
      </c>
      <c r="Y95" s="126">
        <f t="shared" si="74"/>
        <v>7.0000000000000007E-2</v>
      </c>
      <c r="Z95" s="126">
        <f t="shared" si="74"/>
        <v>7.0000000000000007E-2</v>
      </c>
      <c r="AA95" s="126">
        <f t="shared" si="74"/>
        <v>7.0000000000000007E-2</v>
      </c>
      <c r="AB95" s="126">
        <f t="shared" si="74"/>
        <v>7.0000000000000007E-2</v>
      </c>
      <c r="AC95" s="126">
        <f t="shared" si="74"/>
        <v>7.0000000000000007E-2</v>
      </c>
      <c r="AD95" s="126">
        <f t="shared" si="74"/>
        <v>7.0000000000000007E-2</v>
      </c>
      <c r="AE95" s="126">
        <f t="shared" si="74"/>
        <v>7.0000000000000007E-2</v>
      </c>
      <c r="AF95" s="126">
        <f t="shared" si="74"/>
        <v>7.0000000000000007E-2</v>
      </c>
      <c r="AG95" s="126">
        <f t="shared" si="74"/>
        <v>7.0000000000000007E-2</v>
      </c>
      <c r="AH95" s="126">
        <f t="shared" si="74"/>
        <v>7.0000000000000007E-2</v>
      </c>
      <c r="AI95" s="126">
        <f t="shared" si="74"/>
        <v>7.0000000000000007E-2</v>
      </c>
      <c r="AJ95" s="126">
        <f t="shared" si="74"/>
        <v>7.0000000000000007E-2</v>
      </c>
      <c r="AK95" s="126">
        <f t="shared" si="74"/>
        <v>7.0000000000000007E-2</v>
      </c>
      <c r="AL95" s="126">
        <f t="shared" si="74"/>
        <v>7.0000000000000007E-2</v>
      </c>
      <c r="AM95" s="126">
        <f t="shared" si="74"/>
        <v>7.0000000000000007E-2</v>
      </c>
      <c r="AN95" s="126">
        <f t="shared" si="74"/>
        <v>7.0000000000000007E-2</v>
      </c>
      <c r="AO95" s="126">
        <f t="shared" si="74"/>
        <v>7.0000000000000007E-2</v>
      </c>
      <c r="AP95" s="126">
        <f t="shared" si="74"/>
        <v>7.0000000000000007E-2</v>
      </c>
      <c r="AQ95" s="126">
        <f t="shared" si="74"/>
        <v>7.0000000000000007E-2</v>
      </c>
    </row>
    <row r="96" spans="2:43">
      <c r="B96" s="3" t="s">
        <v>149</v>
      </c>
      <c r="I96" s="141">
        <f t="shared" ref="I96:AQ96" si="75">IF(I62&gt;End,"",(I88+I91+I89)/2*I95)</f>
        <v>1.0771654998963129</v>
      </c>
      <c r="J96" s="141">
        <f t="shared" si="75"/>
        <v>1.7579249834149244</v>
      </c>
      <c r="K96" s="141">
        <f t="shared" si="75"/>
        <v>2.4643155051561165</v>
      </c>
      <c r="L96" s="141">
        <f t="shared" si="75"/>
        <v>3.3354792095963588</v>
      </c>
      <c r="M96" s="141">
        <f t="shared" si="75"/>
        <v>3.2604309273804408</v>
      </c>
      <c r="N96" s="141">
        <f t="shared" si="75"/>
        <v>3.0686408728286501</v>
      </c>
      <c r="O96" s="141">
        <f t="shared" si="75"/>
        <v>2.8768508182768593</v>
      </c>
      <c r="P96" s="141">
        <f t="shared" si="75"/>
        <v>2.6850607637250685</v>
      </c>
      <c r="Q96" s="141">
        <f t="shared" si="75"/>
        <v>2.4932707091732778</v>
      </c>
      <c r="R96" s="141">
        <f t="shared" si="75"/>
        <v>2.301480654621487</v>
      </c>
      <c r="S96" s="141">
        <f t="shared" si="75"/>
        <v>2.1096906000696962</v>
      </c>
      <c r="T96" s="141">
        <f t="shared" si="75"/>
        <v>1.9179005455179057</v>
      </c>
      <c r="U96" s="141">
        <f t="shared" si="75"/>
        <v>1.7261104909661151</v>
      </c>
      <c r="V96" s="141">
        <f t="shared" si="75"/>
        <v>1.5343204364143246</v>
      </c>
      <c r="W96" s="141">
        <f t="shared" si="75"/>
        <v>1.342530381862534</v>
      </c>
      <c r="X96" s="141">
        <f t="shared" si="75"/>
        <v>1.1507403273107435</v>
      </c>
      <c r="Y96" s="141">
        <f t="shared" si="75"/>
        <v>0.95895027275895284</v>
      </c>
      <c r="Z96" s="141">
        <f t="shared" si="75"/>
        <v>0.76716021820716229</v>
      </c>
      <c r="AA96" s="141">
        <f t="shared" si="75"/>
        <v>0.57537016365537175</v>
      </c>
      <c r="AB96" s="141">
        <f t="shared" si="75"/>
        <v>0.38358010910358115</v>
      </c>
      <c r="AC96" s="141">
        <f t="shared" si="75"/>
        <v>0.19179005455179057</v>
      </c>
      <c r="AD96" s="141">
        <f t="shared" si="75"/>
        <v>0</v>
      </c>
      <c r="AE96" s="141">
        <f t="shared" si="75"/>
        <v>0</v>
      </c>
      <c r="AF96" s="141">
        <f t="shared" si="75"/>
        <v>0</v>
      </c>
      <c r="AG96" s="141">
        <f t="shared" si="75"/>
        <v>0</v>
      </c>
      <c r="AH96" s="141">
        <f t="shared" si="75"/>
        <v>0</v>
      </c>
      <c r="AI96" s="141">
        <f t="shared" si="75"/>
        <v>0</v>
      </c>
      <c r="AJ96" s="141">
        <f t="shared" si="75"/>
        <v>0</v>
      </c>
      <c r="AK96" s="141">
        <f t="shared" si="75"/>
        <v>0</v>
      </c>
      <c r="AL96" s="141">
        <f t="shared" si="75"/>
        <v>0</v>
      </c>
      <c r="AM96" s="141">
        <f t="shared" si="75"/>
        <v>0</v>
      </c>
      <c r="AN96" s="141">
        <f t="shared" si="75"/>
        <v>0</v>
      </c>
      <c r="AO96" s="141">
        <f t="shared" si="75"/>
        <v>0</v>
      </c>
      <c r="AP96" s="141">
        <f t="shared" si="75"/>
        <v>0</v>
      </c>
      <c r="AQ96" s="141">
        <f t="shared" si="75"/>
        <v>0</v>
      </c>
    </row>
    <row r="98" spans="2:43" ht="12" thickBot="1">
      <c r="B98" s="9" t="str">
        <f>'Financing Assumptions'!K47</f>
        <v>Debt Tranche 4</v>
      </c>
      <c r="C98" s="8"/>
      <c r="D98" s="8"/>
      <c r="E98" s="9" t="s">
        <v>48</v>
      </c>
      <c r="F98" s="9" t="s">
        <v>72</v>
      </c>
      <c r="G98" s="8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</row>
    <row r="99" spans="2:43">
      <c r="B99" s="3" t="str">
        <f>'Financing Assumptions'!K48</f>
        <v>Size</v>
      </c>
      <c r="E99" s="3" t="str">
        <f>'Financing Assumptions'!N48</f>
        <v>CADmm</v>
      </c>
      <c r="H99" s="70">
        <f>'Financing Assumptions'!R48</f>
        <v>80</v>
      </c>
    </row>
    <row r="100" spans="2:43">
      <c r="B100" s="3" t="str">
        <f>'Financing Assumptions'!K49</f>
        <v>Spread</v>
      </c>
      <c r="E100" s="3" t="str">
        <f>'Financing Assumptions'!N49</f>
        <v>%</v>
      </c>
      <c r="H100" s="126">
        <f>'Financing Assumptions'!R49</f>
        <v>0.05</v>
      </c>
    </row>
    <row r="101" spans="2:43">
      <c r="B101" s="3" t="str">
        <f>'Financing Assumptions'!K50</f>
        <v>Term</v>
      </c>
      <c r="E101" s="3" t="str">
        <f>'Financing Assumptions'!N50</f>
        <v>Years</v>
      </c>
      <c r="H101" s="70">
        <f>'Financing Assumptions'!R50</f>
        <v>23</v>
      </c>
    </row>
    <row r="102" spans="2:43">
      <c r="B102" s="3" t="str">
        <f>'Financing Assumptions'!K51</f>
        <v>Grace Period</v>
      </c>
      <c r="E102" s="3" t="str">
        <f>'Financing Assumptions'!N51</f>
        <v>Years</v>
      </c>
      <c r="H102" s="70">
        <f>'Financing Assumptions'!R51</f>
        <v>4</v>
      </c>
    </row>
    <row r="103" spans="2:43">
      <c r="B103" s="3" t="str">
        <f>'Financing Assumptions'!K52</f>
        <v>Repayment Schedule</v>
      </c>
      <c r="E103" s="3" t="str">
        <f>'Financing Assumptions'!N52</f>
        <v>Type</v>
      </c>
      <c r="H103" s="150" t="str">
        <f>'Financing Assumptions'!R52</f>
        <v>Sculpted</v>
      </c>
    </row>
    <row r="104" spans="2:43">
      <c r="B104" s="3" t="s">
        <v>150</v>
      </c>
      <c r="E104" s="3" t="s">
        <v>51</v>
      </c>
      <c r="I104" s="115">
        <v>0.02</v>
      </c>
      <c r="J104" s="115">
        <v>0.02</v>
      </c>
      <c r="K104" s="115">
        <v>0.02</v>
      </c>
      <c r="L104" s="115">
        <v>0.02</v>
      </c>
      <c r="M104" s="115">
        <v>0.02</v>
      </c>
      <c r="N104" s="115">
        <v>0.02</v>
      </c>
      <c r="O104" s="115">
        <v>0.02</v>
      </c>
      <c r="P104" s="115">
        <v>0.02</v>
      </c>
      <c r="Q104" s="115">
        <v>0.02</v>
      </c>
      <c r="R104" s="115">
        <v>0.02</v>
      </c>
      <c r="S104" s="115">
        <v>0.02</v>
      </c>
      <c r="T104" s="115">
        <v>0.02</v>
      </c>
      <c r="U104" s="115">
        <v>0.02</v>
      </c>
      <c r="V104" s="115">
        <v>0.02</v>
      </c>
      <c r="W104" s="115">
        <v>0.02</v>
      </c>
      <c r="X104" s="115">
        <v>0.02</v>
      </c>
      <c r="Y104" s="115">
        <v>0.02</v>
      </c>
      <c r="Z104" s="115">
        <v>0.02</v>
      </c>
      <c r="AA104" s="115">
        <v>0.02</v>
      </c>
      <c r="AB104" s="115">
        <v>0.02</v>
      </c>
      <c r="AC104" s="115">
        <v>0.02</v>
      </c>
      <c r="AD104" s="115">
        <v>0.02</v>
      </c>
      <c r="AE104" s="115">
        <v>0.02</v>
      </c>
      <c r="AF104" s="115">
        <v>0.02</v>
      </c>
      <c r="AG104" s="115">
        <v>0.02</v>
      </c>
      <c r="AH104" s="115">
        <v>0.02</v>
      </c>
      <c r="AI104" s="115">
        <v>0.02</v>
      </c>
      <c r="AJ104" s="115">
        <v>0.02</v>
      </c>
      <c r="AK104" s="115">
        <v>0.02</v>
      </c>
      <c r="AL104" s="115">
        <v>0.02</v>
      </c>
      <c r="AM104" s="115">
        <v>0.02</v>
      </c>
      <c r="AN104" s="115">
        <v>0.02</v>
      </c>
      <c r="AO104" s="115">
        <v>0.02</v>
      </c>
      <c r="AP104" s="115">
        <v>0.02</v>
      </c>
      <c r="AQ104" s="115">
        <v>0.02</v>
      </c>
    </row>
    <row r="106" spans="2:43">
      <c r="B106" s="3" t="s">
        <v>151</v>
      </c>
      <c r="E106" s="3" t="str">
        <f t="shared" ref="E106:E111" si="76">Currency&amp;"mm"</f>
        <v>CADmm</v>
      </c>
      <c r="I106" s="70">
        <v>0</v>
      </c>
      <c r="J106" s="70">
        <f t="shared" ref="J106:AQ106" si="77">I111</f>
        <v>28.314064568703078</v>
      </c>
      <c r="K106" s="70">
        <f t="shared" si="77"/>
        <v>46.208313849763719</v>
      </c>
      <c r="L106" s="70">
        <f t="shared" si="77"/>
        <v>64.776293278389346</v>
      </c>
      <c r="M106" s="70">
        <f t="shared" si="77"/>
        <v>87.675453509389968</v>
      </c>
      <c r="N106" s="70">
        <f t="shared" si="77"/>
        <v>83.060955956264181</v>
      </c>
      <c r="O106" s="70">
        <f t="shared" si="77"/>
        <v>78.446458403138394</v>
      </c>
      <c r="P106" s="70">
        <f t="shared" si="77"/>
        <v>73.831960850012607</v>
      </c>
      <c r="Q106" s="70">
        <f t="shared" si="77"/>
        <v>69.21746329688682</v>
      </c>
      <c r="R106" s="70">
        <f t="shared" si="77"/>
        <v>64.602965743761033</v>
      </c>
      <c r="S106" s="70">
        <f t="shared" si="77"/>
        <v>59.988468190635245</v>
      </c>
      <c r="T106" s="70">
        <f t="shared" si="77"/>
        <v>55.373970637509458</v>
      </c>
      <c r="U106" s="70">
        <f t="shared" si="77"/>
        <v>50.759473084383671</v>
      </c>
      <c r="V106" s="70">
        <f t="shared" si="77"/>
        <v>46.144975531257884</v>
      </c>
      <c r="W106" s="70">
        <f t="shared" si="77"/>
        <v>41.530477978132097</v>
      </c>
      <c r="X106" s="70">
        <f t="shared" si="77"/>
        <v>36.91598042500631</v>
      </c>
      <c r="Y106" s="70">
        <f t="shared" si="77"/>
        <v>32.301482871880523</v>
      </c>
      <c r="Z106" s="70">
        <f t="shared" si="77"/>
        <v>27.686985318754736</v>
      </c>
      <c r="AA106" s="70">
        <f t="shared" si="77"/>
        <v>23.072487765628949</v>
      </c>
      <c r="AB106" s="70">
        <f t="shared" si="77"/>
        <v>18.457990212503162</v>
      </c>
      <c r="AC106" s="70">
        <f t="shared" si="77"/>
        <v>13.843492659377375</v>
      </c>
      <c r="AD106" s="70">
        <f t="shared" si="77"/>
        <v>9.2289951062515883</v>
      </c>
      <c r="AE106" s="70">
        <f t="shared" si="77"/>
        <v>4.6144975531258003</v>
      </c>
      <c r="AF106" s="70">
        <f t="shared" si="77"/>
        <v>1.2434497875801753E-14</v>
      </c>
      <c r="AG106" s="70">
        <f t="shared" si="77"/>
        <v>1.2434497875801753E-14</v>
      </c>
      <c r="AH106" s="70">
        <f t="shared" si="77"/>
        <v>1.2434497875801753E-14</v>
      </c>
      <c r="AI106" s="70">
        <f t="shared" si="77"/>
        <v>1.2434497875801753E-14</v>
      </c>
      <c r="AJ106" s="70">
        <f t="shared" si="77"/>
        <v>1.2434497875801753E-14</v>
      </c>
      <c r="AK106" s="70">
        <f t="shared" si="77"/>
        <v>1.2434497875801753E-14</v>
      </c>
      <c r="AL106" s="70">
        <f t="shared" si="77"/>
        <v>1.2434497875801753E-14</v>
      </c>
      <c r="AM106" s="70">
        <f t="shared" si="77"/>
        <v>1.2434497875801753E-14</v>
      </c>
      <c r="AN106" s="70">
        <f t="shared" si="77"/>
        <v>1.2434497875801753E-14</v>
      </c>
      <c r="AO106" s="70">
        <f t="shared" si="77"/>
        <v>1.2434497875801753E-14</v>
      </c>
      <c r="AP106" s="70">
        <f t="shared" si="77"/>
        <v>1.2434497875801753E-14</v>
      </c>
      <c r="AQ106" s="70">
        <f t="shared" si="77"/>
        <v>1.2434497875801753E-14</v>
      </c>
    </row>
    <row r="107" spans="2:43">
      <c r="B107" s="39" t="s">
        <v>171</v>
      </c>
      <c r="E107" s="3" t="str">
        <f t="shared" si="76"/>
        <v>CADmm</v>
      </c>
      <c r="F107" s="3" t="s">
        <v>57</v>
      </c>
      <c r="I107" s="70">
        <f>'Financing Assumptions'!I29</f>
        <v>27.3565841243508</v>
      </c>
      <c r="J107" s="70">
        <f>'Financing Assumptions'!J29</f>
        <v>16.331649295802929</v>
      </c>
      <c r="K107" s="70">
        <f>'Financing Assumptions'!K29</f>
        <v>16.377476757375746</v>
      </c>
      <c r="L107" s="70">
        <f>'Financing Assumptions'!L29</f>
        <v>19.934289822470536</v>
      </c>
      <c r="M107" s="70">
        <f>'Financing Assumptions'!M29</f>
        <v>0</v>
      </c>
      <c r="N107" s="70">
        <f>'Financing Assumptions'!N29</f>
        <v>0</v>
      </c>
      <c r="O107" s="70">
        <f>'Financing Assumptions'!O29</f>
        <v>0</v>
      </c>
      <c r="P107" s="70">
        <f>'Financing Assumptions'!P29</f>
        <v>0</v>
      </c>
      <c r="Q107" s="70">
        <f>'Financing Assumptions'!Q29</f>
        <v>0</v>
      </c>
      <c r="R107" s="70">
        <f>'Financing Assumptions'!R29</f>
        <v>0</v>
      </c>
      <c r="S107" s="70">
        <f>'Financing Assumptions'!S29</f>
        <v>0</v>
      </c>
      <c r="T107" s="70">
        <f>'Financing Assumptions'!T29</f>
        <v>0</v>
      </c>
      <c r="U107" s="70">
        <f>'Financing Assumptions'!U29</f>
        <v>0</v>
      </c>
      <c r="V107" s="70">
        <f>'Financing Assumptions'!V29</f>
        <v>0</v>
      </c>
      <c r="W107" s="70">
        <f>'Financing Assumptions'!W29</f>
        <v>0</v>
      </c>
      <c r="X107" s="70">
        <f>'Financing Assumptions'!X29</f>
        <v>0</v>
      </c>
      <c r="Y107" s="70">
        <f>'Financing Assumptions'!Y29</f>
        <v>0</v>
      </c>
      <c r="Z107" s="70">
        <f>'Financing Assumptions'!Z29</f>
        <v>0</v>
      </c>
      <c r="AA107" s="70">
        <f>'Financing Assumptions'!AA29</f>
        <v>0</v>
      </c>
      <c r="AB107" s="70">
        <f>'Financing Assumptions'!AB29</f>
        <v>0</v>
      </c>
      <c r="AC107" s="70">
        <f>'Financing Assumptions'!AC29</f>
        <v>0</v>
      </c>
      <c r="AD107" s="70">
        <f>'Financing Assumptions'!AD29</f>
        <v>0</v>
      </c>
      <c r="AE107" s="70">
        <f>'Financing Assumptions'!AE29</f>
        <v>0</v>
      </c>
      <c r="AF107" s="70">
        <f>'Financing Assumptions'!AF29</f>
        <v>0</v>
      </c>
      <c r="AG107" s="70">
        <f>'Financing Assumptions'!AG29</f>
        <v>0</v>
      </c>
      <c r="AH107" s="70">
        <f>'Financing Assumptions'!AH29</f>
        <v>0</v>
      </c>
      <c r="AI107" s="70">
        <f>'Financing Assumptions'!AI29</f>
        <v>0</v>
      </c>
      <c r="AJ107" s="70">
        <f>'Financing Assumptions'!AJ29</f>
        <v>0</v>
      </c>
      <c r="AK107" s="70">
        <f>'Financing Assumptions'!AK29</f>
        <v>0</v>
      </c>
      <c r="AL107" s="70">
        <f>'Financing Assumptions'!AL29</f>
        <v>0</v>
      </c>
      <c r="AM107" s="70">
        <f>'Financing Assumptions'!AM29</f>
        <v>0</v>
      </c>
      <c r="AN107" s="70">
        <f>'Financing Assumptions'!AN29</f>
        <v>0</v>
      </c>
      <c r="AO107" s="70">
        <f>'Financing Assumptions'!AO29</f>
        <v>0</v>
      </c>
      <c r="AP107" s="70">
        <f>'Financing Assumptions'!AP29</f>
        <v>0</v>
      </c>
      <c r="AQ107" s="70">
        <f>'Financing Assumptions'!AQ29</f>
        <v>0</v>
      </c>
    </row>
    <row r="108" spans="2:43">
      <c r="B108" s="39" t="s">
        <v>181</v>
      </c>
      <c r="E108" s="3" t="str">
        <f t="shared" si="76"/>
        <v>CADmm</v>
      </c>
      <c r="F108" s="3" t="s">
        <v>57</v>
      </c>
      <c r="I108" s="70">
        <f t="shared" ref="I108:AQ108" si="78">IF(I$44&gt;End,"",IF(I$44&lt;COD,I114,0))</f>
        <v>0.95748044435227808</v>
      </c>
      <c r="J108" s="70">
        <f t="shared" si="78"/>
        <v>1.5625999852577104</v>
      </c>
      <c r="K108" s="70">
        <f t="shared" si="78"/>
        <v>2.1905026712498814</v>
      </c>
      <c r="L108" s="70">
        <f t="shared" si="78"/>
        <v>2.9648704085300959</v>
      </c>
      <c r="M108" s="70">
        <f t="shared" si="78"/>
        <v>0</v>
      </c>
      <c r="N108" s="70">
        <f t="shared" si="78"/>
        <v>0</v>
      </c>
      <c r="O108" s="70">
        <f t="shared" si="78"/>
        <v>0</v>
      </c>
      <c r="P108" s="70">
        <f t="shared" si="78"/>
        <v>0</v>
      </c>
      <c r="Q108" s="70">
        <f t="shared" si="78"/>
        <v>0</v>
      </c>
      <c r="R108" s="70">
        <f t="shared" si="78"/>
        <v>0</v>
      </c>
      <c r="S108" s="70">
        <f t="shared" si="78"/>
        <v>0</v>
      </c>
      <c r="T108" s="70">
        <f t="shared" si="78"/>
        <v>0</v>
      </c>
      <c r="U108" s="70">
        <f t="shared" si="78"/>
        <v>0</v>
      </c>
      <c r="V108" s="70">
        <f t="shared" si="78"/>
        <v>0</v>
      </c>
      <c r="W108" s="70">
        <f t="shared" si="78"/>
        <v>0</v>
      </c>
      <c r="X108" s="70">
        <f t="shared" si="78"/>
        <v>0</v>
      </c>
      <c r="Y108" s="70">
        <f t="shared" si="78"/>
        <v>0</v>
      </c>
      <c r="Z108" s="70">
        <f t="shared" si="78"/>
        <v>0</v>
      </c>
      <c r="AA108" s="70">
        <f t="shared" si="78"/>
        <v>0</v>
      </c>
      <c r="AB108" s="70">
        <f t="shared" si="78"/>
        <v>0</v>
      </c>
      <c r="AC108" s="70">
        <f t="shared" si="78"/>
        <v>0</v>
      </c>
      <c r="AD108" s="70">
        <f t="shared" si="78"/>
        <v>0</v>
      </c>
      <c r="AE108" s="70">
        <f t="shared" si="78"/>
        <v>0</v>
      </c>
      <c r="AF108" s="70">
        <f t="shared" si="78"/>
        <v>0</v>
      </c>
      <c r="AG108" s="70">
        <f t="shared" si="78"/>
        <v>0</v>
      </c>
      <c r="AH108" s="70">
        <f t="shared" si="78"/>
        <v>0</v>
      </c>
      <c r="AI108" s="70">
        <f t="shared" si="78"/>
        <v>0</v>
      </c>
      <c r="AJ108" s="70">
        <f t="shared" si="78"/>
        <v>0</v>
      </c>
      <c r="AK108" s="70">
        <f t="shared" si="78"/>
        <v>0</v>
      </c>
      <c r="AL108" s="70">
        <f t="shared" si="78"/>
        <v>0</v>
      </c>
      <c r="AM108" s="70">
        <f t="shared" si="78"/>
        <v>0</v>
      </c>
      <c r="AN108" s="70">
        <f t="shared" si="78"/>
        <v>0</v>
      </c>
      <c r="AO108" s="70">
        <f t="shared" si="78"/>
        <v>0</v>
      </c>
      <c r="AP108" s="70">
        <f t="shared" si="78"/>
        <v>0</v>
      </c>
      <c r="AQ108" s="70">
        <f t="shared" si="78"/>
        <v>0</v>
      </c>
    </row>
    <row r="109" spans="2:43">
      <c r="B109" s="39" t="s">
        <v>172</v>
      </c>
      <c r="E109" s="3" t="str">
        <f t="shared" si="76"/>
        <v>CADmm</v>
      </c>
      <c r="F109" s="3" t="s">
        <v>57</v>
      </c>
      <c r="I109" s="70">
        <f t="shared" ref="I109:AQ109" si="79">-IF(I$44&gt;End,"",IF(I$43&gt;$H101,0,IF(I$43&gt;$H102,($H99+SUM($I108:$AQ108))/($H101-$H102),0)))</f>
        <v>0</v>
      </c>
      <c r="J109" s="70">
        <f t="shared" si="79"/>
        <v>0</v>
      </c>
      <c r="K109" s="70">
        <f t="shared" si="79"/>
        <v>0</v>
      </c>
      <c r="L109" s="70">
        <f t="shared" si="79"/>
        <v>0</v>
      </c>
      <c r="M109" s="70">
        <f t="shared" si="79"/>
        <v>-4.6144975531257879</v>
      </c>
      <c r="N109" s="70">
        <f t="shared" si="79"/>
        <v>-4.6144975531257879</v>
      </c>
      <c r="O109" s="70">
        <f t="shared" si="79"/>
        <v>-4.6144975531257879</v>
      </c>
      <c r="P109" s="70">
        <f t="shared" si="79"/>
        <v>-4.6144975531257879</v>
      </c>
      <c r="Q109" s="70">
        <f t="shared" si="79"/>
        <v>-4.6144975531257879</v>
      </c>
      <c r="R109" s="70">
        <f t="shared" si="79"/>
        <v>-4.6144975531257879</v>
      </c>
      <c r="S109" s="70">
        <f t="shared" si="79"/>
        <v>-4.6144975531257879</v>
      </c>
      <c r="T109" s="70">
        <f t="shared" si="79"/>
        <v>-4.6144975531257879</v>
      </c>
      <c r="U109" s="70">
        <f t="shared" si="79"/>
        <v>-4.6144975531257879</v>
      </c>
      <c r="V109" s="70">
        <f t="shared" si="79"/>
        <v>-4.6144975531257879</v>
      </c>
      <c r="W109" s="70">
        <f t="shared" si="79"/>
        <v>-4.6144975531257879</v>
      </c>
      <c r="X109" s="70">
        <f t="shared" si="79"/>
        <v>-4.6144975531257879</v>
      </c>
      <c r="Y109" s="70">
        <f t="shared" si="79"/>
        <v>-4.6144975531257879</v>
      </c>
      <c r="Z109" s="70">
        <f t="shared" si="79"/>
        <v>-4.6144975531257879</v>
      </c>
      <c r="AA109" s="70">
        <f t="shared" si="79"/>
        <v>-4.6144975531257879</v>
      </c>
      <c r="AB109" s="70">
        <f t="shared" si="79"/>
        <v>-4.6144975531257879</v>
      </c>
      <c r="AC109" s="70">
        <f t="shared" si="79"/>
        <v>-4.6144975531257879</v>
      </c>
      <c r="AD109" s="70">
        <f t="shared" si="79"/>
        <v>-4.6144975531257879</v>
      </c>
      <c r="AE109" s="70">
        <f t="shared" si="79"/>
        <v>-4.6144975531257879</v>
      </c>
      <c r="AF109" s="70">
        <f t="shared" si="79"/>
        <v>0</v>
      </c>
      <c r="AG109" s="70">
        <f t="shared" si="79"/>
        <v>0</v>
      </c>
      <c r="AH109" s="70">
        <f t="shared" si="79"/>
        <v>0</v>
      </c>
      <c r="AI109" s="70">
        <f t="shared" si="79"/>
        <v>0</v>
      </c>
      <c r="AJ109" s="70">
        <f t="shared" si="79"/>
        <v>0</v>
      </c>
      <c r="AK109" s="70">
        <f t="shared" si="79"/>
        <v>0</v>
      </c>
      <c r="AL109" s="70">
        <f t="shared" si="79"/>
        <v>0</v>
      </c>
      <c r="AM109" s="70">
        <f t="shared" si="79"/>
        <v>0</v>
      </c>
      <c r="AN109" s="70">
        <f t="shared" si="79"/>
        <v>0</v>
      </c>
      <c r="AO109" s="70">
        <f t="shared" si="79"/>
        <v>0</v>
      </c>
      <c r="AP109" s="70">
        <f t="shared" si="79"/>
        <v>0</v>
      </c>
      <c r="AQ109" s="70">
        <f t="shared" si="79"/>
        <v>0</v>
      </c>
    </row>
    <row r="110" spans="2:43">
      <c r="B110" s="121" t="s">
        <v>173</v>
      </c>
      <c r="C110" s="118"/>
      <c r="D110" s="118"/>
      <c r="E110" s="118" t="str">
        <f t="shared" si="76"/>
        <v>CADmm</v>
      </c>
      <c r="F110" s="118" t="s">
        <v>57</v>
      </c>
      <c r="G110" s="118"/>
      <c r="H110" s="118"/>
      <c r="I110" s="122"/>
      <c r="J110" s="122"/>
      <c r="K110" s="122"/>
      <c r="L110" s="122"/>
      <c r="M110" s="122"/>
      <c r="N110" s="122"/>
      <c r="O110" s="122"/>
      <c r="P110" s="122"/>
      <c r="Q110" s="122"/>
      <c r="R110" s="122"/>
      <c r="S110" s="122"/>
      <c r="T110" s="122"/>
      <c r="U110" s="122"/>
      <c r="V110" s="122"/>
      <c r="W110" s="122"/>
      <c r="X110" s="122"/>
      <c r="Y110" s="122"/>
      <c r="Z110" s="122"/>
      <c r="AA110" s="122"/>
      <c r="AB110" s="122"/>
      <c r="AC110" s="122"/>
      <c r="AD110" s="122"/>
      <c r="AE110" s="122"/>
      <c r="AF110" s="122"/>
      <c r="AG110" s="122"/>
      <c r="AH110" s="122"/>
      <c r="AI110" s="122"/>
      <c r="AJ110" s="122"/>
      <c r="AK110" s="122"/>
      <c r="AL110" s="122"/>
      <c r="AM110" s="122"/>
      <c r="AN110" s="122"/>
      <c r="AO110" s="122"/>
      <c r="AP110" s="122"/>
      <c r="AQ110" s="122"/>
    </row>
    <row r="111" spans="2:43">
      <c r="B111" s="11" t="s">
        <v>152</v>
      </c>
      <c r="E111" s="11" t="str">
        <f t="shared" si="76"/>
        <v>CADmm</v>
      </c>
      <c r="I111" s="134">
        <f>SUM(I106:I110)</f>
        <v>28.314064568703078</v>
      </c>
      <c r="J111" s="134">
        <f t="shared" ref="J111:AQ111" si="80">SUM(J106:J110)</f>
        <v>46.208313849763719</v>
      </c>
      <c r="K111" s="134">
        <f t="shared" si="80"/>
        <v>64.776293278389346</v>
      </c>
      <c r="L111" s="134">
        <f t="shared" si="80"/>
        <v>87.675453509389968</v>
      </c>
      <c r="M111" s="134">
        <f t="shared" si="80"/>
        <v>83.060955956264181</v>
      </c>
      <c r="N111" s="134">
        <f t="shared" si="80"/>
        <v>78.446458403138394</v>
      </c>
      <c r="O111" s="134">
        <f t="shared" si="80"/>
        <v>73.831960850012607</v>
      </c>
      <c r="P111" s="134">
        <f t="shared" si="80"/>
        <v>69.21746329688682</v>
      </c>
      <c r="Q111" s="134">
        <f t="shared" si="80"/>
        <v>64.602965743761033</v>
      </c>
      <c r="R111" s="134">
        <f t="shared" si="80"/>
        <v>59.988468190635245</v>
      </c>
      <c r="S111" s="134">
        <f t="shared" si="80"/>
        <v>55.373970637509458</v>
      </c>
      <c r="T111" s="134">
        <f t="shared" si="80"/>
        <v>50.759473084383671</v>
      </c>
      <c r="U111" s="134">
        <f t="shared" si="80"/>
        <v>46.144975531257884</v>
      </c>
      <c r="V111" s="134">
        <f t="shared" si="80"/>
        <v>41.530477978132097</v>
      </c>
      <c r="W111" s="134">
        <f t="shared" si="80"/>
        <v>36.91598042500631</v>
      </c>
      <c r="X111" s="134">
        <f t="shared" si="80"/>
        <v>32.301482871880523</v>
      </c>
      <c r="Y111" s="134">
        <f t="shared" si="80"/>
        <v>27.686985318754736</v>
      </c>
      <c r="Z111" s="134">
        <f t="shared" si="80"/>
        <v>23.072487765628949</v>
      </c>
      <c r="AA111" s="134">
        <f t="shared" si="80"/>
        <v>18.457990212503162</v>
      </c>
      <c r="AB111" s="134">
        <f t="shared" si="80"/>
        <v>13.843492659377375</v>
      </c>
      <c r="AC111" s="134">
        <f t="shared" si="80"/>
        <v>9.2289951062515883</v>
      </c>
      <c r="AD111" s="134">
        <f t="shared" si="80"/>
        <v>4.6144975531258003</v>
      </c>
      <c r="AE111" s="134">
        <f t="shared" si="80"/>
        <v>1.2434497875801753E-14</v>
      </c>
      <c r="AF111" s="134">
        <f t="shared" si="80"/>
        <v>1.2434497875801753E-14</v>
      </c>
      <c r="AG111" s="134">
        <f t="shared" si="80"/>
        <v>1.2434497875801753E-14</v>
      </c>
      <c r="AH111" s="134">
        <f t="shared" si="80"/>
        <v>1.2434497875801753E-14</v>
      </c>
      <c r="AI111" s="134">
        <f t="shared" si="80"/>
        <v>1.2434497875801753E-14</v>
      </c>
      <c r="AJ111" s="134">
        <f t="shared" si="80"/>
        <v>1.2434497875801753E-14</v>
      </c>
      <c r="AK111" s="134">
        <f t="shared" si="80"/>
        <v>1.2434497875801753E-14</v>
      </c>
      <c r="AL111" s="134">
        <f t="shared" si="80"/>
        <v>1.2434497875801753E-14</v>
      </c>
      <c r="AM111" s="134">
        <f t="shared" si="80"/>
        <v>1.2434497875801753E-14</v>
      </c>
      <c r="AN111" s="134">
        <f t="shared" si="80"/>
        <v>1.2434497875801753E-14</v>
      </c>
      <c r="AO111" s="134">
        <f t="shared" si="80"/>
        <v>1.2434497875801753E-14</v>
      </c>
      <c r="AP111" s="134">
        <f t="shared" si="80"/>
        <v>1.2434497875801753E-14</v>
      </c>
      <c r="AQ111" s="134">
        <f t="shared" si="80"/>
        <v>1.2434497875801753E-14</v>
      </c>
    </row>
    <row r="113" spans="2:43">
      <c r="B113" s="3" t="s">
        <v>148</v>
      </c>
      <c r="I113" s="126">
        <f>$H100+I104</f>
        <v>7.0000000000000007E-2</v>
      </c>
      <c r="J113" s="126">
        <f t="shared" ref="J113:AQ113" si="81">$H100+J104</f>
        <v>7.0000000000000007E-2</v>
      </c>
      <c r="K113" s="126">
        <f t="shared" si="81"/>
        <v>7.0000000000000007E-2</v>
      </c>
      <c r="L113" s="126">
        <f t="shared" si="81"/>
        <v>7.0000000000000007E-2</v>
      </c>
      <c r="M113" s="126">
        <f t="shared" si="81"/>
        <v>7.0000000000000007E-2</v>
      </c>
      <c r="N113" s="126">
        <f t="shared" si="81"/>
        <v>7.0000000000000007E-2</v>
      </c>
      <c r="O113" s="126">
        <f t="shared" si="81"/>
        <v>7.0000000000000007E-2</v>
      </c>
      <c r="P113" s="126">
        <f t="shared" si="81"/>
        <v>7.0000000000000007E-2</v>
      </c>
      <c r="Q113" s="126">
        <f t="shared" si="81"/>
        <v>7.0000000000000007E-2</v>
      </c>
      <c r="R113" s="126">
        <f t="shared" si="81"/>
        <v>7.0000000000000007E-2</v>
      </c>
      <c r="S113" s="126">
        <f t="shared" si="81"/>
        <v>7.0000000000000007E-2</v>
      </c>
      <c r="T113" s="126">
        <f t="shared" si="81"/>
        <v>7.0000000000000007E-2</v>
      </c>
      <c r="U113" s="126">
        <f t="shared" si="81"/>
        <v>7.0000000000000007E-2</v>
      </c>
      <c r="V113" s="126">
        <f t="shared" si="81"/>
        <v>7.0000000000000007E-2</v>
      </c>
      <c r="W113" s="126">
        <f t="shared" si="81"/>
        <v>7.0000000000000007E-2</v>
      </c>
      <c r="X113" s="126">
        <f t="shared" si="81"/>
        <v>7.0000000000000007E-2</v>
      </c>
      <c r="Y113" s="126">
        <f t="shared" si="81"/>
        <v>7.0000000000000007E-2</v>
      </c>
      <c r="Z113" s="126">
        <f t="shared" si="81"/>
        <v>7.0000000000000007E-2</v>
      </c>
      <c r="AA113" s="126">
        <f t="shared" si="81"/>
        <v>7.0000000000000007E-2</v>
      </c>
      <c r="AB113" s="126">
        <f t="shared" si="81"/>
        <v>7.0000000000000007E-2</v>
      </c>
      <c r="AC113" s="126">
        <f t="shared" si="81"/>
        <v>7.0000000000000007E-2</v>
      </c>
      <c r="AD113" s="126">
        <f t="shared" si="81"/>
        <v>7.0000000000000007E-2</v>
      </c>
      <c r="AE113" s="126">
        <f t="shared" si="81"/>
        <v>7.0000000000000007E-2</v>
      </c>
      <c r="AF113" s="126">
        <f t="shared" si="81"/>
        <v>7.0000000000000007E-2</v>
      </c>
      <c r="AG113" s="126">
        <f t="shared" si="81"/>
        <v>7.0000000000000007E-2</v>
      </c>
      <c r="AH113" s="126">
        <f t="shared" si="81"/>
        <v>7.0000000000000007E-2</v>
      </c>
      <c r="AI113" s="126">
        <f t="shared" si="81"/>
        <v>7.0000000000000007E-2</v>
      </c>
      <c r="AJ113" s="126">
        <f t="shared" si="81"/>
        <v>7.0000000000000007E-2</v>
      </c>
      <c r="AK113" s="126">
        <f t="shared" si="81"/>
        <v>7.0000000000000007E-2</v>
      </c>
      <c r="AL113" s="126">
        <f t="shared" si="81"/>
        <v>7.0000000000000007E-2</v>
      </c>
      <c r="AM113" s="126">
        <f t="shared" si="81"/>
        <v>7.0000000000000007E-2</v>
      </c>
      <c r="AN113" s="126">
        <f t="shared" si="81"/>
        <v>7.0000000000000007E-2</v>
      </c>
      <c r="AO113" s="126">
        <f t="shared" si="81"/>
        <v>7.0000000000000007E-2</v>
      </c>
      <c r="AP113" s="126">
        <f t="shared" si="81"/>
        <v>7.0000000000000007E-2</v>
      </c>
      <c r="AQ113" s="126">
        <f t="shared" si="81"/>
        <v>7.0000000000000007E-2</v>
      </c>
    </row>
    <row r="114" spans="2:43">
      <c r="B114" s="3" t="s">
        <v>149</v>
      </c>
      <c r="I114" s="141">
        <f t="shared" ref="I114:AQ114" si="82">IF(I80&gt;End,"",(I106+I109+I107)/2*I113)</f>
        <v>0.95748044435227808</v>
      </c>
      <c r="J114" s="141">
        <f t="shared" si="82"/>
        <v>1.5625999852577104</v>
      </c>
      <c r="K114" s="141">
        <f t="shared" si="82"/>
        <v>2.1905026712498814</v>
      </c>
      <c r="L114" s="141">
        <f t="shared" si="82"/>
        <v>2.9648704085300959</v>
      </c>
      <c r="M114" s="141">
        <f t="shared" si="82"/>
        <v>2.9071334584692465</v>
      </c>
      <c r="N114" s="141">
        <f t="shared" si="82"/>
        <v>2.7456260441098439</v>
      </c>
      <c r="O114" s="141">
        <f t="shared" si="82"/>
        <v>2.5841186297504413</v>
      </c>
      <c r="P114" s="141">
        <f t="shared" si="82"/>
        <v>2.4226112153910391</v>
      </c>
      <c r="Q114" s="141">
        <f t="shared" si="82"/>
        <v>2.2611038010316364</v>
      </c>
      <c r="R114" s="141">
        <f t="shared" si="82"/>
        <v>2.0995963866722338</v>
      </c>
      <c r="S114" s="141">
        <f t="shared" si="82"/>
        <v>1.9380889723128312</v>
      </c>
      <c r="T114" s="141">
        <f t="shared" si="82"/>
        <v>1.7765815579534288</v>
      </c>
      <c r="U114" s="141">
        <f t="shared" si="82"/>
        <v>1.6150741435940261</v>
      </c>
      <c r="V114" s="141">
        <f t="shared" si="82"/>
        <v>1.4535667292346235</v>
      </c>
      <c r="W114" s="141">
        <f t="shared" si="82"/>
        <v>1.2920593148752211</v>
      </c>
      <c r="X114" s="141">
        <f t="shared" si="82"/>
        <v>1.1305519005158184</v>
      </c>
      <c r="Y114" s="141">
        <f t="shared" si="82"/>
        <v>0.96904448615641592</v>
      </c>
      <c r="Z114" s="141">
        <f t="shared" si="82"/>
        <v>0.80753707179701328</v>
      </c>
      <c r="AA114" s="141">
        <f t="shared" si="82"/>
        <v>0.64602965743761076</v>
      </c>
      <c r="AB114" s="141">
        <f t="shared" si="82"/>
        <v>0.48452224307820818</v>
      </c>
      <c r="AC114" s="141">
        <f t="shared" si="82"/>
        <v>0.3230148287188056</v>
      </c>
      <c r="AD114" s="141">
        <f t="shared" si="82"/>
        <v>0.16150741435940302</v>
      </c>
      <c r="AE114" s="141">
        <f t="shared" si="82"/>
        <v>4.3520742565306141E-16</v>
      </c>
      <c r="AF114" s="141">
        <f t="shared" si="82"/>
        <v>4.3520742565306141E-16</v>
      </c>
      <c r="AG114" s="141">
        <f t="shared" si="82"/>
        <v>4.3520742565306141E-16</v>
      </c>
      <c r="AH114" s="141">
        <f t="shared" si="82"/>
        <v>4.3520742565306141E-16</v>
      </c>
      <c r="AI114" s="141">
        <f t="shared" si="82"/>
        <v>4.3520742565306141E-16</v>
      </c>
      <c r="AJ114" s="141">
        <f t="shared" si="82"/>
        <v>4.3520742565306141E-16</v>
      </c>
      <c r="AK114" s="141">
        <f t="shared" si="82"/>
        <v>4.3520742565306141E-16</v>
      </c>
      <c r="AL114" s="141">
        <f t="shared" si="82"/>
        <v>4.3520742565306141E-16</v>
      </c>
      <c r="AM114" s="141">
        <f t="shared" si="82"/>
        <v>4.3520742565306141E-16</v>
      </c>
      <c r="AN114" s="141">
        <f t="shared" si="82"/>
        <v>4.3520742565306141E-16</v>
      </c>
      <c r="AO114" s="141">
        <f t="shared" si="82"/>
        <v>4.3520742565306141E-16</v>
      </c>
      <c r="AP114" s="141">
        <f t="shared" si="82"/>
        <v>4.3520742565306141E-16</v>
      </c>
      <c r="AQ114" s="141">
        <f t="shared" si="82"/>
        <v>4.3520742565306141E-16</v>
      </c>
    </row>
  </sheetData>
  <pageMargins left="0.7" right="0.7" top="0.75" bottom="0.75" header="0.3" footer="0.3"/>
  <pageSetup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15</vt:i4>
      </vt:variant>
    </vt:vector>
  </HeadingPairs>
  <TitlesOfParts>
    <vt:vector size="24" baseType="lpstr">
      <vt:lpstr>Summary</vt:lpstr>
      <vt:lpstr>Operating Assumptions</vt:lpstr>
      <vt:lpstr>Financing Assumptions</vt:lpstr>
      <vt:lpstr>Model</vt:lpstr>
      <vt:lpstr>Financial Statements</vt:lpstr>
      <vt:lpstr>Cash Flow Waterfall</vt:lpstr>
      <vt:lpstr>Traffic</vt:lpstr>
      <vt:lpstr>Depreciation</vt:lpstr>
      <vt:lpstr>Debt Schedule</vt:lpstr>
      <vt:lpstr>COD</vt:lpstr>
      <vt:lpstr>ConstructionPeriod</vt:lpstr>
      <vt:lpstr>Currency</vt:lpstr>
      <vt:lpstr>Daysinayear</vt:lpstr>
      <vt:lpstr>End</vt:lpstr>
      <vt:lpstr>inflag</vt:lpstr>
      <vt:lpstr>Inflation</vt:lpstr>
      <vt:lpstr>Now</vt:lpstr>
      <vt:lpstr>OtherRev1</vt:lpstr>
      <vt:lpstr>OtherRev2</vt:lpstr>
      <vt:lpstr>OtherRev3</vt:lpstr>
      <vt:lpstr>rf</vt:lpstr>
      <vt:lpstr>VehA</vt:lpstr>
      <vt:lpstr>VehB</vt:lpstr>
      <vt:lpstr>VehicleC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Kai-Yuan Chen</dc:creator>
  <cp:lastModifiedBy>Rafael Nicolas Fermin Cota</cp:lastModifiedBy>
  <dcterms:created xsi:type="dcterms:W3CDTF">2017-02-19T03:23:47Z</dcterms:created>
  <dcterms:modified xsi:type="dcterms:W3CDTF">2020-10-11T21:43:10Z</dcterms:modified>
</cp:coreProperties>
</file>