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0" windowWidth="25440" windowHeight="15990" activeTab="1"/>
  </bookViews>
  <sheets>
    <sheet name="DASHBOARD WOI" sheetId="8" r:id="rId1"/>
    <sheet name="DASHBOARD WI" sheetId="9" r:id="rId2"/>
    <sheet name="GFS" sheetId="7" r:id="rId3"/>
  </sheets>
  <calcPr calcId="145621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9" l="1"/>
  <c r="I33" i="9" a="1"/>
  <c r="I33" i="9"/>
  <c r="G33" i="9" a="1"/>
  <c r="G33" i="9"/>
  <c r="E33" i="9" a="1"/>
  <c r="E33" i="9"/>
  <c r="D33" i="9" a="1"/>
  <c r="D33" i="9"/>
  <c r="C33" i="9" a="1"/>
  <c r="C33" i="9"/>
  <c r="I32" i="9" a="1"/>
  <c r="I32" i="9"/>
  <c r="G32" i="9" a="1"/>
  <c r="G32" i="9"/>
  <c r="E32" i="9" a="1"/>
  <c r="E32" i="9"/>
  <c r="D32" i="9" a="1"/>
  <c r="D32" i="9"/>
  <c r="C32" i="9" a="1"/>
  <c r="C32" i="9"/>
  <c r="I31" i="9" a="1"/>
  <c r="I31" i="9"/>
  <c r="G31" i="9" a="1"/>
  <c r="G31" i="9"/>
  <c r="E31" i="9" a="1"/>
  <c r="E31" i="9"/>
  <c r="D31" i="9" a="1"/>
  <c r="D31" i="9"/>
  <c r="C31" i="9" a="1"/>
  <c r="C31" i="9"/>
  <c r="I30" i="9" a="1"/>
  <c r="I30" i="9"/>
  <c r="G30" i="9" a="1"/>
  <c r="G30" i="9"/>
  <c r="E30" i="9" a="1"/>
  <c r="E30" i="9"/>
  <c r="D30" i="9" a="1"/>
  <c r="D30" i="9"/>
  <c r="C30" i="9" a="1"/>
  <c r="C30" i="9"/>
  <c r="I29" i="9" a="1"/>
  <c r="I29" i="9"/>
  <c r="G29" i="9" a="1"/>
  <c r="G29" i="9"/>
  <c r="E29" i="9" a="1"/>
  <c r="E29" i="9"/>
  <c r="D29" i="9" a="1"/>
  <c r="D29" i="9"/>
  <c r="C29" i="9" a="1"/>
  <c r="C29" i="9"/>
  <c r="I28" i="9" a="1"/>
  <c r="I28" i="9"/>
  <c r="G28" i="9" a="1"/>
  <c r="G28" i="9"/>
  <c r="E28" i="9" a="1"/>
  <c r="E28" i="9"/>
  <c r="D28" i="9" a="1"/>
  <c r="D28" i="9"/>
  <c r="C28" i="9" a="1"/>
  <c r="C28" i="9"/>
  <c r="V27" i="9" a="1"/>
  <c r="V27" i="9"/>
  <c r="T27" i="9" a="1"/>
  <c r="T27" i="9"/>
  <c r="R27" i="9" a="1"/>
  <c r="R27" i="9"/>
  <c r="Q27" i="9" a="1"/>
  <c r="Q27" i="9"/>
  <c r="P27" i="9" a="1"/>
  <c r="P27" i="9"/>
  <c r="I27" i="9" a="1"/>
  <c r="I27" i="9"/>
  <c r="G27" i="9" a="1"/>
  <c r="G27" i="9"/>
  <c r="E27" i="9" a="1"/>
  <c r="E27" i="9"/>
  <c r="D27" i="9" a="1"/>
  <c r="D27" i="9"/>
  <c r="C27" i="9" a="1"/>
  <c r="C27" i="9"/>
  <c r="V26" i="9" a="1"/>
  <c r="V26" i="9"/>
  <c r="T26" i="9" a="1"/>
  <c r="T26" i="9"/>
  <c r="R26" i="9" a="1"/>
  <c r="R26" i="9"/>
  <c r="Q26" i="9" a="1"/>
  <c r="Q26" i="9"/>
  <c r="P26" i="9" a="1"/>
  <c r="P26" i="9"/>
  <c r="I26" i="9" a="1"/>
  <c r="I26" i="9"/>
  <c r="G26" i="9" a="1"/>
  <c r="G26" i="9"/>
  <c r="E26" i="9" a="1"/>
  <c r="E26" i="9"/>
  <c r="D26" i="9" a="1"/>
  <c r="D26" i="9"/>
  <c r="C26" i="9" a="1"/>
  <c r="C26" i="9"/>
  <c r="V25" i="9" a="1"/>
  <c r="V25" i="9"/>
  <c r="T25" i="9" a="1"/>
  <c r="T25" i="9"/>
  <c r="R25" i="9" a="1"/>
  <c r="R25" i="9"/>
  <c r="Q25" i="9" a="1"/>
  <c r="Q25" i="9"/>
  <c r="P25" i="9" a="1"/>
  <c r="P25" i="9"/>
  <c r="I25" i="9" a="1"/>
  <c r="I25" i="9"/>
  <c r="G25" i="9" a="1"/>
  <c r="G25" i="9"/>
  <c r="E25" i="9" a="1"/>
  <c r="E25" i="9"/>
  <c r="D25" i="9" a="1"/>
  <c r="D25" i="9"/>
  <c r="C25" i="9" a="1"/>
  <c r="C25" i="9"/>
  <c r="V24" i="9" a="1"/>
  <c r="V24" i="9"/>
  <c r="T24" i="9" a="1"/>
  <c r="T24" i="9"/>
  <c r="R24" i="9" a="1"/>
  <c r="R24" i="9"/>
  <c r="Q24" i="9" a="1"/>
  <c r="Q24" i="9"/>
  <c r="P24" i="9" a="1"/>
  <c r="P24" i="9"/>
  <c r="I24" i="9" a="1"/>
  <c r="I24" i="9"/>
  <c r="G24" i="9" a="1"/>
  <c r="G24" i="9"/>
  <c r="E24" i="9" a="1"/>
  <c r="E24" i="9"/>
  <c r="D24" i="9" a="1"/>
  <c r="D24" i="9"/>
  <c r="C24" i="9" a="1"/>
  <c r="C24" i="9"/>
  <c r="V23" i="9" a="1"/>
  <c r="V23" i="9"/>
  <c r="T23" i="9" a="1"/>
  <c r="T23" i="9"/>
  <c r="R23" i="9" a="1"/>
  <c r="R23" i="9"/>
  <c r="Q23" i="9" a="1"/>
  <c r="Q23" i="9"/>
  <c r="P23" i="9" a="1"/>
  <c r="P23" i="9"/>
  <c r="I23" i="9" a="1"/>
  <c r="I23" i="9"/>
  <c r="G23" i="9" a="1"/>
  <c r="G23" i="9"/>
  <c r="E23" i="9" a="1"/>
  <c r="E23" i="9"/>
  <c r="D23" i="9" a="1"/>
  <c r="D23" i="9"/>
  <c r="C23" i="9" a="1"/>
  <c r="C23" i="9"/>
  <c r="V22" i="9" a="1"/>
  <c r="V22" i="9"/>
  <c r="T22" i="9" a="1"/>
  <c r="T22" i="9"/>
  <c r="R22" i="9" a="1"/>
  <c r="R22" i="9"/>
  <c r="Q22" i="9" a="1"/>
  <c r="Q22" i="9"/>
  <c r="P22" i="9" a="1"/>
  <c r="P22" i="9"/>
  <c r="I22" i="9" a="1"/>
  <c r="I22" i="9"/>
  <c r="G22" i="9" a="1"/>
  <c r="G22" i="9"/>
  <c r="E22" i="9" a="1"/>
  <c r="E22" i="9"/>
  <c r="D22" i="9" a="1"/>
  <c r="D22" i="9"/>
  <c r="C22" i="9" a="1"/>
  <c r="C22" i="9"/>
  <c r="V21" i="9" a="1"/>
  <c r="V21" i="9"/>
  <c r="T21" i="9" a="1"/>
  <c r="T21" i="9"/>
  <c r="R21" i="9" a="1"/>
  <c r="R21" i="9"/>
  <c r="Q21" i="9" a="1"/>
  <c r="Q21" i="9"/>
  <c r="P21" i="9" a="1"/>
  <c r="P21" i="9"/>
  <c r="I21" i="9" a="1"/>
  <c r="I21" i="9"/>
  <c r="G21" i="9" a="1"/>
  <c r="G21" i="9"/>
  <c r="E21" i="9" a="1"/>
  <c r="E21" i="9"/>
  <c r="D21" i="9" a="1"/>
  <c r="D21" i="9"/>
  <c r="C21" i="9" a="1"/>
  <c r="C21" i="9"/>
  <c r="V20" i="9" a="1"/>
  <c r="V20" i="9"/>
  <c r="T20" i="9" a="1"/>
  <c r="T20" i="9"/>
  <c r="R20" i="9" a="1"/>
  <c r="R20" i="9"/>
  <c r="Q20" i="9" a="1"/>
  <c r="Q20" i="9"/>
  <c r="P20" i="9" a="1"/>
  <c r="P20" i="9"/>
  <c r="I20" i="9" a="1"/>
  <c r="I20" i="9"/>
  <c r="G20" i="9" a="1"/>
  <c r="G20" i="9"/>
  <c r="E20" i="9" a="1"/>
  <c r="E20" i="9"/>
  <c r="D20" i="9" a="1"/>
  <c r="D20" i="9"/>
  <c r="C20" i="9" a="1"/>
  <c r="C20" i="9"/>
  <c r="V19" i="9" a="1"/>
  <c r="V19" i="9"/>
  <c r="T19" i="9" a="1"/>
  <c r="T19" i="9"/>
  <c r="R19" i="9" a="1"/>
  <c r="R19" i="9"/>
  <c r="Q19" i="9" a="1"/>
  <c r="Q19" i="9"/>
  <c r="P19" i="9" a="1"/>
  <c r="P19" i="9"/>
  <c r="I19" i="9" a="1"/>
  <c r="I19" i="9"/>
  <c r="G19" i="9" a="1"/>
  <c r="G19" i="9"/>
  <c r="E19" i="9" a="1"/>
  <c r="E19" i="9"/>
  <c r="D19" i="9" a="1"/>
  <c r="D19" i="9"/>
  <c r="C19" i="9" a="1"/>
  <c r="C19" i="9"/>
  <c r="V18" i="9" a="1"/>
  <c r="V18" i="9"/>
  <c r="T18" i="9" a="1"/>
  <c r="T18" i="9"/>
  <c r="R18" i="9" a="1"/>
  <c r="R18" i="9"/>
  <c r="Q18" i="9" a="1"/>
  <c r="Q18" i="9"/>
  <c r="P18" i="9" a="1"/>
  <c r="P18" i="9"/>
  <c r="I18" i="9" a="1"/>
  <c r="I18" i="9"/>
  <c r="G18" i="9" a="1"/>
  <c r="G18" i="9"/>
  <c r="E18" i="9" a="1"/>
  <c r="E18" i="9"/>
  <c r="D18" i="9" a="1"/>
  <c r="D18" i="9"/>
  <c r="C18" i="9" a="1"/>
  <c r="C18" i="9"/>
  <c r="V17" i="9" a="1"/>
  <c r="V17" i="9"/>
  <c r="T17" i="9" a="1"/>
  <c r="T17" i="9"/>
  <c r="R17" i="9" a="1"/>
  <c r="R17" i="9"/>
  <c r="Q17" i="9" a="1"/>
  <c r="Q17" i="9"/>
  <c r="P17" i="9" a="1"/>
  <c r="P17" i="9"/>
  <c r="I17" i="9" a="1"/>
  <c r="I17" i="9"/>
  <c r="G17" i="9" a="1"/>
  <c r="G17" i="9"/>
  <c r="E17" i="9" a="1"/>
  <c r="E17" i="9"/>
  <c r="D17" i="9" a="1"/>
  <c r="D17" i="9"/>
  <c r="C17" i="9" a="1"/>
  <c r="C17" i="9"/>
  <c r="V16" i="9" a="1"/>
  <c r="V16" i="9"/>
  <c r="T16" i="9" a="1"/>
  <c r="T16" i="9"/>
  <c r="R16" i="9" a="1"/>
  <c r="R16" i="9"/>
  <c r="Q16" i="9" a="1"/>
  <c r="Q16" i="9"/>
  <c r="P16" i="9" a="1"/>
  <c r="P16" i="9"/>
  <c r="I16" i="9" a="1"/>
  <c r="I16" i="9"/>
  <c r="G16" i="9" a="1"/>
  <c r="G16" i="9"/>
  <c r="E16" i="9" a="1"/>
  <c r="E16" i="9"/>
  <c r="D16" i="9" a="1"/>
  <c r="D16" i="9"/>
  <c r="C16" i="9" a="1"/>
  <c r="C16" i="9"/>
  <c r="V15" i="9" a="1"/>
  <c r="V15" i="9"/>
  <c r="T15" i="9" a="1"/>
  <c r="T15" i="9"/>
  <c r="R15" i="9" a="1"/>
  <c r="R15" i="9"/>
  <c r="Q15" i="9" a="1"/>
  <c r="Q15" i="9"/>
  <c r="P15" i="9" a="1"/>
  <c r="P15" i="9"/>
  <c r="I15" i="9" a="1"/>
  <c r="I15" i="9"/>
  <c r="G15" i="9" a="1"/>
  <c r="G15" i="9"/>
  <c r="E15" i="9" a="1"/>
  <c r="E15" i="9"/>
  <c r="D15" i="9" a="1"/>
  <c r="D15" i="9"/>
  <c r="C15" i="9" a="1"/>
  <c r="C15" i="9"/>
  <c r="N13" i="9"/>
  <c r="V9" i="9"/>
  <c r="V10" i="9" a="1"/>
  <c r="V10" i="9"/>
  <c r="T9" i="9"/>
  <c r="T10" i="9" a="1"/>
  <c r="T10" i="9"/>
  <c r="R9" i="9"/>
  <c r="R10" i="9" a="1"/>
  <c r="R10" i="9"/>
  <c r="Q9" i="9"/>
  <c r="Q10" i="9" a="1"/>
  <c r="Q10" i="9"/>
  <c r="P9" i="9"/>
  <c r="P10" i="9"/>
  <c r="A13" i="9"/>
  <c r="I9" i="9"/>
  <c r="I10" i="9" a="1"/>
  <c r="I10" i="9"/>
  <c r="G9" i="9"/>
  <c r="G10" i="9" a="1"/>
  <c r="G10" i="9"/>
  <c r="E9" i="9"/>
  <c r="E10" i="9" a="1"/>
  <c r="E10" i="9"/>
  <c r="D9" i="9"/>
  <c r="D10" i="9" a="1"/>
  <c r="D10" i="9"/>
  <c r="C9" i="9"/>
  <c r="C10" i="9" a="1"/>
  <c r="C10" i="9"/>
  <c r="O8" i="9"/>
  <c r="B8" i="9"/>
  <c r="E5" i="9"/>
  <c r="E4" i="9"/>
  <c r="A83" i="7"/>
  <c r="A89" i="7"/>
  <c r="C5" i="8"/>
  <c r="H3" i="7"/>
  <c r="H5" i="7"/>
  <c r="H8" i="7"/>
  <c r="H11" i="7"/>
  <c r="H13" i="7"/>
  <c r="H15" i="7"/>
  <c r="H19" i="7"/>
  <c r="H24" i="7"/>
  <c r="H23" i="7"/>
  <c r="H26" i="7"/>
  <c r="H31" i="7"/>
  <c r="H37" i="7"/>
  <c r="H38" i="7"/>
  <c r="H40" i="7"/>
  <c r="H48" i="7"/>
  <c r="H51" i="7"/>
  <c r="H56" i="7"/>
  <c r="H62" i="7"/>
  <c r="H68" i="7"/>
  <c r="H74" i="7"/>
  <c r="C194" i="7"/>
  <c r="C200" i="7"/>
  <c r="V27" i="8" a="1"/>
  <c r="V27" i="8"/>
  <c r="T27" i="8" a="1"/>
  <c r="T27" i="8"/>
  <c r="R27" i="8" a="1"/>
  <c r="R27" i="8"/>
  <c r="Q27" i="8" a="1"/>
  <c r="Q27" i="8"/>
  <c r="P27" i="8" a="1"/>
  <c r="P27" i="8"/>
  <c r="V26" i="8" a="1"/>
  <c r="V26" i="8"/>
  <c r="T26" i="8" a="1"/>
  <c r="T26" i="8"/>
  <c r="R26" i="8" a="1"/>
  <c r="R26" i="8"/>
  <c r="Q26" i="8" a="1"/>
  <c r="Q26" i="8"/>
  <c r="P26" i="8" a="1"/>
  <c r="P26" i="8"/>
  <c r="V25" i="8" a="1"/>
  <c r="V25" i="8"/>
  <c r="T25" i="8" a="1"/>
  <c r="T25" i="8"/>
  <c r="R25" i="8" a="1"/>
  <c r="R25" i="8"/>
  <c r="Q25" i="8" a="1"/>
  <c r="Q25" i="8"/>
  <c r="P25" i="8" a="1"/>
  <c r="P25" i="8"/>
  <c r="V24" i="8" a="1"/>
  <c r="V24" i="8"/>
  <c r="T24" i="8" a="1"/>
  <c r="T24" i="8"/>
  <c r="R24" i="8" a="1"/>
  <c r="R24" i="8"/>
  <c r="Q24" i="8" a="1"/>
  <c r="Q24" i="8"/>
  <c r="P24" i="8" a="1"/>
  <c r="P24" i="8"/>
  <c r="V23" i="8" a="1"/>
  <c r="V23" i="8"/>
  <c r="T23" i="8" a="1"/>
  <c r="T23" i="8"/>
  <c r="R23" i="8" a="1"/>
  <c r="R23" i="8"/>
  <c r="Q23" i="8" a="1"/>
  <c r="Q23" i="8"/>
  <c r="P23" i="8" a="1"/>
  <c r="P23" i="8"/>
  <c r="V22" i="8" a="1"/>
  <c r="V22" i="8"/>
  <c r="T22" i="8" a="1"/>
  <c r="T22" i="8"/>
  <c r="R22" i="8" a="1"/>
  <c r="R22" i="8"/>
  <c r="Q22" i="8" a="1"/>
  <c r="Q22" i="8"/>
  <c r="P22" i="8" a="1"/>
  <c r="P22" i="8"/>
  <c r="V21" i="8" a="1"/>
  <c r="V21" i="8"/>
  <c r="T21" i="8" a="1"/>
  <c r="T21" i="8"/>
  <c r="R21" i="8" a="1"/>
  <c r="R21" i="8"/>
  <c r="Q21" i="8" a="1"/>
  <c r="Q21" i="8"/>
  <c r="P21" i="8" a="1"/>
  <c r="P21" i="8"/>
  <c r="V20" i="8" a="1"/>
  <c r="V20" i="8"/>
  <c r="T20" i="8" a="1"/>
  <c r="T20" i="8"/>
  <c r="R20" i="8" a="1"/>
  <c r="R20" i="8"/>
  <c r="Q20" i="8" a="1"/>
  <c r="Q20" i="8"/>
  <c r="P20" i="8" a="1"/>
  <c r="P20" i="8"/>
  <c r="V19" i="8" a="1"/>
  <c r="V19" i="8"/>
  <c r="T19" i="8" a="1"/>
  <c r="T19" i="8"/>
  <c r="R19" i="8" a="1"/>
  <c r="R19" i="8"/>
  <c r="Q19" i="8" a="1"/>
  <c r="Q19" i="8"/>
  <c r="P19" i="8" a="1"/>
  <c r="P19" i="8"/>
  <c r="V18" i="8" a="1"/>
  <c r="V18" i="8"/>
  <c r="T18" i="8" a="1"/>
  <c r="T18" i="8"/>
  <c r="R18" i="8" a="1"/>
  <c r="R18" i="8"/>
  <c r="Q18" i="8" a="1"/>
  <c r="Q18" i="8"/>
  <c r="P18" i="8" a="1"/>
  <c r="P18" i="8"/>
  <c r="V17" i="8" a="1"/>
  <c r="V17" i="8"/>
  <c r="T17" i="8" a="1"/>
  <c r="T17" i="8"/>
  <c r="R17" i="8" a="1"/>
  <c r="R17" i="8"/>
  <c r="Q17" i="8" a="1"/>
  <c r="Q17" i="8"/>
  <c r="P17" i="8" a="1"/>
  <c r="P17" i="8"/>
  <c r="V16" i="8" a="1"/>
  <c r="V16" i="8"/>
  <c r="T16" i="8" a="1"/>
  <c r="T16" i="8"/>
  <c r="R16" i="8" a="1"/>
  <c r="R16" i="8"/>
  <c r="Q16" i="8" a="1"/>
  <c r="Q16" i="8"/>
  <c r="P16" i="8" a="1"/>
  <c r="P16" i="8"/>
  <c r="V15" i="8" a="1"/>
  <c r="V15" i="8"/>
  <c r="T15" i="8" a="1"/>
  <c r="T15" i="8"/>
  <c r="R15" i="8" a="1"/>
  <c r="R15" i="8"/>
  <c r="Q15" i="8" a="1"/>
  <c r="Q15" i="8"/>
  <c r="P15" i="8" a="1"/>
  <c r="P15" i="8"/>
  <c r="I33" i="8" a="1"/>
  <c r="I33" i="8"/>
  <c r="I32" i="8" a="1"/>
  <c r="I32" i="8"/>
  <c r="I31" i="8" a="1"/>
  <c r="I31" i="8"/>
  <c r="I30" i="8" a="1"/>
  <c r="I30" i="8"/>
  <c r="I29" i="8" a="1"/>
  <c r="I29" i="8"/>
  <c r="I28" i="8" a="1"/>
  <c r="I28" i="8"/>
  <c r="I27" i="8" a="1"/>
  <c r="I27" i="8"/>
  <c r="I26" i="8" a="1"/>
  <c r="I26" i="8"/>
  <c r="I25" i="8" a="1"/>
  <c r="I25" i="8"/>
  <c r="I24" i="8" a="1"/>
  <c r="I24" i="8"/>
  <c r="I23" i="8" a="1"/>
  <c r="I23" i="8"/>
  <c r="I22" i="8" a="1"/>
  <c r="I22" i="8"/>
  <c r="I21" i="8" a="1"/>
  <c r="I21" i="8"/>
  <c r="I20" i="8" a="1"/>
  <c r="I20" i="8"/>
  <c r="I19" i="8" a="1"/>
  <c r="I19" i="8"/>
  <c r="I18" i="8" a="1"/>
  <c r="I18" i="8"/>
  <c r="I17" i="8" a="1"/>
  <c r="I17" i="8"/>
  <c r="I16" i="8" a="1"/>
  <c r="I16" i="8"/>
  <c r="I15" i="8" a="1"/>
  <c r="I15" i="8"/>
  <c r="N13" i="8"/>
  <c r="V9" i="8"/>
  <c r="V10" i="8" a="1"/>
  <c r="V10" i="8"/>
  <c r="A13" i="8"/>
  <c r="I9" i="8"/>
  <c r="I10" i="8" a="1"/>
  <c r="I10" i="8"/>
  <c r="G33" i="8" a="1"/>
  <c r="G33" i="8"/>
  <c r="G32" i="8" a="1"/>
  <c r="G32" i="8"/>
  <c r="G31" i="8" a="1"/>
  <c r="G31" i="8"/>
  <c r="G30" i="8" a="1"/>
  <c r="G30" i="8"/>
  <c r="G29" i="8" a="1"/>
  <c r="G29" i="8"/>
  <c r="G28" i="8" a="1"/>
  <c r="G28" i="8"/>
  <c r="G27" i="8" a="1"/>
  <c r="G27" i="8"/>
  <c r="G26" i="8" a="1"/>
  <c r="G26" i="8"/>
  <c r="G25" i="8" a="1"/>
  <c r="G25" i="8"/>
  <c r="G24" i="8" a="1"/>
  <c r="G24" i="8"/>
  <c r="G23" i="8" a="1"/>
  <c r="G23" i="8"/>
  <c r="G22" i="8" a="1"/>
  <c r="G22" i="8"/>
  <c r="G21" i="8" a="1"/>
  <c r="G21" i="8"/>
  <c r="G20" i="8" a="1"/>
  <c r="G20" i="8"/>
  <c r="G19" i="8" a="1"/>
  <c r="G19" i="8"/>
  <c r="G18" i="8" a="1"/>
  <c r="G18" i="8"/>
  <c r="G17" i="8" a="1"/>
  <c r="G17" i="8"/>
  <c r="G16" i="8" a="1"/>
  <c r="G16" i="8"/>
  <c r="G15" i="8" a="1"/>
  <c r="G15" i="8"/>
  <c r="T9" i="8"/>
  <c r="T10" i="8" a="1"/>
  <c r="T10" i="8"/>
  <c r="G9" i="8"/>
  <c r="G10" i="8" a="1"/>
  <c r="G10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R9" i="8"/>
  <c r="R10" i="8" a="1"/>
  <c r="R10" i="8"/>
  <c r="E9" i="8"/>
  <c r="E10" i="8" a="1"/>
  <c r="E10" i="8"/>
  <c r="D33" i="8" a="1"/>
  <c r="D33" i="8"/>
  <c r="D32" i="8" a="1"/>
  <c r="D32" i="8"/>
  <c r="D31" i="8" a="1"/>
  <c r="D31" i="8"/>
  <c r="D30" i="8" a="1"/>
  <c r="D30" i="8"/>
  <c r="D29" i="8" a="1"/>
  <c r="D29" i="8"/>
  <c r="D28" i="8" a="1"/>
  <c r="D28" i="8"/>
  <c r="D27" i="8" a="1"/>
  <c r="D27" i="8"/>
  <c r="D26" i="8" a="1"/>
  <c r="D26" i="8"/>
  <c r="D25" i="8" a="1"/>
  <c r="D25" i="8"/>
  <c r="D24" i="8" a="1"/>
  <c r="D24" i="8"/>
  <c r="D23" i="8" a="1"/>
  <c r="D23" i="8"/>
  <c r="D22" i="8" a="1"/>
  <c r="D22" i="8"/>
  <c r="D21" i="8" a="1"/>
  <c r="D21" i="8"/>
  <c r="D20" i="8" a="1"/>
  <c r="D20" i="8"/>
  <c r="D19" i="8" a="1"/>
  <c r="D19" i="8"/>
  <c r="D18" i="8" a="1"/>
  <c r="D18" i="8"/>
  <c r="D17" i="8" a="1"/>
  <c r="D17" i="8"/>
  <c r="D16" i="8" a="1"/>
  <c r="D16" i="8"/>
  <c r="D15" i="8" a="1"/>
  <c r="D15" i="8"/>
  <c r="Q9" i="8"/>
  <c r="Q10" i="8" a="1"/>
  <c r="Q10" i="8"/>
  <c r="D9" i="8"/>
  <c r="D10" i="8" a="1"/>
  <c r="D10" i="8"/>
  <c r="C33" i="8" a="1"/>
  <c r="C33" i="8"/>
  <c r="C32" i="8" a="1"/>
  <c r="C32" i="8"/>
  <c r="C31" i="8" a="1"/>
  <c r="C31" i="8"/>
  <c r="C30" i="8" a="1"/>
  <c r="C30" i="8"/>
  <c r="C29" i="8" a="1"/>
  <c r="C29" i="8"/>
  <c r="C28" i="8" a="1"/>
  <c r="C28" i="8"/>
  <c r="C27" i="8" a="1"/>
  <c r="C27" i="8"/>
  <c r="C26" i="8" a="1"/>
  <c r="C26" i="8"/>
  <c r="C25" i="8" a="1"/>
  <c r="C25" i="8"/>
  <c r="C24" i="8" a="1"/>
  <c r="C24" i="8"/>
  <c r="C23" i="8" a="1"/>
  <c r="C23" i="8"/>
  <c r="C22" i="8" a="1"/>
  <c r="C22" i="8"/>
  <c r="C21" i="8" a="1"/>
  <c r="C21" i="8"/>
  <c r="C20" i="8" a="1"/>
  <c r="C20" i="8"/>
  <c r="C19" i="8" a="1"/>
  <c r="C19" i="8"/>
  <c r="C18" i="8" a="1"/>
  <c r="C18" i="8"/>
  <c r="C17" i="8" a="1"/>
  <c r="C17" i="8"/>
  <c r="C16" i="8" a="1"/>
  <c r="C16" i="8"/>
  <c r="C15" i="8" a="1"/>
  <c r="C15" i="8"/>
  <c r="P9" i="8"/>
  <c r="P10" i="8"/>
  <c r="C9" i="8"/>
  <c r="C10" i="8" a="1"/>
  <c r="C10" i="8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O8" i="8"/>
  <c r="B8" i="8"/>
  <c r="E5" i="8"/>
  <c r="E4" i="8"/>
  <c r="H33" i="9"/>
  <c r="F33" i="9"/>
  <c r="J33" i="9"/>
  <c r="K33" i="9"/>
  <c r="L33" i="9"/>
  <c r="H32" i="9"/>
  <c r="F32" i="9"/>
  <c r="J32" i="9"/>
  <c r="K32" i="9"/>
  <c r="L32" i="9"/>
  <c r="H31" i="9"/>
  <c r="F31" i="9"/>
  <c r="J31" i="9"/>
  <c r="K31" i="9"/>
  <c r="L31" i="9"/>
  <c r="H30" i="9"/>
  <c r="F30" i="9"/>
  <c r="J30" i="9"/>
  <c r="K30" i="9"/>
  <c r="L30" i="9"/>
  <c r="H29" i="9"/>
  <c r="F29" i="9"/>
  <c r="J29" i="9"/>
  <c r="K29" i="9"/>
  <c r="L29" i="9"/>
  <c r="H28" i="9"/>
  <c r="F28" i="9"/>
  <c r="J28" i="9"/>
  <c r="K28" i="9"/>
  <c r="L28" i="9"/>
  <c r="U27" i="9"/>
  <c r="S27" i="9"/>
  <c r="W27" i="9"/>
  <c r="X27" i="9"/>
  <c r="Y27" i="9"/>
  <c r="H27" i="9"/>
  <c r="F27" i="9"/>
  <c r="J27" i="9"/>
  <c r="K27" i="9"/>
  <c r="L27" i="9"/>
  <c r="U26" i="9"/>
  <c r="S26" i="9"/>
  <c r="W26" i="9"/>
  <c r="X26" i="9"/>
  <c r="Y26" i="9"/>
  <c r="H26" i="9"/>
  <c r="F26" i="9"/>
  <c r="J26" i="9"/>
  <c r="K26" i="9"/>
  <c r="L26" i="9"/>
  <c r="U25" i="9"/>
  <c r="S25" i="9"/>
  <c r="W25" i="9"/>
  <c r="X25" i="9"/>
  <c r="Y25" i="9"/>
  <c r="H25" i="9"/>
  <c r="F25" i="9"/>
  <c r="J25" i="9"/>
  <c r="K25" i="9"/>
  <c r="L25" i="9"/>
  <c r="U24" i="9"/>
  <c r="S24" i="9"/>
  <c r="W24" i="9"/>
  <c r="X24" i="9"/>
  <c r="Y24" i="9"/>
  <c r="H24" i="9"/>
  <c r="F24" i="9"/>
  <c r="J24" i="9"/>
  <c r="K24" i="9"/>
  <c r="L24" i="9"/>
  <c r="U23" i="9"/>
  <c r="S23" i="9"/>
  <c r="W23" i="9"/>
  <c r="X23" i="9"/>
  <c r="Y23" i="9"/>
  <c r="H23" i="9"/>
  <c r="F23" i="9"/>
  <c r="J23" i="9"/>
  <c r="K23" i="9"/>
  <c r="L23" i="9"/>
  <c r="U22" i="9"/>
  <c r="S22" i="9"/>
  <c r="W22" i="9"/>
  <c r="X22" i="9"/>
  <c r="Y22" i="9"/>
  <c r="H22" i="9"/>
  <c r="F22" i="9"/>
  <c r="J22" i="9"/>
  <c r="K22" i="9"/>
  <c r="L22" i="9"/>
  <c r="U21" i="9"/>
  <c r="S21" i="9"/>
  <c r="W21" i="9"/>
  <c r="X21" i="9"/>
  <c r="Y21" i="9"/>
  <c r="H21" i="9"/>
  <c r="F21" i="9"/>
  <c r="J21" i="9"/>
  <c r="K21" i="9"/>
  <c r="L21" i="9"/>
  <c r="U20" i="9"/>
  <c r="S20" i="9"/>
  <c r="W20" i="9"/>
  <c r="X20" i="9"/>
  <c r="Y20" i="9"/>
  <c r="H20" i="9"/>
  <c r="F20" i="9"/>
  <c r="J20" i="9"/>
  <c r="K20" i="9"/>
  <c r="L20" i="9"/>
  <c r="U19" i="9"/>
  <c r="S19" i="9"/>
  <c r="W19" i="9"/>
  <c r="X19" i="9"/>
  <c r="Y19" i="9"/>
  <c r="H19" i="9"/>
  <c r="F19" i="9"/>
  <c r="J19" i="9"/>
  <c r="K19" i="9"/>
  <c r="L19" i="9"/>
  <c r="U18" i="9"/>
  <c r="S18" i="9"/>
  <c r="W18" i="9"/>
  <c r="X18" i="9"/>
  <c r="Y18" i="9"/>
  <c r="H18" i="9"/>
  <c r="F18" i="9"/>
  <c r="J18" i="9"/>
  <c r="K18" i="9"/>
  <c r="L18" i="9"/>
  <c r="U17" i="9"/>
  <c r="S17" i="9"/>
  <c r="W17" i="9"/>
  <c r="X17" i="9"/>
  <c r="Y17" i="9"/>
  <c r="H17" i="9"/>
  <c r="F17" i="9"/>
  <c r="J17" i="9"/>
  <c r="K17" i="9"/>
  <c r="L17" i="9"/>
  <c r="U16" i="9"/>
  <c r="S16" i="9"/>
  <c r="W16" i="9"/>
  <c r="X16" i="9"/>
  <c r="Y16" i="9"/>
  <c r="H16" i="9"/>
  <c r="F16" i="9"/>
  <c r="J16" i="9"/>
  <c r="K16" i="9"/>
  <c r="L16" i="9"/>
  <c r="U15" i="9"/>
  <c r="S15" i="9"/>
  <c r="W15" i="9"/>
  <c r="X15" i="9"/>
  <c r="Y15" i="9"/>
  <c r="H15" i="9"/>
  <c r="F15" i="9"/>
  <c r="J15" i="9"/>
  <c r="K15" i="9"/>
  <c r="L15" i="9"/>
  <c r="Y13" i="9"/>
  <c r="X13" i="9"/>
  <c r="W13" i="9"/>
  <c r="V13" i="9"/>
  <c r="U13" i="9"/>
  <c r="T13" i="9"/>
  <c r="S13" i="9"/>
  <c r="R13" i="9"/>
  <c r="Q13" i="9"/>
  <c r="P13" i="9"/>
  <c r="O13" i="9"/>
  <c r="L13" i="9"/>
  <c r="K13" i="9"/>
  <c r="J13" i="9"/>
  <c r="I13" i="9"/>
  <c r="H13" i="9"/>
  <c r="G13" i="9"/>
  <c r="F13" i="9"/>
  <c r="E13" i="9"/>
  <c r="D13" i="9"/>
  <c r="C13" i="9"/>
  <c r="B13" i="9"/>
  <c r="U12" i="9"/>
  <c r="S12" i="9"/>
  <c r="P12" i="9"/>
  <c r="O7" i="9"/>
  <c r="O12" i="9"/>
  <c r="H12" i="9"/>
  <c r="F12" i="9"/>
  <c r="C12" i="9"/>
  <c r="B7" i="9"/>
  <c r="B12" i="9"/>
  <c r="W9" i="9"/>
  <c r="W10" i="9"/>
  <c r="J9" i="9"/>
  <c r="J10" i="9"/>
  <c r="Y9" i="9"/>
  <c r="X9" i="9"/>
  <c r="U9" i="9"/>
  <c r="S9" i="9"/>
  <c r="L9" i="9"/>
  <c r="K9" i="9"/>
  <c r="H9" i="9"/>
  <c r="F9" i="9"/>
  <c r="O7" i="8"/>
  <c r="B7" i="8"/>
  <c r="O12" i="8"/>
  <c r="U27" i="8"/>
  <c r="S27" i="8"/>
  <c r="W27" i="8"/>
  <c r="X27" i="8"/>
  <c r="Y27" i="8"/>
  <c r="Y13" i="8"/>
  <c r="X13" i="8"/>
  <c r="W13" i="8"/>
  <c r="V13" i="8"/>
  <c r="U13" i="8"/>
  <c r="T13" i="8"/>
  <c r="S13" i="8"/>
  <c r="R13" i="8"/>
  <c r="Q13" i="8"/>
  <c r="P13" i="8"/>
  <c r="O13" i="8"/>
  <c r="U12" i="8"/>
  <c r="S12" i="8"/>
  <c r="P12" i="8"/>
  <c r="H12" i="8"/>
  <c r="F12" i="8"/>
  <c r="C12" i="8"/>
  <c r="L13" i="8"/>
  <c r="K13" i="8"/>
  <c r="J13" i="8"/>
  <c r="I13" i="8"/>
  <c r="H13" i="8"/>
  <c r="G13" i="8"/>
  <c r="F13" i="8"/>
  <c r="E13" i="8"/>
  <c r="D13" i="8"/>
  <c r="C13" i="8"/>
  <c r="B12" i="8"/>
  <c r="B13" i="8"/>
  <c r="G231" i="7"/>
  <c r="G230" i="7"/>
  <c r="G229" i="7"/>
  <c r="G228" i="7"/>
  <c r="G227" i="7"/>
  <c r="G226" i="7"/>
  <c r="G225" i="7"/>
  <c r="G224" i="7"/>
  <c r="G223" i="7"/>
  <c r="G222" i="7"/>
  <c r="G221" i="7"/>
  <c r="G220" i="7"/>
  <c r="G219" i="7"/>
  <c r="G218" i="7"/>
  <c r="G217" i="7"/>
  <c r="G216" i="7"/>
  <c r="G215" i="7"/>
  <c r="G214" i="7"/>
  <c r="G213" i="7"/>
  <c r="G212" i="7"/>
  <c r="G211" i="7"/>
  <c r="G210" i="7"/>
  <c r="G209" i="7"/>
  <c r="G208" i="7"/>
  <c r="G207" i="7"/>
  <c r="G206" i="7"/>
  <c r="G205" i="7"/>
  <c r="G204" i="7"/>
  <c r="G203" i="7"/>
  <c r="G202" i="7"/>
  <c r="G201" i="7"/>
  <c r="G200" i="7"/>
  <c r="G199" i="7"/>
  <c r="G198" i="7"/>
  <c r="G197" i="7"/>
  <c r="G196" i="7"/>
  <c r="G195" i="7"/>
  <c r="G194" i="7"/>
  <c r="G193" i="7"/>
  <c r="G192" i="7"/>
  <c r="G191" i="7"/>
  <c r="G190" i="7"/>
  <c r="G189" i="7"/>
  <c r="G188" i="7"/>
  <c r="G187" i="7"/>
  <c r="G186" i="7"/>
  <c r="G185" i="7"/>
  <c r="G184" i="7"/>
  <c r="G183" i="7"/>
  <c r="G182" i="7"/>
  <c r="G181" i="7"/>
  <c r="G180" i="7"/>
  <c r="G179" i="7"/>
  <c r="G178" i="7"/>
  <c r="G177" i="7"/>
  <c r="G176" i="7"/>
  <c r="G175" i="7"/>
  <c r="G174" i="7"/>
  <c r="G173" i="7"/>
  <c r="G172" i="7"/>
  <c r="G171" i="7"/>
  <c r="G170" i="7"/>
  <c r="G169" i="7"/>
  <c r="G168" i="7"/>
  <c r="G167" i="7"/>
  <c r="G166" i="7"/>
  <c r="G165" i="7"/>
  <c r="G164" i="7"/>
  <c r="G163" i="7"/>
  <c r="G162" i="7"/>
  <c r="G161" i="7"/>
  <c r="G160" i="7"/>
  <c r="G159" i="7"/>
  <c r="G158" i="7"/>
  <c r="G157" i="7"/>
  <c r="G156" i="7"/>
  <c r="G155" i="7"/>
  <c r="G154" i="7"/>
  <c r="G153" i="7"/>
  <c r="G152" i="7"/>
  <c r="G151" i="7"/>
  <c r="G150" i="7"/>
  <c r="G149" i="7"/>
  <c r="G148" i="7"/>
  <c r="G147" i="7"/>
  <c r="G146" i="7"/>
  <c r="G145" i="7"/>
  <c r="G144" i="7"/>
  <c r="G143" i="7"/>
  <c r="G142" i="7"/>
  <c r="G141" i="7"/>
  <c r="G140" i="7"/>
  <c r="G139" i="7"/>
  <c r="G138" i="7"/>
  <c r="G137" i="7"/>
  <c r="G136" i="7"/>
  <c r="G135" i="7"/>
  <c r="G134" i="7"/>
  <c r="G133" i="7"/>
  <c r="G132" i="7"/>
  <c r="G131" i="7"/>
  <c r="G130" i="7"/>
  <c r="G129" i="7"/>
  <c r="G128" i="7"/>
  <c r="G127" i="7"/>
  <c r="G126" i="7"/>
  <c r="G125" i="7"/>
  <c r="G124" i="7"/>
  <c r="G123" i="7"/>
  <c r="G122" i="7"/>
  <c r="G121" i="7"/>
  <c r="G120" i="7"/>
  <c r="G119" i="7"/>
  <c r="G118" i="7"/>
  <c r="G117" i="7"/>
  <c r="G116" i="7"/>
  <c r="G115" i="7"/>
  <c r="G114" i="7"/>
  <c r="G113" i="7"/>
  <c r="G112" i="7"/>
  <c r="G111" i="7"/>
  <c r="G110" i="7"/>
  <c r="G109" i="7"/>
  <c r="G108" i="7"/>
  <c r="G107" i="7"/>
  <c r="G106" i="7"/>
  <c r="G105" i="7"/>
  <c r="G104" i="7"/>
  <c r="G103" i="7"/>
  <c r="G102" i="7"/>
  <c r="G101" i="7"/>
  <c r="G100" i="7"/>
  <c r="G99" i="7"/>
  <c r="G98" i="7"/>
  <c r="G97" i="7"/>
  <c r="G96" i="7"/>
  <c r="G95" i="7"/>
  <c r="G94" i="7"/>
  <c r="G93" i="7"/>
  <c r="G92" i="7"/>
  <c r="G91" i="7"/>
  <c r="G90" i="7"/>
  <c r="G89" i="7"/>
  <c r="G88" i="7"/>
  <c r="G87" i="7"/>
  <c r="G86" i="7"/>
  <c r="G85" i="7"/>
  <c r="G84" i="7"/>
  <c r="G83" i="7"/>
  <c r="G82" i="7"/>
  <c r="G81" i="7"/>
  <c r="G80" i="7"/>
  <c r="G79" i="7"/>
  <c r="G78" i="7"/>
  <c r="G77" i="7"/>
  <c r="G76" i="7"/>
  <c r="G75" i="7"/>
  <c r="G74" i="7"/>
  <c r="G73" i="7"/>
  <c r="G72" i="7"/>
  <c r="G71" i="7"/>
  <c r="G70" i="7"/>
  <c r="G69" i="7"/>
  <c r="G68" i="7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U26" i="8"/>
  <c r="S26" i="8"/>
  <c r="W26" i="8"/>
  <c r="X26" i="8"/>
  <c r="Y26" i="8"/>
  <c r="U25" i="8"/>
  <c r="S25" i="8"/>
  <c r="W25" i="8"/>
  <c r="X25" i="8"/>
  <c r="Y25" i="8"/>
  <c r="U24" i="8"/>
  <c r="S24" i="8"/>
  <c r="W24" i="8"/>
  <c r="X24" i="8"/>
  <c r="Y24" i="8"/>
  <c r="U23" i="8"/>
  <c r="S23" i="8"/>
  <c r="W23" i="8"/>
  <c r="X23" i="8"/>
  <c r="Y23" i="8"/>
  <c r="U22" i="8"/>
  <c r="S22" i="8"/>
  <c r="W22" i="8"/>
  <c r="X22" i="8"/>
  <c r="Y22" i="8"/>
  <c r="U21" i="8"/>
  <c r="S21" i="8"/>
  <c r="W21" i="8"/>
  <c r="X21" i="8"/>
  <c r="Y21" i="8"/>
  <c r="U20" i="8"/>
  <c r="S20" i="8"/>
  <c r="W20" i="8"/>
  <c r="X20" i="8"/>
  <c r="Y20" i="8"/>
  <c r="U19" i="8"/>
  <c r="S19" i="8"/>
  <c r="W19" i="8"/>
  <c r="X19" i="8"/>
  <c r="Y19" i="8"/>
  <c r="U18" i="8"/>
  <c r="S18" i="8"/>
  <c r="W18" i="8"/>
  <c r="X18" i="8"/>
  <c r="Y18" i="8"/>
  <c r="U17" i="8"/>
  <c r="S17" i="8"/>
  <c r="W17" i="8"/>
  <c r="X17" i="8"/>
  <c r="Y17" i="8"/>
  <c r="U16" i="8"/>
  <c r="S16" i="8"/>
  <c r="W16" i="8"/>
  <c r="X16" i="8"/>
  <c r="Y16" i="8"/>
  <c r="U15" i="8"/>
  <c r="S15" i="8"/>
  <c r="W15" i="8"/>
  <c r="X15" i="8"/>
  <c r="Y15" i="8"/>
  <c r="Y9" i="8"/>
  <c r="W9" i="8"/>
  <c r="X9" i="8"/>
  <c r="U9" i="8"/>
  <c r="S9" i="8"/>
  <c r="W10" i="8"/>
  <c r="H33" i="8"/>
  <c r="F33" i="8"/>
  <c r="J33" i="8"/>
  <c r="K33" i="8"/>
  <c r="L33" i="8"/>
  <c r="H32" i="8"/>
  <c r="F32" i="8"/>
  <c r="J32" i="8"/>
  <c r="K32" i="8"/>
  <c r="L32" i="8"/>
  <c r="H31" i="8"/>
  <c r="F31" i="8"/>
  <c r="J31" i="8"/>
  <c r="K31" i="8"/>
  <c r="L31" i="8"/>
  <c r="H30" i="8"/>
  <c r="F30" i="8"/>
  <c r="J30" i="8"/>
  <c r="K30" i="8"/>
  <c r="L30" i="8"/>
  <c r="H29" i="8"/>
  <c r="F29" i="8"/>
  <c r="J29" i="8"/>
  <c r="K29" i="8"/>
  <c r="L29" i="8"/>
  <c r="H28" i="8"/>
  <c r="F28" i="8"/>
  <c r="J28" i="8"/>
  <c r="K28" i="8"/>
  <c r="L28" i="8"/>
  <c r="H27" i="8"/>
  <c r="F27" i="8"/>
  <c r="J27" i="8"/>
  <c r="K27" i="8"/>
  <c r="L27" i="8"/>
  <c r="H26" i="8"/>
  <c r="F26" i="8"/>
  <c r="J26" i="8"/>
  <c r="K26" i="8"/>
  <c r="L26" i="8"/>
  <c r="H25" i="8"/>
  <c r="F25" i="8"/>
  <c r="J25" i="8"/>
  <c r="K25" i="8"/>
  <c r="L25" i="8"/>
  <c r="H24" i="8"/>
  <c r="F24" i="8"/>
  <c r="J24" i="8"/>
  <c r="K24" i="8"/>
  <c r="L24" i="8"/>
  <c r="H23" i="8"/>
  <c r="F23" i="8"/>
  <c r="J23" i="8"/>
  <c r="K23" i="8"/>
  <c r="L23" i="8"/>
  <c r="H22" i="8"/>
  <c r="F22" i="8"/>
  <c r="J22" i="8"/>
  <c r="K22" i="8"/>
  <c r="L22" i="8"/>
  <c r="H21" i="8"/>
  <c r="F21" i="8"/>
  <c r="J21" i="8"/>
  <c r="K21" i="8"/>
  <c r="L21" i="8"/>
  <c r="H20" i="8"/>
  <c r="F20" i="8"/>
  <c r="J20" i="8"/>
  <c r="K20" i="8"/>
  <c r="L20" i="8"/>
  <c r="H19" i="8"/>
  <c r="F19" i="8"/>
  <c r="J19" i="8"/>
  <c r="K19" i="8"/>
  <c r="L19" i="8"/>
  <c r="H18" i="8"/>
  <c r="F18" i="8"/>
  <c r="J18" i="8"/>
  <c r="K18" i="8"/>
  <c r="L18" i="8"/>
  <c r="H17" i="8"/>
  <c r="F17" i="8"/>
  <c r="J17" i="8"/>
  <c r="K17" i="8"/>
  <c r="L17" i="8"/>
  <c r="H16" i="8"/>
  <c r="F16" i="8"/>
  <c r="J16" i="8"/>
  <c r="K16" i="8"/>
  <c r="L16" i="8"/>
  <c r="J15" i="8"/>
  <c r="K15" i="8"/>
  <c r="H15" i="8"/>
  <c r="F15" i="8"/>
  <c r="L15" i="8"/>
  <c r="L9" i="8"/>
  <c r="J9" i="8"/>
  <c r="K9" i="8"/>
  <c r="H9" i="8"/>
  <c r="F9" i="8"/>
  <c r="J10" i="8"/>
</calcChain>
</file>

<file path=xl/comments1.xml><?xml version="1.0" encoding="utf-8"?>
<comments xmlns="http://schemas.openxmlformats.org/spreadsheetml/2006/main">
  <authors>
    <author>Rafael Nicolas Fermin Cota</author>
  </authors>
  <commentList>
    <comment ref="A96" authorId="0">
      <text>
        <r>
          <rPr>
            <b/>
            <sz val="9"/>
            <color indexed="81"/>
            <rFont val="Arial"/>
            <family val="2"/>
          </rPr>
          <t>Rafael Nicolas Fermin Cota:</t>
        </r>
        <r>
          <rPr>
            <sz val="9"/>
            <color indexed="81"/>
            <rFont val="Arial"/>
            <family val="2"/>
          </rPr>
          <t xml:space="preserve">
June 3-7/13</t>
        </r>
      </text>
    </comment>
    <comment ref="A181" authorId="0">
      <text>
        <r>
          <rPr>
            <b/>
            <sz val="9"/>
            <color indexed="81"/>
            <rFont val="Arial"/>
            <family val="2"/>
          </rPr>
          <t>Rafael Nicolas Fermin Cota:</t>
        </r>
        <r>
          <rPr>
            <sz val="9"/>
            <color indexed="81"/>
            <rFont val="Arial"/>
            <family val="2"/>
          </rPr>
          <t xml:space="preserve">
2 workers</t>
        </r>
      </text>
    </comment>
    <comment ref="A183" authorId="0">
      <text>
        <r>
          <rPr>
            <b/>
            <sz val="9"/>
            <color indexed="81"/>
            <rFont val="Arial"/>
            <family val="2"/>
          </rPr>
          <t>Rafael Nicolas Fermin Cota:</t>
        </r>
        <r>
          <rPr>
            <sz val="9"/>
            <color indexed="81"/>
            <rFont val="Arial"/>
            <family val="2"/>
          </rPr>
          <t xml:space="preserve">
2 workers</t>
        </r>
      </text>
    </comment>
    <comment ref="A185" authorId="0">
      <text>
        <r>
          <rPr>
            <b/>
            <sz val="9"/>
            <color indexed="81"/>
            <rFont val="Arial"/>
            <family val="2"/>
          </rPr>
          <t>Rafael Nicolas Fermin Cota:</t>
        </r>
        <r>
          <rPr>
            <sz val="9"/>
            <color indexed="81"/>
            <rFont val="Arial"/>
            <family val="2"/>
          </rPr>
          <t xml:space="preserve">
2 workers</t>
        </r>
      </text>
    </comment>
    <comment ref="A193" authorId="0">
      <text>
        <r>
          <rPr>
            <b/>
            <sz val="9"/>
            <color indexed="81"/>
            <rFont val="Arial"/>
            <family val="2"/>
          </rPr>
          <t>Rafael Nicolas Fermin Cota:</t>
        </r>
        <r>
          <rPr>
            <sz val="9"/>
            <color indexed="81"/>
            <rFont val="Arial"/>
            <family val="2"/>
          </rPr>
          <t xml:space="preserve">
July 23-24</t>
        </r>
      </text>
    </comment>
    <comment ref="A194" authorId="0">
      <text>
        <r>
          <rPr>
            <b/>
            <sz val="9"/>
            <color indexed="81"/>
            <rFont val="Arial"/>
            <family val="2"/>
          </rPr>
          <t>Rafael Nicolas Fermin Cota:</t>
        </r>
        <r>
          <rPr>
            <sz val="9"/>
            <color indexed="81"/>
            <rFont val="Arial"/>
            <family val="2"/>
          </rPr>
          <t xml:space="preserve">
July 25-26</t>
        </r>
      </text>
    </comment>
  </commentList>
</comments>
</file>

<file path=xl/sharedStrings.xml><?xml version="1.0" encoding="utf-8"?>
<sst xmlns="http://schemas.openxmlformats.org/spreadsheetml/2006/main" count="757" uniqueCount="58">
  <si>
    <t>Date</t>
  </si>
  <si>
    <t>Total</t>
  </si>
  <si>
    <t>Employee</t>
  </si>
  <si>
    <t>Hours</t>
  </si>
  <si>
    <t>Travel</t>
  </si>
  <si>
    <t>Rate</t>
  </si>
  <si>
    <t>Markup</t>
  </si>
  <si>
    <t>Cost</t>
  </si>
  <si>
    <t>Description</t>
  </si>
  <si>
    <t>Tony</t>
  </si>
  <si>
    <t>Move Panels</t>
  </si>
  <si>
    <t>Jay</t>
  </si>
  <si>
    <t>Jeff Reid</t>
  </si>
  <si>
    <t>Fly</t>
  </si>
  <si>
    <t>Dwayne</t>
  </si>
  <si>
    <t>Underfloor Insulation</t>
  </si>
  <si>
    <t>Prep/holes on South side</t>
  </si>
  <si>
    <t>Cut holes south side</t>
  </si>
  <si>
    <t>Doyle</t>
  </si>
  <si>
    <t>King</t>
  </si>
  <si>
    <t>Law</t>
  </si>
  <si>
    <t>Cut holes for gurts South Side</t>
  </si>
  <si>
    <t>Gregg Jobb</t>
  </si>
  <si>
    <t>Joed Dagnall</t>
  </si>
  <si>
    <t>Stu (StorageCo)</t>
  </si>
  <si>
    <t>Cooler Floor Panels</t>
  </si>
  <si>
    <t>Double J Installations</t>
  </si>
  <si>
    <t>Tanner</t>
  </si>
  <si>
    <t>Shaun</t>
  </si>
  <si>
    <t>Installed Stand Offs</t>
  </si>
  <si>
    <t>Dan D</t>
  </si>
  <si>
    <t>Ion</t>
  </si>
  <si>
    <t>Remove panels</t>
  </si>
  <si>
    <t>Move panels</t>
  </si>
  <si>
    <t>Install Door, Trim, Flashing</t>
  </si>
  <si>
    <t>Dan</t>
  </si>
  <si>
    <t>Tony (Not yet PO'd)</t>
  </si>
  <si>
    <t>Scott (Not yet PO'd)</t>
  </si>
  <si>
    <t>Install Downspouts</t>
  </si>
  <si>
    <t>Completed Downspouting</t>
  </si>
  <si>
    <t>No. Rows</t>
  </si>
  <si>
    <t>Use Dates Filter</t>
  </si>
  <si>
    <t>Starting Dates</t>
  </si>
  <si>
    <t>Ending Dates</t>
  </si>
  <si>
    <t>Construction Hours</t>
  </si>
  <si>
    <t>Total Costs Excluding Markup</t>
  </si>
  <si>
    <t>Total Costs Including Markup</t>
  </si>
  <si>
    <t>No. Invoices</t>
  </si>
  <si>
    <t>Avg. Rate</t>
  </si>
  <si>
    <t>Total Costs</t>
  </si>
  <si>
    <t>$ Markup</t>
  </si>
  <si>
    <t>$ Markup per hour</t>
  </si>
  <si>
    <t>Check</t>
  </si>
  <si>
    <t xml:space="preserve"> </t>
  </si>
  <si>
    <t>GFS</t>
  </si>
  <si>
    <t>Installed patches on South building on interior wall, installed 5 door sills on new doors</t>
  </si>
  <si>
    <t>Control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</si>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</sst>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[$-F800]dddd\,\ mmmm\ dd\,\ yyyy"/>
    <numFmt numFmtId="167" formatCode="_(&quot;$&quot;* #,##0_);_(&quot;$&quot;* \(#,##0\);_(&quot;$&quot;* &quot;-&quot;??_);_(@_)"/>
    <numFmt numFmtId="168" formatCode="dd/mm/yyyy;@"/>
    <numFmt numFmtId="169" formatCode="_-&quot;$&quot;* #,##0_-;\-&quot;$&quot;* #,##0_-;_-&quot;$&quot;* &quot;-&quot;??_-;_-@_-"/>
    <numFmt numFmtId="170" formatCode="#,##0.0000"/>
    <numFmt numFmtId="171" formatCode="_-* #,##0.00000_-;\-* #,##0.00000_-;_-* &quot;-&quot;??_-;_-@_-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b/>
      <sz val="8"/>
      <color theme="1"/>
      <name val="Calibri"/>
      <family val="2"/>
      <scheme val="minor"/>
    </font>
    <font>
      <u/>
      <sz val="10"/>
      <color theme="11"/>
      <name val="Arial"/>
      <family val="2"/>
    </font>
    <font>
      <sz val="11"/>
      <color theme="4" tint="0.39997558519241921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theme="0" tint="-0.34998626667073579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theme="0" tint="-0.34998626667073579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theme="0" tint="-0.34998626667073579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theme="0" tint="-0.34998626667073579"/>
      </right>
      <top style="hair">
        <color auto="1"/>
      </top>
      <bottom style="hair">
        <color auto="1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</borders>
  <cellStyleXfs count="251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6" fillId="4" borderId="1" xfId="3" applyFont="1" applyFill="1" applyBorder="1" applyAlignment="1">
      <alignment horizontal="center" vertical="center" wrapText="1"/>
    </xf>
    <xf numFmtId="0" fontId="7" fillId="0" borderId="1" xfId="3" applyFont="1" applyBorder="1" applyAlignment="1">
      <alignment vertical="center"/>
    </xf>
    <xf numFmtId="0" fontId="3" fillId="0" borderId="0" xfId="3" applyAlignment="1">
      <alignment vertical="center"/>
    </xf>
    <xf numFmtId="168" fontId="7" fillId="0" borderId="1" xfId="3" applyNumberFormat="1" applyFont="1" applyBorder="1" applyAlignment="1">
      <alignment vertical="center"/>
    </xf>
    <xf numFmtId="169" fontId="0" fillId="0" borderId="0" xfId="4" applyNumberFormat="1" applyFont="1" applyAlignment="1">
      <alignment vertical="center"/>
    </xf>
    <xf numFmtId="0" fontId="3" fillId="0" borderId="0" xfId="3" applyAlignment="1">
      <alignment horizontal="left" vertical="center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Continuous" vertical="center"/>
    </xf>
    <xf numFmtId="0" fontId="5" fillId="2" borderId="4" xfId="3" applyFont="1" applyFill="1" applyBorder="1" applyAlignment="1">
      <alignment horizontal="centerContinuous" vertical="center"/>
    </xf>
    <xf numFmtId="0" fontId="5" fillId="2" borderId="5" xfId="3" applyFont="1" applyFill="1" applyBorder="1" applyAlignment="1">
      <alignment horizontal="centerContinuous" vertical="center"/>
    </xf>
    <xf numFmtId="0" fontId="5" fillId="2" borderId="6" xfId="3" applyFont="1" applyFill="1" applyBorder="1" applyAlignment="1">
      <alignment horizontal="left" vertical="center"/>
    </xf>
    <xf numFmtId="0" fontId="6" fillId="4" borderId="7" xfId="3" applyFont="1" applyFill="1" applyBorder="1" applyAlignment="1">
      <alignment horizontal="center" vertical="center" wrapText="1"/>
    </xf>
    <xf numFmtId="0" fontId="6" fillId="4" borderId="8" xfId="3" applyFont="1" applyFill="1" applyBorder="1" applyAlignment="1">
      <alignment horizontal="center" vertical="center" wrapText="1"/>
    </xf>
    <xf numFmtId="0" fontId="12" fillId="4" borderId="1" xfId="3" applyFont="1" applyFill="1" applyBorder="1" applyAlignment="1">
      <alignment horizontal="center" vertical="center" wrapText="1"/>
    </xf>
    <xf numFmtId="0" fontId="3" fillId="0" borderId="0" xfId="3" applyBorder="1" applyAlignment="1">
      <alignment vertical="center"/>
    </xf>
    <xf numFmtId="0" fontId="3" fillId="0" borderId="10" xfId="3" applyBorder="1" applyAlignment="1">
      <alignment vertical="center"/>
    </xf>
    <xf numFmtId="0" fontId="3" fillId="0" borderId="9" xfId="3" applyBorder="1" applyAlignment="1">
      <alignment vertical="center"/>
    </xf>
    <xf numFmtId="3" fontId="3" fillId="0" borderId="9" xfId="3" applyNumberFormat="1" applyBorder="1" applyAlignment="1">
      <alignment horizontal="right" vertical="center"/>
    </xf>
    <xf numFmtId="3" fontId="3" fillId="0" borderId="0" xfId="3" applyNumberFormat="1" applyBorder="1" applyAlignment="1">
      <alignment horizontal="right" vertical="center"/>
    </xf>
    <xf numFmtId="44" fontId="3" fillId="0" borderId="0" xfId="3" applyNumberFormat="1" applyAlignment="1">
      <alignment vertical="center"/>
    </xf>
    <xf numFmtId="0" fontId="10" fillId="0" borderId="0" xfId="3" applyFont="1" applyAlignment="1">
      <alignment vertical="center"/>
    </xf>
    <xf numFmtId="3" fontId="0" fillId="0" borderId="9" xfId="4" applyNumberFormat="1" applyFont="1" applyFill="1" applyBorder="1" applyAlignment="1">
      <alignment horizontal="right" vertical="center"/>
    </xf>
    <xf numFmtId="3" fontId="0" fillId="0" borderId="0" xfId="4" applyNumberFormat="1" applyFont="1" applyFill="1" applyBorder="1" applyAlignment="1">
      <alignment horizontal="right" vertical="center"/>
    </xf>
    <xf numFmtId="164" fontId="0" fillId="0" borderId="9" xfId="4" applyFont="1" applyFill="1" applyBorder="1" applyAlignment="1">
      <alignment vertical="center"/>
    </xf>
    <xf numFmtId="169" fontId="0" fillId="0" borderId="10" xfId="4" applyNumberFormat="1" applyFont="1" applyFill="1" applyBorder="1" applyAlignment="1">
      <alignment vertical="center"/>
    </xf>
    <xf numFmtId="44" fontId="3" fillId="0" borderId="9" xfId="3" applyNumberFormat="1" applyFill="1" applyBorder="1" applyAlignment="1">
      <alignment vertical="center"/>
    </xf>
    <xf numFmtId="169" fontId="0" fillId="0" borderId="0" xfId="4" applyNumberFormat="1" applyFont="1" applyFill="1" applyBorder="1" applyAlignment="1">
      <alignment vertical="center"/>
    </xf>
    <xf numFmtId="167" fontId="3" fillId="0" borderId="0" xfId="3" applyNumberFormat="1" applyFill="1" applyBorder="1" applyAlignment="1">
      <alignment vertical="center"/>
    </xf>
    <xf numFmtId="44" fontId="3" fillId="0" borderId="10" xfId="3" applyNumberFormat="1" applyFill="1" applyBorder="1" applyAlignment="1">
      <alignment vertical="center"/>
    </xf>
    <xf numFmtId="171" fontId="14" fillId="0" borderId="0" xfId="5" applyNumberFormat="1" applyFont="1" applyFill="1" applyAlignment="1">
      <alignment vertical="center"/>
    </xf>
    <xf numFmtId="3" fontId="3" fillId="0" borderId="10" xfId="3" applyNumberFormat="1" applyBorder="1" applyAlignment="1">
      <alignment horizontal="center" vertical="center"/>
    </xf>
    <xf numFmtId="3" fontId="0" fillId="0" borderId="10" xfId="4" applyNumberFormat="1" applyFont="1" applyFill="1" applyBorder="1" applyAlignment="1">
      <alignment horizontal="center" vertical="center"/>
    </xf>
    <xf numFmtId="0" fontId="10" fillId="0" borderId="1" xfId="3" applyFont="1" applyFill="1" applyBorder="1" applyAlignment="1">
      <alignment vertical="center"/>
    </xf>
    <xf numFmtId="166" fontId="9" fillId="0" borderId="0" xfId="0" applyNumberFormat="1" applyFont="1" applyAlignment="1">
      <alignment vertical="center"/>
    </xf>
    <xf numFmtId="0" fontId="17" fillId="4" borderId="2" xfId="3" applyFont="1" applyFill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166" fontId="9" fillId="0" borderId="0" xfId="3" applyNumberFormat="1" applyFont="1" applyAlignment="1">
      <alignment vertical="center"/>
    </xf>
    <xf numFmtId="0" fontId="19" fillId="0" borderId="0" xfId="0" applyFont="1" applyFill="1"/>
    <xf numFmtId="165" fontId="9" fillId="0" borderId="0" xfId="5" applyFont="1" applyAlignment="1">
      <alignment vertical="center"/>
    </xf>
    <xf numFmtId="0" fontId="17" fillId="4" borderId="1" xfId="3" applyFont="1" applyFill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/>
    </xf>
    <xf numFmtId="3" fontId="3" fillId="0" borderId="1" xfId="3" applyNumberFormat="1" applyFill="1" applyBorder="1" applyAlignment="1">
      <alignment horizontal="right" vertical="center"/>
    </xf>
    <xf numFmtId="3" fontId="3" fillId="0" borderId="1" xfId="3" applyNumberFormat="1" applyFill="1" applyBorder="1" applyAlignment="1">
      <alignment horizontal="center" vertical="center"/>
    </xf>
    <xf numFmtId="164" fontId="0" fillId="0" borderId="1" xfId="4" applyFont="1" applyFill="1" applyBorder="1" applyAlignment="1">
      <alignment vertical="center"/>
    </xf>
    <xf numFmtId="169" fontId="0" fillId="0" borderId="1" xfId="4" applyNumberFormat="1" applyFont="1" applyFill="1" applyBorder="1" applyAlignment="1">
      <alignment horizontal="center" vertical="center"/>
    </xf>
    <xf numFmtId="0" fontId="6" fillId="4" borderId="11" xfId="3" applyFont="1" applyFill="1" applyBorder="1" applyAlignment="1">
      <alignment horizontal="center" vertical="center" wrapText="1"/>
    </xf>
    <xf numFmtId="0" fontId="11" fillId="2" borderId="12" xfId="3" applyFont="1" applyFill="1" applyBorder="1" applyAlignment="1">
      <alignment horizontal="centerContinuous" vertical="center"/>
    </xf>
    <xf numFmtId="0" fontId="5" fillId="2" borderId="13" xfId="3" applyFont="1" applyFill="1" applyBorder="1" applyAlignment="1">
      <alignment horizontal="centerContinuous" vertical="center"/>
    </xf>
    <xf numFmtId="0" fontId="12" fillId="4" borderId="11" xfId="3" applyFont="1" applyFill="1" applyBorder="1" applyAlignment="1">
      <alignment horizontal="center" vertical="center" wrapText="1"/>
    </xf>
    <xf numFmtId="0" fontId="5" fillId="2" borderId="12" xfId="3" applyFont="1" applyFill="1" applyBorder="1" applyAlignment="1">
      <alignment horizontal="centerContinuous" vertical="center"/>
    </xf>
    <xf numFmtId="0" fontId="5" fillId="2" borderId="14" xfId="3" applyFont="1" applyFill="1" applyBorder="1" applyAlignment="1">
      <alignment horizontal="centerContinuous" vertical="center"/>
    </xf>
    <xf numFmtId="0" fontId="3" fillId="3" borderId="2" xfId="3" applyFill="1" applyBorder="1" applyAlignment="1">
      <alignment vertical="center"/>
    </xf>
    <xf numFmtId="170" fontId="13" fillId="3" borderId="4" xfId="5" applyNumberFormat="1" applyFont="1" applyFill="1" applyBorder="1" applyAlignment="1">
      <alignment vertical="center"/>
    </xf>
    <xf numFmtId="0" fontId="3" fillId="3" borderId="4" xfId="3" applyFill="1" applyBorder="1" applyAlignment="1">
      <alignment vertical="center"/>
    </xf>
    <xf numFmtId="0" fontId="3" fillId="3" borderId="6" xfId="3" applyFill="1" applyBorder="1" applyAlignment="1">
      <alignment vertical="center"/>
    </xf>
    <xf numFmtId="0" fontId="4" fillId="5" borderId="1" xfId="3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left" vertical="center" indent="2"/>
    </xf>
    <xf numFmtId="0" fontId="6" fillId="4" borderId="1" xfId="3" applyFont="1" applyFill="1" applyBorder="1" applyAlignment="1">
      <alignment horizontal="left" vertical="center" indent="1"/>
    </xf>
    <xf numFmtId="0" fontId="6" fillId="3" borderId="1" xfId="3" applyFont="1" applyFill="1" applyBorder="1" applyAlignment="1">
      <alignment horizontal="left" vertical="center" wrapText="1" indent="1"/>
    </xf>
    <xf numFmtId="0" fontId="10" fillId="0" borderId="1" xfId="3" applyFont="1" applyFill="1" applyBorder="1" applyAlignment="1">
      <alignment horizontal="center" vertical="center"/>
    </xf>
    <xf numFmtId="3" fontId="13" fillId="3" borderId="4" xfId="5" applyNumberFormat="1" applyFont="1" applyFill="1" applyBorder="1" applyAlignment="1">
      <alignment vertical="center"/>
    </xf>
    <xf numFmtId="171" fontId="14" fillId="0" borderId="1" xfId="5" applyNumberFormat="1" applyFont="1" applyFill="1" applyBorder="1" applyAlignment="1">
      <alignment vertical="center"/>
    </xf>
  </cellXfs>
  <cellStyles count="251">
    <cellStyle name="Comma 2" xfId="1"/>
    <cellStyle name="Comma 3" xfId="5"/>
    <cellStyle name="Currency 2" xfId="2"/>
    <cellStyle name="Currency 3" xfId="4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2:Y281"/>
  <sheetViews>
    <sheetView showGridLines="0" workbookViewId="0">
      <selection activeCell="A2" sqref="A2"/>
    </sheetView>
  </sheetViews>
  <sheetFormatPr defaultColWidth="15.85546875" defaultRowHeight="20.100000000000001" customHeight="1" x14ac:dyDescent="0.2"/>
  <cols>
    <col min="1" max="1" width="3.85546875" style="5" customWidth="1"/>
    <col min="2" max="13" width="15.85546875" style="5"/>
    <col min="14" max="14" width="3.85546875" style="5" customWidth="1"/>
    <col min="15" max="16384" width="15.85546875" style="5"/>
  </cols>
  <sheetData>
    <row r="2" spans="1:25" ht="20.100000000000001" customHeight="1" x14ac:dyDescent="0.2">
      <c r="G2" s="40"/>
    </row>
    <row r="3" spans="1:25" ht="20.100000000000001" customHeight="1" x14ac:dyDescent="0.2">
      <c r="B3" s="64" t="s">
        <v>56</v>
      </c>
      <c r="C3" s="4" t="b">
        <v>1</v>
      </c>
      <c r="D3" s="63" t="s">
        <v>41</v>
      </c>
      <c r="E3" s="35" t="b">
        <v>0</v>
      </c>
    </row>
    <row r="4" spans="1:25" ht="20.100000000000001" customHeight="1" x14ac:dyDescent="0.2">
      <c r="B4" s="63" t="s">
        <v>57</v>
      </c>
      <c r="C4" s="65" t="s">
        <v>54</v>
      </c>
      <c r="D4" s="62" t="s">
        <v>42</v>
      </c>
      <c r="E4" s="6">
        <f ca="1">IF($C$3=FALSE,"-",MIN(OFFSET(GFS!$B$1,1,0,$C$5,1)))</f>
        <v>41407</v>
      </c>
    </row>
    <row r="5" spans="1:25" ht="20.100000000000001" customHeight="1" x14ac:dyDescent="0.2">
      <c r="B5" s="63" t="s">
        <v>40</v>
      </c>
      <c r="C5" s="38">
        <f>IF($C$3=FALSE,"-",COUNTA(GFS!A:A)-1)</f>
        <v>230</v>
      </c>
      <c r="D5" s="62" t="s">
        <v>43</v>
      </c>
      <c r="E5" s="6">
        <f ca="1">IF($C$3=FALSE,"-",MAX(OFFSET(GFS!$B$1,1,0,$C$5,1)))</f>
        <v>41520</v>
      </c>
    </row>
    <row r="6" spans="1:25" ht="20.100000000000001" customHeight="1" x14ac:dyDescent="0.2">
      <c r="H6" s="7"/>
    </row>
    <row r="7" spans="1:25" ht="20.100000000000001" customHeight="1" x14ac:dyDescent="0.2">
      <c r="B7" s="39" t="str">
        <f>IF($C$3=FALSE,"-",$C$4)</f>
        <v>GFS</v>
      </c>
      <c r="C7" s="11" t="s">
        <v>44</v>
      </c>
      <c r="D7" s="11"/>
      <c r="E7" s="11"/>
      <c r="F7" s="52" t="s">
        <v>45</v>
      </c>
      <c r="G7" s="53"/>
      <c r="H7" s="55" t="s">
        <v>46</v>
      </c>
      <c r="I7" s="56"/>
      <c r="J7" s="56"/>
      <c r="K7" s="53"/>
      <c r="L7" s="13"/>
      <c r="O7" s="39" t="str">
        <f>IF($C$3=FALSE,"-",$C$4)</f>
        <v>GFS</v>
      </c>
      <c r="P7" s="11" t="s">
        <v>44</v>
      </c>
      <c r="Q7" s="11"/>
      <c r="R7" s="11"/>
      <c r="S7" s="52" t="s">
        <v>45</v>
      </c>
      <c r="T7" s="53"/>
      <c r="U7" s="55" t="s">
        <v>46</v>
      </c>
      <c r="V7" s="56"/>
      <c r="W7" s="56"/>
      <c r="X7" s="53"/>
      <c r="Y7" s="13"/>
    </row>
    <row r="8" spans="1:25" ht="20.100000000000001" customHeight="1" x14ac:dyDescent="0.2">
      <c r="B8" s="45" t="str">
        <f ca="1">IF($C$3=FALSE,"-",IF($E$3=FALSE,TEXT(MIN(OFFSET(GFS!$B$1,1,0,$C$5,1)),"dd-mmm-yy")&amp;" to "&amp;TEXT(MAX(OFFSET(GFS!$B$1,1,0,$C$5,1)),"dd-mmm-yy"),TEXT($E$4,"dd-mmm-yy")&amp;" to "&amp;TEXT($E$5,"dd-mmm-yy")))</f>
        <v>13-May-13 to 03-Sep-13</v>
      </c>
      <c r="C8" s="3" t="s">
        <v>47</v>
      </c>
      <c r="D8" s="3" t="s">
        <v>3</v>
      </c>
      <c r="E8" s="3" t="s">
        <v>4</v>
      </c>
      <c r="F8" s="51" t="s">
        <v>48</v>
      </c>
      <c r="G8" s="51" t="s">
        <v>49</v>
      </c>
      <c r="H8" s="51" t="s">
        <v>48</v>
      </c>
      <c r="I8" s="51" t="s">
        <v>49</v>
      </c>
      <c r="J8" s="54" t="s">
        <v>50</v>
      </c>
      <c r="K8" s="51" t="s">
        <v>51</v>
      </c>
      <c r="L8" s="16" t="s">
        <v>52</v>
      </c>
      <c r="O8" s="45" t="str">
        <f ca="1">IF($C$3=FALSE,"-",IF($E$3=FALSE,TEXT(MIN(OFFSET(GFS!$B$1,1,0,$C$5,1)),"dd-mmm-yy")&amp;" to "&amp;TEXT(MAX(OFFSET(GFS!$B$1,1,0,$C$5,1)),"dd-mmm-yy"),TEXT($E$4,"dd-mmm-yy")&amp;" to "&amp;TEXT($E$5,"dd-mmm-yy")))</f>
        <v>13-May-13 to 03-Sep-13</v>
      </c>
      <c r="P8" s="3" t="s">
        <v>47</v>
      </c>
      <c r="Q8" s="3" t="s">
        <v>3</v>
      </c>
      <c r="R8" s="3" t="s">
        <v>4</v>
      </c>
      <c r="S8" s="51" t="s">
        <v>48</v>
      </c>
      <c r="T8" s="51" t="s">
        <v>49</v>
      </c>
      <c r="U8" s="51" t="s">
        <v>48</v>
      </c>
      <c r="V8" s="51" t="s">
        <v>49</v>
      </c>
      <c r="W8" s="54" t="s">
        <v>50</v>
      </c>
      <c r="X8" s="51" t="s">
        <v>51</v>
      </c>
      <c r="Y8" s="16" t="s">
        <v>52</v>
      </c>
    </row>
    <row r="9" spans="1:25" ht="20.100000000000001" customHeight="1" x14ac:dyDescent="0.2">
      <c r="B9" s="46" t="s">
        <v>1</v>
      </c>
      <c r="C9" s="47">
        <f ca="1">IF($C$3=FALSE,"-",SUM(OFFSET(C$14,1,0,A13,1)))</f>
        <v>230</v>
      </c>
      <c r="D9" s="47">
        <f ca="1">IF($C$3=FALSE,"-",SUM(OFFSET(D$14,1,0,A13,1)))</f>
        <v>2147.6999999999998</v>
      </c>
      <c r="E9" s="48">
        <f ca="1">IF($C$3=FALSE,"-",SUM(OFFSET(E$14,1,0,A13,1)))</f>
        <v>3</v>
      </c>
      <c r="F9" s="49">
        <f ca="1">IF($C$3=FALSE,"-",IF(D9=0,0,G9/D9))</f>
        <v>31.294640778507244</v>
      </c>
      <c r="G9" s="50">
        <f ca="1">IF($C$3=FALSE,"-",SUM(OFFSET(G$14,1,0,A13,1)))</f>
        <v>67211.5</v>
      </c>
      <c r="H9" s="49">
        <f ca="1">IF($C$3=FALSE,"-",IF(D9=0,0,I9/D9))</f>
        <v>32.741083484658006</v>
      </c>
      <c r="I9" s="50">
        <f ca="1">IF($C$3=FALSE,"-",SUM(OFFSET(I$14,1,0,A13,1)))</f>
        <v>70318.024999999994</v>
      </c>
      <c r="J9" s="50">
        <f ca="1">IF($C$3=FALSE,"-",SUM(OFFSET(J$14,1,0,A13,1)))</f>
        <v>3106.5250000000037</v>
      </c>
      <c r="K9" s="49">
        <f ca="1">IF($C$3=FALSE,"-",IF(D9=0,0,J9/D9))</f>
        <v>1.4464427061507679</v>
      </c>
      <c r="L9" s="67">
        <f ca="1">IF($C$3=FALSE,"-",SUM(OFFSET(L$14,1,0,A13,1)))</f>
        <v>-8.8817841970012523E-16</v>
      </c>
      <c r="O9" s="46" t="s">
        <v>1</v>
      </c>
      <c r="P9" s="47">
        <f ca="1">IF($C$3=FALSE,"-",SUM(OFFSET(P$14,1,0,N13,1)))</f>
        <v>230</v>
      </c>
      <c r="Q9" s="47">
        <f ca="1">IF($C$3=FALSE,"-",SUM(OFFSET(Q$14,1,0,N13,1)))</f>
        <v>2147.6999999999998</v>
      </c>
      <c r="R9" s="48">
        <f ca="1">IF($C$3=FALSE,"-",SUM(OFFSET(R$14,1,0,N13,1)))</f>
        <v>3</v>
      </c>
      <c r="S9" s="49">
        <f ca="1">IF($C$3=FALSE,"-",IF(Q9=0,0,T9/Q9))</f>
        <v>31.294640778507244</v>
      </c>
      <c r="T9" s="50">
        <f ca="1">IF($C$3=FALSE,"-",SUM(OFFSET(T$14,1,0,N13,1)))</f>
        <v>67211.5</v>
      </c>
      <c r="U9" s="49">
        <f ca="1">IF($C$3=FALSE,"-",IF(Q9=0,0,V9/Q9))</f>
        <v>32.741083484658006</v>
      </c>
      <c r="V9" s="50">
        <f ca="1">IF($C$3=FALSE,"-",SUM(OFFSET(V$14,1,0,N13,1)))</f>
        <v>70318.024999999994</v>
      </c>
      <c r="W9" s="50">
        <f ca="1">IF($C$3=FALSE,"-",SUM(OFFSET(W$14,1,0,N13,1)))</f>
        <v>3106.5249999999978</v>
      </c>
      <c r="X9" s="49">
        <f ca="1">IF($C$3=FALSE,"-",IF(Q9=0,0,W9/Q9))</f>
        <v>1.446442706150765</v>
      </c>
      <c r="Y9" s="67">
        <f ca="1">IF($C$3=FALSE,"-",SUM(OFFSET(Y$14,1,0,N13,1)))</f>
        <v>2.55351295663786E-15</v>
      </c>
    </row>
    <row r="10" spans="1:25" s="8" customFormat="1" ht="20.100000000000001" customHeight="1" x14ac:dyDescent="0.2">
      <c r="B10" s="57"/>
      <c r="C10" s="66">
        <f t="array" aca="1" ref="C10" ca="1">IF($C$3=FALSE,"-",SUM(IF($E$3=FALSE,C$5,(OFFSET(GFS!$B$1,1,0,$C$5,1)&gt;=$E$4)*(OFFSET(GFS!$B$1,1,0,$C$5,1)&lt;=$E$5)))-$C$9)</f>
        <v>0</v>
      </c>
      <c r="D10" s="66">
        <f t="array" aca="1" ref="D10" ca="1">IF($C$3=FALSE,"-",SUM((OFFSET(GFS!$C$1,1,0,$C$5,1))*IF($E$3=FALSE,1,(OFFSET(GFS!$B$1,1,0,$C$5,1)&gt;=$E$4)*(OFFSET(GFS!$B$1,1,0,$C$5,1)&lt;=$E$5)))-D9)</f>
        <v>0</v>
      </c>
      <c r="E10" s="66">
        <f t="array" aca="1" ref="E10" ca="1">IF($C$3=FALSE,"-",SUM((OFFSET(GFS!$D$1,1,0,$C$5,1))*IF($E$3=FALSE,1,(OFFSET(GFS!$B$1,1,0,$C$5,1)&gt;=$E$4)*(OFFSET(GFS!$B$1,1,0,$C$5,1)&lt;=$E$5)))-E9)</f>
        <v>0</v>
      </c>
      <c r="F10" s="59"/>
      <c r="G10" s="58">
        <f t="array" aca="1" ref="G10" ca="1">IF($C$3=FALSE,"-",SUM((OFFSET(GFS!$C$1,1,0,$C$5,1)+OFFSET(GFS!$D$1,1,0,$C$5,1))*OFFSET(GFS!$E$1,1,0,$C$5,1)*IF($E$3=FALSE,1,(OFFSET(GFS!$B$1,1,0,$C$5,1)&gt;=$E$4)*(OFFSET(GFS!$B$1,1,0,$C$5,1)&lt;=$E$5)))-G9)</f>
        <v>0</v>
      </c>
      <c r="H10" s="59"/>
      <c r="I10" s="58">
        <f t="array" aca="1" ref="I10" ca="1">IF($C$3=FALSE,"-",SUM((OFFSET(GFS!$C$1,1,0,$C$5,1)+OFFSET(GFS!$D$1,1,0,$C$5,1))*OFFSET(GFS!$E$1,1,0,$C$5,1)*OFFSET(GFS!$F$1,1,0,$C$5,1)*IF($E$3=FALSE,1,(OFFSET(GFS!$B$1,1,0,$C$5,1)&gt;=$E$4)*(OFFSET(GFS!$B$1,1,0,$C$5,1)&lt;=$E$5)))-I9)</f>
        <v>4.3655745685100555E-11</v>
      </c>
      <c r="J10" s="58">
        <f ca="1">IF($C$3=FALSE,"-",I9-G9-J9)</f>
        <v>-9.5496943686157465E-12</v>
      </c>
      <c r="K10" s="59"/>
      <c r="L10" s="60"/>
      <c r="O10" s="57"/>
      <c r="P10" s="66">
        <f ca="1">IF($C$3=FALSE,"-",SUM(IF($E$3=FALSE,C$5,(OFFSET(GFS!$B$1,1,0,$C$5,1)&gt;=$E$4)*(OFFSET(GFS!$B$1,1,0,$C$5,1)&lt;=$E$5)))-$P$9)</f>
        <v>0</v>
      </c>
      <c r="Q10" s="66">
        <f t="array" aca="1" ref="Q10" ca="1">IF($C$3=FALSE,"-",SUM((OFFSET(GFS!$C$1,1,0,$C$5,1))*IF($E$3=FALSE,1,(OFFSET(GFS!$B$1,1,0,$C$5,1)&gt;=$E$4)*(OFFSET(GFS!$B$1,1,0,$C$5,1)&lt;=$E$5)))-Q9)</f>
        <v>0</v>
      </c>
      <c r="R10" s="66">
        <f t="array" aca="1" ref="R10" ca="1">IF($C$3=FALSE,"-",SUM((OFFSET(GFS!$D$1,1,0,$C$5,1))*IF($E$3=FALSE,1,(OFFSET(GFS!$B$1,1,0,$C$5,1)&gt;=$E$4)*(OFFSET(GFS!$B$1,1,0,$C$5,1)&lt;=$E$5)))-R9)</f>
        <v>0</v>
      </c>
      <c r="S10" s="59"/>
      <c r="T10" s="58">
        <f t="array" aca="1" ref="T10" ca="1">IF($C$3=FALSE,"-",SUM((OFFSET(GFS!$C$1,1,0,$C$5,1)+OFFSET(GFS!$D$1,1,0,$C$5,1))*OFFSET(GFS!$E$1,1,0,$C$5,1)*IF($E$3=FALSE,1,(OFFSET(GFS!$B$1,1,0,$C$5,1)&gt;=$E$4)*(OFFSET(GFS!$B$1,1,0,$C$5,1)&lt;=$E$5)))-T9)</f>
        <v>0</v>
      </c>
      <c r="U10" s="59"/>
      <c r="V10" s="58">
        <f t="array" aca="1" ref="V10" ca="1">IF($C$3=FALSE,"-",SUM((OFFSET(GFS!$C$1,1,0,$C$5,1)+OFFSET(GFS!$D$1,1,0,$C$5,1))*OFFSET(GFS!$E$1,1,0,$C$5,1)*OFFSET(GFS!$F$1,1,0,$C$5,1)*IF($E$3=FALSE,1,(OFFSET(GFS!$B$1,1,0,$C$5,1)&gt;=$E$4)*(OFFSET(GFS!$B$1,1,0,$C$5,1)&lt;=$E$5)))-V9)</f>
        <v>4.3655745685100555E-11</v>
      </c>
      <c r="W10" s="58">
        <f ca="1">IF($C$3=FALSE,"-",V9-T9-W9)</f>
        <v>-3.637978807091713E-12</v>
      </c>
      <c r="X10" s="59"/>
      <c r="Y10" s="60"/>
    </row>
    <row r="12" spans="1:25" ht="20.100000000000001" customHeight="1" x14ac:dyDescent="0.2">
      <c r="B12" s="9" t="str">
        <f>IF($C$3=FALSE,"-",B7)</f>
        <v>GFS</v>
      </c>
      <c r="C12" s="10" t="str">
        <f>IF($C$3=FALSE,"-",C7)</f>
        <v>Construction Hours</v>
      </c>
      <c r="D12" s="11"/>
      <c r="E12" s="12"/>
      <c r="F12" s="10" t="str">
        <f>IF($C$3=FALSE,"-",F7)</f>
        <v>Total Costs Excluding Markup</v>
      </c>
      <c r="G12" s="12"/>
      <c r="H12" s="10" t="str">
        <f>IF($C$3=FALSE,"-",H7)</f>
        <v>Total Costs Including Markup</v>
      </c>
      <c r="I12" s="11"/>
      <c r="J12" s="11"/>
      <c r="K12" s="12"/>
      <c r="L12" s="13"/>
      <c r="O12" s="9" t="str">
        <f>IF($C$3=FALSE,"-",O7)</f>
        <v>GFS</v>
      </c>
      <c r="P12" s="10" t="str">
        <f>IF($C$3=FALSE,"-",P7)</f>
        <v>Construction Hours</v>
      </c>
      <c r="Q12" s="11"/>
      <c r="R12" s="12"/>
      <c r="S12" s="10" t="str">
        <f>IF($C$3=FALSE,"-",S7)</f>
        <v>Total Costs Excluding Markup</v>
      </c>
      <c r="T12" s="12"/>
      <c r="U12" s="10" t="str">
        <f>IF($C$3=FALSE,"-",U7)</f>
        <v>Total Costs Including Markup</v>
      </c>
      <c r="V12" s="11"/>
      <c r="W12" s="11"/>
      <c r="X12" s="12"/>
      <c r="Y12" s="13"/>
    </row>
    <row r="13" spans="1:25" ht="20.100000000000001" customHeight="1" x14ac:dyDescent="0.2">
      <c r="A13" s="61">
        <f>IF($C$3=FALSE,"-",COUNTA(B$15:B$997))</f>
        <v>19</v>
      </c>
      <c r="B13" s="37" t="str">
        <f ca="1">IF($C$3=FALSE,"-",B8)</f>
        <v>13-May-13 to 03-Sep-13</v>
      </c>
      <c r="C13" s="14" t="str">
        <f>IF($C$3=FALSE,"-",C8)</f>
        <v>No. Invoices</v>
      </c>
      <c r="D13" s="3" t="str">
        <f>IF($C$3=FALSE,"-",D8)</f>
        <v>Hours</v>
      </c>
      <c r="E13" s="15" t="str">
        <f>IF($C$3=FALSE,"-",E8)</f>
        <v>Travel</v>
      </c>
      <c r="F13" s="14" t="str">
        <f>IF($C$3=FALSE,"-",F8)</f>
        <v>Avg. Rate</v>
      </c>
      <c r="G13" s="15" t="str">
        <f>IF($C$3=FALSE,"-",G8)</f>
        <v>Total Costs</v>
      </c>
      <c r="H13" s="14" t="str">
        <f>IF($C$3=FALSE,"-",H8)</f>
        <v>Avg. Rate</v>
      </c>
      <c r="I13" s="3" t="str">
        <f>IF($C$3=FALSE,"-",I8)</f>
        <v>Total Costs</v>
      </c>
      <c r="J13" s="16" t="str">
        <f>IF($C$3=FALSE,"-",J8)</f>
        <v>$ Markup</v>
      </c>
      <c r="K13" s="15" t="str">
        <f>IF($C$3=FALSE,"-",K8)</f>
        <v>$ Markup per hour</v>
      </c>
      <c r="L13" s="16" t="str">
        <f>IF($C$3=FALSE,"-",L8)</f>
        <v>Check</v>
      </c>
      <c r="N13" s="61">
        <f>IF($C$3=FALSE,"-",COUNTA(O$15:O$997)+1)</f>
        <v>13</v>
      </c>
      <c r="O13" s="37" t="str">
        <f ca="1">IF($C$3=FALSE,"-",O8)</f>
        <v>13-May-13 to 03-Sep-13</v>
      </c>
      <c r="P13" s="14" t="str">
        <f>IF($C$3=FALSE,"-",P8)</f>
        <v>No. Invoices</v>
      </c>
      <c r="Q13" s="3" t="str">
        <f>IF($C$3=FALSE,"-",Q8)</f>
        <v>Hours</v>
      </c>
      <c r="R13" s="15" t="str">
        <f>IF($C$3=FALSE,"-",R8)</f>
        <v>Travel</v>
      </c>
      <c r="S13" s="14" t="str">
        <f>IF($C$3=FALSE,"-",S8)</f>
        <v>Avg. Rate</v>
      </c>
      <c r="T13" s="15" t="str">
        <f>IF($C$3=FALSE,"-",T8)</f>
        <v>Total Costs</v>
      </c>
      <c r="U13" s="14" t="str">
        <f>IF($C$3=FALSE,"-",U8)</f>
        <v>Avg. Rate</v>
      </c>
      <c r="V13" s="3" t="str">
        <f>IF($C$3=FALSE,"-",V8)</f>
        <v>Total Costs</v>
      </c>
      <c r="W13" s="16" t="str">
        <f>IF($C$3=FALSE,"-",W8)</f>
        <v>$ Markup</v>
      </c>
      <c r="X13" s="15" t="str">
        <f>IF($C$3=FALSE,"-",X8)</f>
        <v>$ Markup per hour</v>
      </c>
      <c r="Y13" s="16" t="str">
        <f>IF($C$3=FALSE,"-",Y8)</f>
        <v>Check</v>
      </c>
    </row>
    <row r="14" spans="1:25" ht="20.100000000000001" customHeight="1" x14ac:dyDescent="0.2">
      <c r="C14" s="20"/>
      <c r="D14" s="21"/>
      <c r="E14" s="33"/>
      <c r="F14" s="19"/>
      <c r="G14" s="18"/>
      <c r="H14" s="19"/>
      <c r="I14" s="17"/>
      <c r="J14" s="17"/>
      <c r="K14" s="18"/>
      <c r="P14" s="20"/>
      <c r="Q14" s="21"/>
      <c r="R14" s="33"/>
      <c r="S14" s="19"/>
      <c r="T14" s="18"/>
      <c r="U14" s="19"/>
      <c r="V14" s="17"/>
      <c r="W14" s="17"/>
      <c r="X14" s="18"/>
    </row>
    <row r="15" spans="1:25" ht="20.100000000000001" customHeight="1" x14ac:dyDescent="0.2">
      <c r="A15" s="22"/>
      <c r="B15" s="23" t="s">
        <v>9</v>
      </c>
      <c r="C15" s="24">
        <f t="array" aca="1" ref="C15" ca="1">IF($C$3=FALSE,"-",SUM((OFFSET(GFS!$A$1,1,0,$C$5,1)=B15)*IF($E$3=FALSE,1,(OFFSET(GFS!$B$1,1,0,$C$5,1)&gt;=$E$4)*(OFFSET(GFS!$B$1,1,0,$C$5,1)&lt;=$E$5))))</f>
        <v>29</v>
      </c>
      <c r="D15" s="25">
        <f t="array" aca="1" ref="D15" ca="1">IF($C$3=FALSE,"-",SUM((OFFSET(GFS!$A$1,1,0,$C$5,1)=B15)*OFFSET(GFS!$C$1,1,0,$C$5,1)*IF($E$3=FALSE,1,(OFFSET(GFS!$B$1,1,0,$C$5,1)&gt;=$E$4)*(OFFSET(GFS!$B$1,1,0,$C$5,1)&lt;=$E$5))))</f>
        <v>219.5</v>
      </c>
      <c r="E15" s="34">
        <f t="array" aca="1" ref="E15" ca="1">IF($C$3=FALSE,"-",SUM((OFFSET(GFS!$A$1,1,0,$C$5,1)=B15)*OFFSET(GFS!$D$1,1,0,$C$5,1)*IF($E$3=FALSE,1,(OFFSET(GFS!$B$1,1,0,$C$5,1)&gt;=$E$4)*(OFFSET(GFS!$B$1,1,0,$C$5,1)&lt;=$E$5))))</f>
        <v>2</v>
      </c>
      <c r="F15" s="26">
        <f t="shared" ref="F15:F33" ca="1" si="0">IF($C$3=FALSE,"-",IF(D15+E15=0,0,G15/(D15+E15)))</f>
        <v>35</v>
      </c>
      <c r="G15" s="27">
        <f t="array" aca="1" ref="G15" ca="1">IF($C$3=FALSE,"-",SUM((OFFSET(GFS!$A$1,1,0,$C$5,1)=B15)*(OFFSET(GFS!$C$1,1,0,$C$5,1)+OFFSET(GFS!$D$1,1,0,$C$5,1))*OFFSET(GFS!$E$1,1,0,$C$5,1)*IF($E$3=FALSE,1,(OFFSET(GFS!$B$1,1,0,$C$5,1)&gt;=$E$4)*(OFFSET(GFS!$B$1,1,0,$C$5,1)&lt;=$E$5))))</f>
        <v>7752.5</v>
      </c>
      <c r="H15" s="28">
        <f t="shared" ref="H15:H33" ca="1" si="1">IF($C$3=FALSE,"-",IF(D15+E15=0,0,I15/(D15+E15)))</f>
        <v>35.659706546275395</v>
      </c>
      <c r="I15" s="29">
        <f t="array" aca="1" ref="I15" ca="1">IF($C$3=FALSE,"-",SUM((OFFSET(GFS!$A$1,1,0,$C$5,1)=B15)*(OFFSET(GFS!$C$1,1,0,$C$5,1)+OFFSET(GFS!$D$1,1,0,$C$5,1))*OFFSET(GFS!$E$1,1,0,$C$5,1)*OFFSET(GFS!$F$1,1,0,$C$5,1)*IF($E$3=FALSE,1,(OFFSET(GFS!$B$1,1,0,$C$5,1)&gt;=$E$4)*(OFFSET(GFS!$B$1,1,0,$C$5,1)&lt;=$E$5))))</f>
        <v>7898.625</v>
      </c>
      <c r="J15" s="30">
        <f t="shared" ref="J15:J33" ca="1" si="2">IF($C$3=FALSE,"-",I15-G15)</f>
        <v>146.125</v>
      </c>
      <c r="K15" s="31">
        <f t="shared" ref="K15:K33" ca="1" si="3">IF($C$3=FALSE,"-",IF(D15+E15=0,0,J15/(D15+E15)))</f>
        <v>0.65970654627539504</v>
      </c>
      <c r="L15" s="32">
        <f t="shared" ref="L15:L33" ca="1" si="4">IF($C$3=FALSE,"-",(H15-F15)-K15)</f>
        <v>-4.4408920985006262E-16</v>
      </c>
      <c r="O15" s="23" t="s">
        <v>10</v>
      </c>
      <c r="P15" s="24">
        <f t="array" aca="1" ref="P15" ca="1">IF($C$3=FALSE,"-",SUM((OFFSET(GFS!$H$1,1,0,$C$5,1)=O15)*IF($E$3=FALSE,1,(OFFSET(GFS!$B$1,1,0,$C$5,1)&gt;=$E$4)*(OFFSET(GFS!$B$1,1,0,$C$5,1)&lt;=$E$5))))</f>
        <v>25</v>
      </c>
      <c r="Q15" s="25">
        <f t="array" aca="1" ref="Q15" ca="1">IF($C$3=FALSE,"-",SUM((OFFSET(GFS!$H$1,1,0,$C$5,1)=O15)*OFFSET(GFS!$C$1,1,0,$C$5,1)*IF($E$3=FALSE,1,(OFFSET(GFS!$B$1,1,0,$C$5,1)&gt;=$E$4)*(OFFSET(GFS!$B$1,1,0,$C$5,1)&lt;=$E$5))))</f>
        <v>160.75</v>
      </c>
      <c r="R15" s="34">
        <f t="array" aca="1" ref="R15" ca="1">IF($C$3=FALSE,"-",SUM((OFFSET(GFS!$H$1,1,0,$C$5,1)=O15)*OFFSET(GFS!$D$1,1,0,$C$5,1)*IF($E$3=FALSE,1,(OFFSET(GFS!$B$1,1,0,$C$5,1)&gt;=$E$4)*(OFFSET(GFS!$B$1,1,0,$C$5,1)&lt;=$E$5))))</f>
        <v>1</v>
      </c>
      <c r="S15" s="26">
        <f t="shared" ref="S15:S27" ca="1" si="5">IF($C$3=FALSE,"-",IF(Q15+R15=0,0,T15/(Q15+R15)))</f>
        <v>30.440494590417309</v>
      </c>
      <c r="T15" s="27">
        <f t="array" aca="1" ref="T15" ca="1">IF($C$3=FALSE,"-",SUM((OFFSET(GFS!$H$1,1,0,$C$5,1)=O15)*(OFFSET(GFS!$C$1,1,0,$C$5,1)+OFFSET(GFS!$D$1,1,0,$C$5,1))*OFFSET(GFS!$E$1,1,0,$C$5,1)*IF($E$3=FALSE,1,(OFFSET(GFS!$B$1,1,0,$C$5,1)&gt;=$E$4)*(OFFSET(GFS!$B$1,1,0,$C$5,1)&lt;=$E$5))))</f>
        <v>4923.75</v>
      </c>
      <c r="U15" s="28">
        <f t="shared" ref="U15:U27" ca="1" si="6">IF($C$3=FALSE,"-",IF(Q15+R15=0,0,V15/(Q15+R15)))</f>
        <v>31.775115919629059</v>
      </c>
      <c r="V15" s="29">
        <f t="array" aca="1" ref="V15" ca="1">IF($C$3=FALSE,"-",SUM((OFFSET(GFS!$H$1,1,0,$C$5,1)=O15)*(OFFSET(GFS!$C$1,1,0,$C$5,1)+OFFSET(GFS!$D$1,1,0,$C$5,1))*OFFSET(GFS!$E$1,1,0,$C$5,1)*OFFSET(GFS!$F$1,1,0,$C$5,1)*IF($E$3=FALSE,1,(OFFSET(GFS!$B$1,1,0,$C$5,1)&gt;=$E$4)*(OFFSET(GFS!$B$1,1,0,$C$5,1)&lt;=$E$5))))</f>
        <v>5139.625</v>
      </c>
      <c r="W15" s="30">
        <f t="shared" ref="W15:W27" ca="1" si="7">IF($C$3=FALSE,"-",V15-T15)</f>
        <v>215.875</v>
      </c>
      <c r="X15" s="31">
        <f t="shared" ref="X15:X27" ca="1" si="8">IF($C$3=FALSE,"-",IF(Q15+R15=0,0,W15/(Q15+R15)))</f>
        <v>1.3346213292117466</v>
      </c>
      <c r="Y15" s="32">
        <f t="shared" ref="Y15:Y27" ca="1" si="9">IF($C$3=FALSE,"-",(U15-S15)-X15)</f>
        <v>3.1086244689504383E-15</v>
      </c>
    </row>
    <row r="16" spans="1:25" ht="20.100000000000001" customHeight="1" x14ac:dyDescent="0.2">
      <c r="B16" s="23" t="s">
        <v>11</v>
      </c>
      <c r="C16" s="24">
        <f t="array" aca="1" ref="C16" ca="1">IF($C$3=FALSE,"-",SUM((OFFSET(GFS!$A$1,1,0,$C$5,1)=B16)*IF($E$3=FALSE,1,(OFFSET(GFS!$B$1,1,0,$C$5,1)&gt;=$E$4)*(OFFSET(GFS!$B$1,1,0,$C$5,1)&lt;=$E$5))))</f>
        <v>34</v>
      </c>
      <c r="D16" s="25">
        <f t="array" aca="1" ref="D16" ca="1">IF($C$3=FALSE,"-",SUM((OFFSET(GFS!$A$1,1,0,$C$5,1)=B16)*OFFSET(GFS!$C$1,1,0,$C$5,1)*IF($E$3=FALSE,1,(OFFSET(GFS!$B$1,1,0,$C$5,1)&gt;=$E$4)*(OFFSET(GFS!$B$1,1,0,$C$5,1)&lt;=$E$5))))</f>
        <v>290.5</v>
      </c>
      <c r="E16" s="34">
        <f t="array" aca="1" ref="E16" ca="1">IF($C$3=FALSE,"-",SUM((OFFSET(GFS!$A$1,1,0,$C$5,1)=B16)*OFFSET(GFS!$D$1,1,0,$C$5,1)*IF($E$3=FALSE,1,(OFFSET(GFS!$B$1,1,0,$C$5,1)&gt;=$E$4)*(OFFSET(GFS!$B$1,1,0,$C$5,1)&lt;=$E$5))))</f>
        <v>0</v>
      </c>
      <c r="F16" s="26">
        <f t="shared" ca="1" si="0"/>
        <v>25</v>
      </c>
      <c r="G16" s="27">
        <f t="array" aca="1" ref="G16" ca="1">IF($C$3=FALSE,"-",SUM((OFFSET(GFS!$A$1,1,0,$C$5,1)=B16)*(OFFSET(GFS!$C$1,1,0,$C$5,1)+OFFSET(GFS!$D$1,1,0,$C$5,1))*OFFSET(GFS!$E$1,1,0,$C$5,1)*IF($E$3=FALSE,1,(OFFSET(GFS!$B$1,1,0,$C$5,1)&gt;=$E$4)*(OFFSET(GFS!$B$1,1,0,$C$5,1)&lt;=$E$5))))</f>
        <v>7262.5</v>
      </c>
      <c r="H16" s="28">
        <f t="shared" ca="1" si="1"/>
        <v>27.5</v>
      </c>
      <c r="I16" s="29">
        <f t="array" aca="1" ref="I16" ca="1">IF($C$3=FALSE,"-",SUM((OFFSET(GFS!$A$1,1,0,$C$5,1)=B16)*(OFFSET(GFS!$C$1,1,0,$C$5,1)+OFFSET(GFS!$D$1,1,0,$C$5,1))*OFFSET(GFS!$E$1,1,0,$C$5,1)*OFFSET(GFS!$F$1,1,0,$C$5,1)*IF($E$3=FALSE,1,(OFFSET(GFS!$B$1,1,0,$C$5,1)&gt;=$E$4)*(OFFSET(GFS!$B$1,1,0,$C$5,1)&lt;=$E$5))))</f>
        <v>7988.75</v>
      </c>
      <c r="J16" s="30">
        <f t="shared" ca="1" si="2"/>
        <v>726.25</v>
      </c>
      <c r="K16" s="31">
        <f t="shared" ca="1" si="3"/>
        <v>2.5</v>
      </c>
      <c r="L16" s="32">
        <f t="shared" ca="1" si="4"/>
        <v>0</v>
      </c>
      <c r="O16" s="23" t="s">
        <v>15</v>
      </c>
      <c r="P16" s="24">
        <f t="array" aca="1" ref="P16" ca="1">IF($C$3=FALSE,"-",SUM((OFFSET(GFS!$H$1,1,0,$C$5,1)=O16)*IF($E$3=FALSE,1,(OFFSET(GFS!$B$1,1,0,$C$5,1)&gt;=$E$4)*(OFFSET(GFS!$B$1,1,0,$C$5,1)&lt;=$E$5))))</f>
        <v>83</v>
      </c>
      <c r="Q16" s="25">
        <f t="array" aca="1" ref="Q16" ca="1">IF($C$3=FALSE,"-",SUM((OFFSET(GFS!$H$1,1,0,$C$5,1)=O16)*OFFSET(GFS!$C$1,1,0,$C$5,1)*IF($E$3=FALSE,1,(OFFSET(GFS!$B$1,1,0,$C$5,1)&gt;=$E$4)*(OFFSET(GFS!$B$1,1,0,$C$5,1)&lt;=$E$5))))</f>
        <v>733.95</v>
      </c>
      <c r="R16" s="34">
        <f t="array" aca="1" ref="R16" ca="1">IF($C$3=FALSE,"-",SUM((OFFSET(GFS!$H$1,1,0,$C$5,1)=O16)*OFFSET(GFS!$D$1,1,0,$C$5,1)*IF($E$3=FALSE,1,(OFFSET(GFS!$B$1,1,0,$C$5,1)&gt;=$E$4)*(OFFSET(GFS!$B$1,1,0,$C$5,1)&lt;=$E$5))))</f>
        <v>2</v>
      </c>
      <c r="S16" s="26">
        <f t="shared" ca="1" si="5"/>
        <v>32.936340784020651</v>
      </c>
      <c r="T16" s="27">
        <f t="array" aca="1" ref="T16" ca="1">IF($C$3=FALSE,"-",SUM((OFFSET(GFS!$H$1,1,0,$C$5,1)=O16)*(OFFSET(GFS!$C$1,1,0,$C$5,1)+OFFSET(GFS!$D$1,1,0,$C$5,1))*OFFSET(GFS!$E$1,1,0,$C$5,1)*IF($E$3=FALSE,1,(OFFSET(GFS!$B$1,1,0,$C$5,1)&gt;=$E$4)*(OFFSET(GFS!$B$1,1,0,$C$5,1)&lt;=$E$5))))</f>
        <v>24239.5</v>
      </c>
      <c r="U16" s="28">
        <f t="shared" ca="1" si="6"/>
        <v>34.158502615666819</v>
      </c>
      <c r="V16" s="29">
        <f t="array" aca="1" ref="V16" ca="1">IF($C$3=FALSE,"-",SUM((OFFSET(GFS!$H$1,1,0,$C$5,1)=O16)*(OFFSET(GFS!$C$1,1,0,$C$5,1)+OFFSET(GFS!$D$1,1,0,$C$5,1))*OFFSET(GFS!$E$1,1,0,$C$5,1)*OFFSET(GFS!$F$1,1,0,$C$5,1)*IF($E$3=FALSE,1,(OFFSET(GFS!$B$1,1,0,$C$5,1)&gt;=$E$4)*(OFFSET(GFS!$B$1,1,0,$C$5,1)&lt;=$E$5))))</f>
        <v>25138.949999999997</v>
      </c>
      <c r="W16" s="30">
        <f t="shared" ca="1" si="7"/>
        <v>899.44999999999709</v>
      </c>
      <c r="X16" s="31">
        <f t="shared" ca="1" si="8"/>
        <v>1.2221618316461675</v>
      </c>
      <c r="Y16" s="32">
        <f t="shared" ca="1" si="9"/>
        <v>1.1102230246251565E-15</v>
      </c>
    </row>
    <row r="17" spans="2:25" ht="20.100000000000001" customHeight="1" x14ac:dyDescent="0.2">
      <c r="B17" s="23" t="s">
        <v>12</v>
      </c>
      <c r="C17" s="24">
        <f t="array" aca="1" ref="C17" ca="1">IF($C$3=FALSE,"-",SUM((OFFSET(GFS!$A$1,1,0,$C$5,1)=B17)*IF($E$3=FALSE,1,(OFFSET(GFS!$B$1,1,0,$C$5,1)&gt;=$E$4)*(OFFSET(GFS!$B$1,1,0,$C$5,1)&lt;=$E$5))))</f>
        <v>22</v>
      </c>
      <c r="D17" s="25">
        <f t="array" aca="1" ref="D17" ca="1">IF($C$3=FALSE,"-",SUM((OFFSET(GFS!$A$1,1,0,$C$5,1)=B17)*OFFSET(GFS!$C$1,1,0,$C$5,1)*IF($E$3=FALSE,1,(OFFSET(GFS!$B$1,1,0,$C$5,1)&gt;=$E$4)*(OFFSET(GFS!$B$1,1,0,$C$5,1)&lt;=$E$5))))</f>
        <v>206.25</v>
      </c>
      <c r="E17" s="34">
        <f t="array" aca="1" ref="E17" ca="1">IF($C$3=FALSE,"-",SUM((OFFSET(GFS!$A$1,1,0,$C$5,1)=B17)*OFFSET(GFS!$D$1,1,0,$C$5,1)*IF($E$3=FALSE,1,(OFFSET(GFS!$B$1,1,0,$C$5,1)&gt;=$E$4)*(OFFSET(GFS!$B$1,1,0,$C$5,1)&lt;=$E$5))))</f>
        <v>0</v>
      </c>
      <c r="F17" s="26">
        <f t="shared" ca="1" si="0"/>
        <v>22</v>
      </c>
      <c r="G17" s="27">
        <f t="array" aca="1" ref="G17" ca="1">IF($C$3=FALSE,"-",SUM((OFFSET(GFS!$A$1,1,0,$C$5,1)=B17)*(OFFSET(GFS!$C$1,1,0,$C$5,1)+OFFSET(GFS!$D$1,1,0,$C$5,1))*OFFSET(GFS!$E$1,1,0,$C$5,1)*IF($E$3=FALSE,1,(OFFSET(GFS!$B$1,1,0,$C$5,1)&gt;=$E$4)*(OFFSET(GFS!$B$1,1,0,$C$5,1)&lt;=$E$5))))</f>
        <v>4537.5</v>
      </c>
      <c r="H17" s="28">
        <f t="shared" ca="1" si="1"/>
        <v>24.200000000000003</v>
      </c>
      <c r="I17" s="29">
        <f t="array" aca="1" ref="I17" ca="1">IF($C$3=FALSE,"-",SUM((OFFSET(GFS!$A$1,1,0,$C$5,1)=B17)*(OFFSET(GFS!$C$1,1,0,$C$5,1)+OFFSET(GFS!$D$1,1,0,$C$5,1))*OFFSET(GFS!$E$1,1,0,$C$5,1)*OFFSET(GFS!$F$1,1,0,$C$5,1)*IF($E$3=FALSE,1,(OFFSET(GFS!$B$1,1,0,$C$5,1)&gt;=$E$4)*(OFFSET(GFS!$B$1,1,0,$C$5,1)&lt;=$E$5))))</f>
        <v>4991.2500000000009</v>
      </c>
      <c r="J17" s="30">
        <f t="shared" ca="1" si="2"/>
        <v>453.75000000000091</v>
      </c>
      <c r="K17" s="31">
        <f t="shared" ca="1" si="3"/>
        <v>2.2000000000000046</v>
      </c>
      <c r="L17" s="32">
        <f t="shared" ca="1" si="4"/>
        <v>-1.7763568394002505E-15</v>
      </c>
      <c r="O17" s="23" t="s">
        <v>16</v>
      </c>
      <c r="P17" s="24">
        <f t="array" aca="1" ref="P17" ca="1">IF($C$3=FALSE,"-",SUM((OFFSET(GFS!$H$1,1,0,$C$5,1)=O17)*IF($E$3=FALSE,1,(OFFSET(GFS!$B$1,1,0,$C$5,1)&gt;=$E$4)*(OFFSET(GFS!$B$1,1,0,$C$5,1)&lt;=$E$5))))</f>
        <v>2</v>
      </c>
      <c r="Q17" s="25">
        <f t="array" aca="1" ref="Q17" ca="1">IF($C$3=FALSE,"-",SUM((OFFSET(GFS!$H$1,1,0,$C$5,1)=O17)*OFFSET(GFS!$C$1,1,0,$C$5,1)*IF($E$3=FALSE,1,(OFFSET(GFS!$B$1,1,0,$C$5,1)&gt;=$E$4)*(OFFSET(GFS!$B$1,1,0,$C$5,1)&lt;=$E$5))))</f>
        <v>6</v>
      </c>
      <c r="R17" s="34">
        <f t="array" aca="1" ref="R17" ca="1">IF($C$3=FALSE,"-",SUM((OFFSET(GFS!$H$1,1,0,$C$5,1)=O17)*OFFSET(GFS!$D$1,1,0,$C$5,1)*IF($E$3=FALSE,1,(OFFSET(GFS!$B$1,1,0,$C$5,1)&gt;=$E$4)*(OFFSET(GFS!$B$1,1,0,$C$5,1)&lt;=$E$5))))</f>
        <v>0</v>
      </c>
      <c r="S17" s="26">
        <f t="shared" ca="1" si="5"/>
        <v>29</v>
      </c>
      <c r="T17" s="27">
        <f t="array" aca="1" ref="T17" ca="1">IF($C$3=FALSE,"-",SUM((OFFSET(GFS!$H$1,1,0,$C$5,1)=O17)*(OFFSET(GFS!$C$1,1,0,$C$5,1)+OFFSET(GFS!$D$1,1,0,$C$5,1))*OFFSET(GFS!$E$1,1,0,$C$5,1)*IF($E$3=FALSE,1,(OFFSET(GFS!$B$1,1,0,$C$5,1)&gt;=$E$4)*(OFFSET(GFS!$B$1,1,0,$C$5,1)&lt;=$E$5))))</f>
        <v>174</v>
      </c>
      <c r="U17" s="28">
        <f t="shared" ca="1" si="6"/>
        <v>30.150000000000002</v>
      </c>
      <c r="V17" s="29">
        <f t="array" aca="1" ref="V17" ca="1">IF($C$3=FALSE,"-",SUM((OFFSET(GFS!$H$1,1,0,$C$5,1)=O17)*(OFFSET(GFS!$C$1,1,0,$C$5,1)+OFFSET(GFS!$D$1,1,0,$C$5,1))*OFFSET(GFS!$E$1,1,0,$C$5,1)*OFFSET(GFS!$F$1,1,0,$C$5,1)*IF($E$3=FALSE,1,(OFFSET(GFS!$B$1,1,0,$C$5,1)&gt;=$E$4)*(OFFSET(GFS!$B$1,1,0,$C$5,1)&lt;=$E$5))))</f>
        <v>180.9</v>
      </c>
      <c r="W17" s="30">
        <f t="shared" ca="1" si="7"/>
        <v>6.9000000000000057</v>
      </c>
      <c r="X17" s="31">
        <f t="shared" ca="1" si="8"/>
        <v>1.150000000000001</v>
      </c>
      <c r="Y17" s="32">
        <f t="shared" ca="1" si="9"/>
        <v>1.1102230246251565E-15</v>
      </c>
    </row>
    <row r="18" spans="2:25" ht="20.100000000000001" customHeight="1" x14ac:dyDescent="0.2">
      <c r="B18" s="23" t="s">
        <v>13</v>
      </c>
      <c r="C18" s="24">
        <f t="array" aca="1" ref="C18" ca="1">IF($C$3=FALSE,"-",SUM((OFFSET(GFS!$A$1,1,0,$C$5,1)=B18)*IF($E$3=FALSE,1,(OFFSET(GFS!$B$1,1,0,$C$5,1)&gt;=$E$4)*(OFFSET(GFS!$B$1,1,0,$C$5,1)&lt;=$E$5))))</f>
        <v>13</v>
      </c>
      <c r="D18" s="25">
        <f t="array" aca="1" ref="D18" ca="1">IF($C$3=FALSE,"-",SUM((OFFSET(GFS!$A$1,1,0,$C$5,1)=B18)*OFFSET(GFS!$C$1,1,0,$C$5,1)*IF($E$3=FALSE,1,(OFFSET(GFS!$B$1,1,0,$C$5,1)&gt;=$E$4)*(OFFSET(GFS!$B$1,1,0,$C$5,1)&lt;=$E$5))))</f>
        <v>112.5</v>
      </c>
      <c r="E18" s="34">
        <f t="array" aca="1" ref="E18" ca="1">IF($C$3=FALSE,"-",SUM((OFFSET(GFS!$A$1,1,0,$C$5,1)=B18)*OFFSET(GFS!$D$1,1,0,$C$5,1)*IF($E$3=FALSE,1,(OFFSET(GFS!$B$1,1,0,$C$5,1)&gt;=$E$4)*(OFFSET(GFS!$B$1,1,0,$C$5,1)&lt;=$E$5))))</f>
        <v>1</v>
      </c>
      <c r="F18" s="26">
        <f t="shared" ca="1" si="0"/>
        <v>42</v>
      </c>
      <c r="G18" s="27">
        <f t="array" aca="1" ref="G18" ca="1">IF($C$3=FALSE,"-",SUM((OFFSET(GFS!$A$1,1,0,$C$5,1)=B18)*(OFFSET(GFS!$C$1,1,0,$C$5,1)+OFFSET(GFS!$D$1,1,0,$C$5,1))*OFFSET(GFS!$E$1,1,0,$C$5,1)*IF($E$3=FALSE,1,(OFFSET(GFS!$B$1,1,0,$C$5,1)&gt;=$E$4)*(OFFSET(GFS!$B$1,1,0,$C$5,1)&lt;=$E$5))))</f>
        <v>4767</v>
      </c>
      <c r="H18" s="28">
        <f t="shared" ca="1" si="1"/>
        <v>46.200000000000017</v>
      </c>
      <c r="I18" s="29">
        <f t="array" aca="1" ref="I18" ca="1">IF($C$3=FALSE,"-",SUM((OFFSET(GFS!$A$1,1,0,$C$5,1)=B18)*(OFFSET(GFS!$C$1,1,0,$C$5,1)+OFFSET(GFS!$D$1,1,0,$C$5,1))*OFFSET(GFS!$E$1,1,0,$C$5,1)*OFFSET(GFS!$F$1,1,0,$C$5,1)*IF($E$3=FALSE,1,(OFFSET(GFS!$B$1,1,0,$C$5,1)&gt;=$E$4)*(OFFSET(GFS!$B$1,1,0,$C$5,1)&lt;=$E$5))))</f>
        <v>5243.7000000000016</v>
      </c>
      <c r="J18" s="30">
        <f t="shared" ca="1" si="2"/>
        <v>476.70000000000164</v>
      </c>
      <c r="K18" s="31">
        <f t="shared" ca="1" si="3"/>
        <v>4.2000000000000144</v>
      </c>
      <c r="L18" s="32">
        <f t="shared" ca="1" si="4"/>
        <v>2.6645352591003757E-15</v>
      </c>
      <c r="O18" s="23" t="s">
        <v>17</v>
      </c>
      <c r="P18" s="24">
        <f t="array" aca="1" ref="P18" ca="1">IF($C$3=FALSE,"-",SUM((OFFSET(GFS!$H$1,1,0,$C$5,1)=O18)*IF($E$3=FALSE,1,(OFFSET(GFS!$B$1,1,0,$C$5,1)&gt;=$E$4)*(OFFSET(GFS!$B$1,1,0,$C$5,1)&lt;=$E$5))))</f>
        <v>1</v>
      </c>
      <c r="Q18" s="25">
        <f t="array" aca="1" ref="Q18" ca="1">IF($C$3=FALSE,"-",SUM((OFFSET(GFS!$H$1,1,0,$C$5,1)=O18)*OFFSET(GFS!$C$1,1,0,$C$5,1)*IF($E$3=FALSE,1,(OFFSET(GFS!$B$1,1,0,$C$5,1)&gt;=$E$4)*(OFFSET(GFS!$B$1,1,0,$C$5,1)&lt;=$E$5))))</f>
        <v>9.5</v>
      </c>
      <c r="R18" s="34">
        <f t="array" aca="1" ref="R18" ca="1">IF($C$3=FALSE,"-",SUM((OFFSET(GFS!$H$1,1,0,$C$5,1)=O18)*OFFSET(GFS!$D$1,1,0,$C$5,1)*IF($E$3=FALSE,1,(OFFSET(GFS!$B$1,1,0,$C$5,1)&gt;=$E$4)*(OFFSET(GFS!$B$1,1,0,$C$5,1)&lt;=$E$5))))</f>
        <v>0</v>
      </c>
      <c r="S18" s="26">
        <f t="shared" ca="1" si="5"/>
        <v>35</v>
      </c>
      <c r="T18" s="27">
        <f t="array" aca="1" ref="T18" ca="1">IF($C$3=FALSE,"-",SUM((OFFSET(GFS!$H$1,1,0,$C$5,1)=O18)*(OFFSET(GFS!$C$1,1,0,$C$5,1)+OFFSET(GFS!$D$1,1,0,$C$5,1))*OFFSET(GFS!$E$1,1,0,$C$5,1)*IF($E$3=FALSE,1,(OFFSET(GFS!$B$1,1,0,$C$5,1)&gt;=$E$4)*(OFFSET(GFS!$B$1,1,0,$C$5,1)&lt;=$E$5))))</f>
        <v>332.5</v>
      </c>
      <c r="U18" s="28">
        <f t="shared" ca="1" si="6"/>
        <v>35</v>
      </c>
      <c r="V18" s="29">
        <f t="array" aca="1" ref="V18" ca="1">IF($C$3=FALSE,"-",SUM((OFFSET(GFS!$H$1,1,0,$C$5,1)=O18)*(OFFSET(GFS!$C$1,1,0,$C$5,1)+OFFSET(GFS!$D$1,1,0,$C$5,1))*OFFSET(GFS!$E$1,1,0,$C$5,1)*OFFSET(GFS!$F$1,1,0,$C$5,1)*IF($E$3=FALSE,1,(OFFSET(GFS!$B$1,1,0,$C$5,1)&gt;=$E$4)*(OFFSET(GFS!$B$1,1,0,$C$5,1)&lt;=$E$5))))</f>
        <v>332.5</v>
      </c>
      <c r="W18" s="30">
        <f t="shared" ca="1" si="7"/>
        <v>0</v>
      </c>
      <c r="X18" s="31">
        <f t="shared" ca="1" si="8"/>
        <v>0</v>
      </c>
      <c r="Y18" s="32">
        <f t="shared" ca="1" si="9"/>
        <v>0</v>
      </c>
    </row>
    <row r="19" spans="2:25" ht="20.100000000000001" customHeight="1" x14ac:dyDescent="0.2">
      <c r="B19" s="23" t="s">
        <v>14</v>
      </c>
      <c r="C19" s="24">
        <f t="array" aca="1" ref="C19" ca="1">IF($C$3=FALSE,"-",SUM((OFFSET(GFS!$A$1,1,0,$C$5,1)=B19)*IF($E$3=FALSE,1,(OFFSET(GFS!$B$1,1,0,$C$5,1)&gt;=$E$4)*(OFFSET(GFS!$B$1,1,0,$C$5,1)&lt;=$E$5))))</f>
        <v>23</v>
      </c>
      <c r="D19" s="25">
        <f t="array" aca="1" ref="D19" ca="1">IF($C$3=FALSE,"-",SUM((OFFSET(GFS!$A$1,1,0,$C$5,1)=B19)*OFFSET(GFS!$C$1,1,0,$C$5,1)*IF($E$3=FALSE,1,(OFFSET(GFS!$B$1,1,0,$C$5,1)&gt;=$E$4)*(OFFSET(GFS!$B$1,1,0,$C$5,1)&lt;=$E$5))))</f>
        <v>182</v>
      </c>
      <c r="E19" s="34">
        <f t="array" aca="1" ref="E19" ca="1">IF($C$3=FALSE,"-",SUM((OFFSET(GFS!$A$1,1,0,$C$5,1)=B19)*OFFSET(GFS!$D$1,1,0,$C$5,1)*IF($E$3=FALSE,1,(OFFSET(GFS!$B$1,1,0,$C$5,1)&gt;=$E$4)*(OFFSET(GFS!$B$1,1,0,$C$5,1)&lt;=$E$5))))</f>
        <v>0</v>
      </c>
      <c r="F19" s="26">
        <f t="shared" ca="1" si="0"/>
        <v>23</v>
      </c>
      <c r="G19" s="27">
        <f t="array" aca="1" ref="G19" ca="1">IF($C$3=FALSE,"-",SUM((OFFSET(GFS!$A$1,1,0,$C$5,1)=B19)*(OFFSET(GFS!$C$1,1,0,$C$5,1)+OFFSET(GFS!$D$1,1,0,$C$5,1))*OFFSET(GFS!$E$1,1,0,$C$5,1)*IF($E$3=FALSE,1,(OFFSET(GFS!$B$1,1,0,$C$5,1)&gt;=$E$4)*(OFFSET(GFS!$B$1,1,0,$C$5,1)&lt;=$E$5))))</f>
        <v>4186</v>
      </c>
      <c r="H19" s="28">
        <f t="shared" ca="1" si="1"/>
        <v>25.3</v>
      </c>
      <c r="I19" s="29">
        <f t="array" aca="1" ref="I19" ca="1">IF($C$3=FALSE,"-",SUM((OFFSET(GFS!$A$1,1,0,$C$5,1)=B19)*(OFFSET(GFS!$C$1,1,0,$C$5,1)+OFFSET(GFS!$D$1,1,0,$C$5,1))*OFFSET(GFS!$E$1,1,0,$C$5,1)*OFFSET(GFS!$F$1,1,0,$C$5,1)*IF($E$3=FALSE,1,(OFFSET(GFS!$B$1,1,0,$C$5,1)&gt;=$E$4)*(OFFSET(GFS!$B$1,1,0,$C$5,1)&lt;=$E$5))))</f>
        <v>4604.6000000000004</v>
      </c>
      <c r="J19" s="30">
        <f t="shared" ca="1" si="2"/>
        <v>418.60000000000036</v>
      </c>
      <c r="K19" s="31">
        <f t="shared" ca="1" si="3"/>
        <v>2.300000000000002</v>
      </c>
      <c r="L19" s="32">
        <f t="shared" ca="1" si="4"/>
        <v>-1.3322676295501878E-15</v>
      </c>
      <c r="O19" s="23" t="s">
        <v>21</v>
      </c>
      <c r="P19" s="24">
        <f t="array" aca="1" ref="P19" ca="1">IF($C$3=FALSE,"-",SUM((OFFSET(GFS!$H$1,1,0,$C$5,1)=O19)*IF($E$3=FALSE,1,(OFFSET(GFS!$B$1,1,0,$C$5,1)&gt;=$E$4)*(OFFSET(GFS!$B$1,1,0,$C$5,1)&lt;=$E$5))))</f>
        <v>2</v>
      </c>
      <c r="Q19" s="25">
        <f t="array" aca="1" ref="Q19" ca="1">IF($C$3=FALSE,"-",SUM((OFFSET(GFS!$H$1,1,0,$C$5,1)=O19)*OFFSET(GFS!$C$1,1,0,$C$5,1)*IF($E$3=FALSE,1,(OFFSET(GFS!$B$1,1,0,$C$5,1)&gt;=$E$4)*(OFFSET(GFS!$B$1,1,0,$C$5,1)&lt;=$E$5))))</f>
        <v>11</v>
      </c>
      <c r="R19" s="34">
        <f t="array" aca="1" ref="R19" ca="1">IF($C$3=FALSE,"-",SUM((OFFSET(GFS!$H$1,1,0,$C$5,1)=O19)*OFFSET(GFS!$D$1,1,0,$C$5,1)*IF($E$3=FALSE,1,(OFFSET(GFS!$B$1,1,0,$C$5,1)&gt;=$E$4)*(OFFSET(GFS!$B$1,1,0,$C$5,1)&lt;=$E$5))))</f>
        <v>0</v>
      </c>
      <c r="S19" s="26">
        <f t="shared" ca="1" si="5"/>
        <v>42.5</v>
      </c>
      <c r="T19" s="27">
        <f t="array" aca="1" ref="T19" ca="1">IF($C$3=FALSE,"-",SUM((OFFSET(GFS!$H$1,1,0,$C$5,1)=O19)*(OFFSET(GFS!$C$1,1,0,$C$5,1)+OFFSET(GFS!$D$1,1,0,$C$5,1))*OFFSET(GFS!$E$1,1,0,$C$5,1)*IF($E$3=FALSE,1,(OFFSET(GFS!$B$1,1,0,$C$5,1)&gt;=$E$4)*(OFFSET(GFS!$B$1,1,0,$C$5,1)&lt;=$E$5))))</f>
        <v>467.5</v>
      </c>
      <c r="U19" s="28">
        <f t="shared" ca="1" si="6"/>
        <v>42.5</v>
      </c>
      <c r="V19" s="29">
        <f t="array" aca="1" ref="V19" ca="1">IF($C$3=FALSE,"-",SUM((OFFSET(GFS!$H$1,1,0,$C$5,1)=O19)*(OFFSET(GFS!$C$1,1,0,$C$5,1)+OFFSET(GFS!$D$1,1,0,$C$5,1))*OFFSET(GFS!$E$1,1,0,$C$5,1)*OFFSET(GFS!$F$1,1,0,$C$5,1)*IF($E$3=FALSE,1,(OFFSET(GFS!$B$1,1,0,$C$5,1)&gt;=$E$4)*(OFFSET(GFS!$B$1,1,0,$C$5,1)&lt;=$E$5))))</f>
        <v>467.5</v>
      </c>
      <c r="W19" s="30">
        <f t="shared" ca="1" si="7"/>
        <v>0</v>
      </c>
      <c r="X19" s="31">
        <f t="shared" ca="1" si="8"/>
        <v>0</v>
      </c>
      <c r="Y19" s="32">
        <f t="shared" ca="1" si="9"/>
        <v>0</v>
      </c>
    </row>
    <row r="20" spans="2:25" ht="20.100000000000001" customHeight="1" x14ac:dyDescent="0.2">
      <c r="B20" s="23" t="s">
        <v>18</v>
      </c>
      <c r="C20" s="24">
        <f t="array" aca="1" ref="C20" ca="1">IF($C$3=FALSE,"-",SUM((OFFSET(GFS!$A$1,1,0,$C$5,1)=B20)*IF($E$3=FALSE,1,(OFFSET(GFS!$B$1,1,0,$C$5,1)&gt;=$E$4)*(OFFSET(GFS!$B$1,1,0,$C$5,1)&lt;=$E$5))))</f>
        <v>9</v>
      </c>
      <c r="D20" s="25">
        <f t="array" aca="1" ref="D20" ca="1">IF($C$3=FALSE,"-",SUM((OFFSET(GFS!$A$1,1,0,$C$5,1)=B20)*OFFSET(GFS!$C$1,1,0,$C$5,1)*IF($E$3=FALSE,1,(OFFSET(GFS!$B$1,1,0,$C$5,1)&gt;=$E$4)*(OFFSET(GFS!$B$1,1,0,$C$5,1)&lt;=$E$5))))</f>
        <v>80.2</v>
      </c>
      <c r="E20" s="34">
        <f t="array" aca="1" ref="E20" ca="1">IF($C$3=FALSE,"-",SUM((OFFSET(GFS!$A$1,1,0,$C$5,1)=B20)*OFFSET(GFS!$D$1,1,0,$C$5,1)*IF($E$3=FALSE,1,(OFFSET(GFS!$B$1,1,0,$C$5,1)&gt;=$E$4)*(OFFSET(GFS!$B$1,1,0,$C$5,1)&lt;=$E$5))))</f>
        <v>0</v>
      </c>
      <c r="F20" s="26">
        <f t="shared" ca="1" si="0"/>
        <v>50</v>
      </c>
      <c r="G20" s="27">
        <f t="array" aca="1" ref="G20" ca="1">IF($C$3=FALSE,"-",SUM((OFFSET(GFS!$A$1,1,0,$C$5,1)=B20)*(OFFSET(GFS!$C$1,1,0,$C$5,1)+OFFSET(GFS!$D$1,1,0,$C$5,1))*OFFSET(GFS!$E$1,1,0,$C$5,1)*IF($E$3=FALSE,1,(OFFSET(GFS!$B$1,1,0,$C$5,1)&gt;=$E$4)*(OFFSET(GFS!$B$1,1,0,$C$5,1)&lt;=$E$5))))</f>
        <v>4010</v>
      </c>
      <c r="H20" s="28">
        <f t="shared" ca="1" si="1"/>
        <v>50</v>
      </c>
      <c r="I20" s="29">
        <f t="array" aca="1" ref="I20" ca="1">IF($C$3=FALSE,"-",SUM((OFFSET(GFS!$A$1,1,0,$C$5,1)=B20)*(OFFSET(GFS!$C$1,1,0,$C$5,1)+OFFSET(GFS!$D$1,1,0,$C$5,1))*OFFSET(GFS!$E$1,1,0,$C$5,1)*OFFSET(GFS!$F$1,1,0,$C$5,1)*IF($E$3=FALSE,1,(OFFSET(GFS!$B$1,1,0,$C$5,1)&gt;=$E$4)*(OFFSET(GFS!$B$1,1,0,$C$5,1)&lt;=$E$5))))</f>
        <v>4010</v>
      </c>
      <c r="J20" s="30">
        <f t="shared" ca="1" si="2"/>
        <v>0</v>
      </c>
      <c r="K20" s="31">
        <f t="shared" ca="1" si="3"/>
        <v>0</v>
      </c>
      <c r="L20" s="32">
        <f t="shared" ca="1" si="4"/>
        <v>0</v>
      </c>
      <c r="O20" s="23" t="s">
        <v>25</v>
      </c>
      <c r="P20" s="24">
        <f t="array" aca="1" ref="P20" ca="1">IF($C$3=FALSE,"-",SUM((OFFSET(GFS!$H$1,1,0,$C$5,1)=O20)*IF($E$3=FALSE,1,(OFFSET(GFS!$B$1,1,0,$C$5,1)&gt;=$E$4)*(OFFSET(GFS!$B$1,1,0,$C$5,1)&lt;=$E$5))))</f>
        <v>1</v>
      </c>
      <c r="Q20" s="25">
        <f t="array" aca="1" ref="Q20" ca="1">IF($C$3=FALSE,"-",SUM((OFFSET(GFS!$H$1,1,0,$C$5,1)=O20)*OFFSET(GFS!$C$1,1,0,$C$5,1)*IF($E$3=FALSE,1,(OFFSET(GFS!$B$1,1,0,$C$5,1)&gt;=$E$4)*(OFFSET(GFS!$B$1,1,0,$C$5,1)&lt;=$E$5))))</f>
        <v>11.5</v>
      </c>
      <c r="R20" s="34">
        <f t="array" aca="1" ref="R20" ca="1">IF($C$3=FALSE,"-",SUM((OFFSET(GFS!$H$1,1,0,$C$5,1)=O20)*OFFSET(GFS!$D$1,1,0,$C$5,1)*IF($E$3=FALSE,1,(OFFSET(GFS!$B$1,1,0,$C$5,1)&gt;=$E$4)*(OFFSET(GFS!$B$1,1,0,$C$5,1)&lt;=$E$5))))</f>
        <v>0</v>
      </c>
      <c r="S20" s="26">
        <f t="shared" ca="1" si="5"/>
        <v>25</v>
      </c>
      <c r="T20" s="27">
        <f t="array" aca="1" ref="T20" ca="1">IF($C$3=FALSE,"-",SUM((OFFSET(GFS!$H$1,1,0,$C$5,1)=O20)*(OFFSET(GFS!$C$1,1,0,$C$5,1)+OFFSET(GFS!$D$1,1,0,$C$5,1))*OFFSET(GFS!$E$1,1,0,$C$5,1)*IF($E$3=FALSE,1,(OFFSET(GFS!$B$1,1,0,$C$5,1)&gt;=$E$4)*(OFFSET(GFS!$B$1,1,0,$C$5,1)&lt;=$E$5))))</f>
        <v>287.5</v>
      </c>
      <c r="U20" s="28">
        <f t="shared" ca="1" si="6"/>
        <v>27.5</v>
      </c>
      <c r="V20" s="29">
        <f t="array" aca="1" ref="V20" ca="1">IF($C$3=FALSE,"-",SUM((OFFSET(GFS!$H$1,1,0,$C$5,1)=O20)*(OFFSET(GFS!$C$1,1,0,$C$5,1)+OFFSET(GFS!$D$1,1,0,$C$5,1))*OFFSET(GFS!$E$1,1,0,$C$5,1)*OFFSET(GFS!$F$1,1,0,$C$5,1)*IF($E$3=FALSE,1,(OFFSET(GFS!$B$1,1,0,$C$5,1)&gt;=$E$4)*(OFFSET(GFS!$B$1,1,0,$C$5,1)&lt;=$E$5))))</f>
        <v>316.25</v>
      </c>
      <c r="W20" s="30">
        <f t="shared" ca="1" si="7"/>
        <v>28.75</v>
      </c>
      <c r="X20" s="31">
        <f t="shared" ca="1" si="8"/>
        <v>2.5</v>
      </c>
      <c r="Y20" s="32">
        <f t="shared" ca="1" si="9"/>
        <v>0</v>
      </c>
    </row>
    <row r="21" spans="2:25" ht="20.100000000000001" customHeight="1" x14ac:dyDescent="0.2">
      <c r="B21" s="23" t="s">
        <v>19</v>
      </c>
      <c r="C21" s="24">
        <f t="array" aca="1" ref="C21" ca="1">IF($C$3=FALSE,"-",SUM((OFFSET(GFS!$A$1,1,0,$C$5,1)=B21)*IF($E$3=FALSE,1,(OFFSET(GFS!$B$1,1,0,$C$5,1)&gt;=$E$4)*(OFFSET(GFS!$B$1,1,0,$C$5,1)&lt;=$E$5))))</f>
        <v>8</v>
      </c>
      <c r="D21" s="25">
        <f t="array" aca="1" ref="D21" ca="1">IF($C$3=FALSE,"-",SUM((OFFSET(GFS!$A$1,1,0,$C$5,1)=B21)*OFFSET(GFS!$C$1,1,0,$C$5,1)*IF($E$3=FALSE,1,(OFFSET(GFS!$B$1,1,0,$C$5,1)&gt;=$E$4)*(OFFSET(GFS!$B$1,1,0,$C$5,1)&lt;=$E$5))))</f>
        <v>60.75</v>
      </c>
      <c r="E21" s="34">
        <f t="array" aca="1" ref="E21" ca="1">IF($C$3=FALSE,"-",SUM((OFFSET(GFS!$A$1,1,0,$C$5,1)=B21)*OFFSET(GFS!$D$1,1,0,$C$5,1)*IF($E$3=FALSE,1,(OFFSET(GFS!$B$1,1,0,$C$5,1)&gt;=$E$4)*(OFFSET(GFS!$B$1,1,0,$C$5,1)&lt;=$E$5))))</f>
        <v>0</v>
      </c>
      <c r="F21" s="26">
        <f t="shared" ca="1" si="0"/>
        <v>50</v>
      </c>
      <c r="G21" s="27">
        <f t="array" aca="1" ref="G21" ca="1">IF($C$3=FALSE,"-",SUM((OFFSET(GFS!$A$1,1,0,$C$5,1)=B21)*(OFFSET(GFS!$C$1,1,0,$C$5,1)+OFFSET(GFS!$D$1,1,0,$C$5,1))*OFFSET(GFS!$E$1,1,0,$C$5,1)*IF($E$3=FALSE,1,(OFFSET(GFS!$B$1,1,0,$C$5,1)&gt;=$E$4)*(OFFSET(GFS!$B$1,1,0,$C$5,1)&lt;=$E$5))))</f>
        <v>3037.5</v>
      </c>
      <c r="H21" s="28">
        <f t="shared" ca="1" si="1"/>
        <v>50</v>
      </c>
      <c r="I21" s="29">
        <f t="array" aca="1" ref="I21" ca="1">IF($C$3=FALSE,"-",SUM((OFFSET(GFS!$A$1,1,0,$C$5,1)=B21)*(OFFSET(GFS!$C$1,1,0,$C$5,1)+OFFSET(GFS!$D$1,1,0,$C$5,1))*OFFSET(GFS!$E$1,1,0,$C$5,1)*OFFSET(GFS!$F$1,1,0,$C$5,1)*IF($E$3=FALSE,1,(OFFSET(GFS!$B$1,1,0,$C$5,1)&gt;=$E$4)*(OFFSET(GFS!$B$1,1,0,$C$5,1)&lt;=$E$5))))</f>
        <v>3037.5</v>
      </c>
      <c r="J21" s="30">
        <f t="shared" ca="1" si="2"/>
        <v>0</v>
      </c>
      <c r="K21" s="31">
        <f t="shared" ca="1" si="3"/>
        <v>0</v>
      </c>
      <c r="L21" s="32">
        <f t="shared" ca="1" si="4"/>
        <v>0</v>
      </c>
      <c r="O21" s="23" t="s">
        <v>29</v>
      </c>
      <c r="P21" s="24">
        <f t="array" aca="1" ref="P21" ca="1">IF($C$3=FALSE,"-",SUM((OFFSET(GFS!$H$1,1,0,$C$5,1)=O21)*IF($E$3=FALSE,1,(OFFSET(GFS!$B$1,1,0,$C$5,1)&gt;=$E$4)*(OFFSET(GFS!$B$1,1,0,$C$5,1)&lt;=$E$5))))</f>
        <v>55</v>
      </c>
      <c r="Q21" s="25">
        <f t="array" aca="1" ref="Q21" ca="1">IF($C$3=FALSE,"-",SUM((OFFSET(GFS!$H$1,1,0,$C$5,1)=O21)*OFFSET(GFS!$C$1,1,0,$C$5,1)*IF($E$3=FALSE,1,(OFFSET(GFS!$B$1,1,0,$C$5,1)&gt;=$E$4)*(OFFSET(GFS!$B$1,1,0,$C$5,1)&lt;=$E$5))))</f>
        <v>513.25</v>
      </c>
      <c r="R21" s="34">
        <f t="array" aca="1" ref="R21" ca="1">IF($C$3=FALSE,"-",SUM((OFFSET(GFS!$H$1,1,0,$C$5,1)=O21)*OFFSET(GFS!$D$1,1,0,$C$5,1)*IF($E$3=FALSE,1,(OFFSET(GFS!$B$1,1,0,$C$5,1)&gt;=$E$4)*(OFFSET(GFS!$B$1,1,0,$C$5,1)&lt;=$E$5))))</f>
        <v>0</v>
      </c>
      <c r="S21" s="26">
        <f t="shared" ca="1" si="5"/>
        <v>25.63273258645884</v>
      </c>
      <c r="T21" s="27">
        <f t="array" aca="1" ref="T21" ca="1">IF($C$3=FALSE,"-",SUM((OFFSET(GFS!$H$1,1,0,$C$5,1)=O21)*(OFFSET(GFS!$C$1,1,0,$C$5,1)+OFFSET(GFS!$D$1,1,0,$C$5,1))*OFFSET(GFS!$E$1,1,0,$C$5,1)*IF($E$3=FALSE,1,(OFFSET(GFS!$B$1,1,0,$C$5,1)&gt;=$E$4)*(OFFSET(GFS!$B$1,1,0,$C$5,1)&lt;=$E$5))))</f>
        <v>13156</v>
      </c>
      <c r="U21" s="28">
        <f t="shared" ca="1" si="6"/>
        <v>28.196005845104729</v>
      </c>
      <c r="V21" s="29">
        <f t="array" aca="1" ref="V21" ca="1">IF($C$3=FALSE,"-",SUM((OFFSET(GFS!$H$1,1,0,$C$5,1)=O21)*(OFFSET(GFS!$C$1,1,0,$C$5,1)+OFFSET(GFS!$D$1,1,0,$C$5,1))*OFFSET(GFS!$E$1,1,0,$C$5,1)*OFFSET(GFS!$F$1,1,0,$C$5,1)*IF($E$3=FALSE,1,(OFFSET(GFS!$B$1,1,0,$C$5,1)&gt;=$E$4)*(OFFSET(GFS!$B$1,1,0,$C$5,1)&lt;=$E$5))))</f>
        <v>14471.600000000002</v>
      </c>
      <c r="W21" s="30">
        <f t="shared" ca="1" si="7"/>
        <v>1315.6000000000022</v>
      </c>
      <c r="X21" s="31">
        <f t="shared" ca="1" si="8"/>
        <v>2.5632732586458884</v>
      </c>
      <c r="Y21" s="32">
        <f t="shared" ca="1" si="9"/>
        <v>8.8817841970012523E-16</v>
      </c>
    </row>
    <row r="22" spans="2:25" ht="20.100000000000001" customHeight="1" x14ac:dyDescent="0.2">
      <c r="B22" s="23" t="s">
        <v>20</v>
      </c>
      <c r="C22" s="24">
        <f t="array" aca="1" ref="C22" ca="1">IF($C$3=FALSE,"-",SUM((OFFSET(GFS!$A$1,1,0,$C$5,1)=B22)*IF($E$3=FALSE,1,(OFFSET(GFS!$B$1,1,0,$C$5,1)&gt;=$E$4)*(OFFSET(GFS!$B$1,1,0,$C$5,1)&lt;=$E$5))))</f>
        <v>8</v>
      </c>
      <c r="D22" s="25">
        <f t="array" aca="1" ref="D22" ca="1">IF($C$3=FALSE,"-",SUM((OFFSET(GFS!$A$1,1,0,$C$5,1)=B22)*OFFSET(GFS!$C$1,1,0,$C$5,1)*IF($E$3=FALSE,1,(OFFSET(GFS!$B$1,1,0,$C$5,1)&gt;=$E$4)*(OFFSET(GFS!$B$1,1,0,$C$5,1)&lt;=$E$5))))</f>
        <v>54</v>
      </c>
      <c r="E22" s="34">
        <f t="array" aca="1" ref="E22" ca="1">IF($C$3=FALSE,"-",SUM((OFFSET(GFS!$A$1,1,0,$C$5,1)=B22)*OFFSET(GFS!$D$1,1,0,$C$5,1)*IF($E$3=FALSE,1,(OFFSET(GFS!$B$1,1,0,$C$5,1)&gt;=$E$4)*(OFFSET(GFS!$B$1,1,0,$C$5,1)&lt;=$E$5))))</f>
        <v>0</v>
      </c>
      <c r="F22" s="26">
        <f t="shared" ca="1" si="0"/>
        <v>40</v>
      </c>
      <c r="G22" s="27">
        <f t="array" aca="1" ref="G22" ca="1">IF($C$3=FALSE,"-",SUM((OFFSET(GFS!$A$1,1,0,$C$5,1)=B22)*(OFFSET(GFS!$C$1,1,0,$C$5,1)+OFFSET(GFS!$D$1,1,0,$C$5,1))*OFFSET(GFS!$E$1,1,0,$C$5,1)*IF($E$3=FALSE,1,(OFFSET(GFS!$B$1,1,0,$C$5,1)&gt;=$E$4)*(OFFSET(GFS!$B$1,1,0,$C$5,1)&lt;=$E$5))))</f>
        <v>2160</v>
      </c>
      <c r="H22" s="28">
        <f t="shared" ca="1" si="1"/>
        <v>40</v>
      </c>
      <c r="I22" s="29">
        <f t="array" aca="1" ref="I22" ca="1">IF($C$3=FALSE,"-",SUM((OFFSET(GFS!$A$1,1,0,$C$5,1)=B22)*(OFFSET(GFS!$C$1,1,0,$C$5,1)+OFFSET(GFS!$D$1,1,0,$C$5,1))*OFFSET(GFS!$E$1,1,0,$C$5,1)*OFFSET(GFS!$F$1,1,0,$C$5,1)*IF($E$3=FALSE,1,(OFFSET(GFS!$B$1,1,0,$C$5,1)&gt;=$E$4)*(OFFSET(GFS!$B$1,1,0,$C$5,1)&lt;=$E$5))))</f>
        <v>2160</v>
      </c>
      <c r="J22" s="30">
        <f t="shared" ca="1" si="2"/>
        <v>0</v>
      </c>
      <c r="K22" s="31">
        <f t="shared" ca="1" si="3"/>
        <v>0</v>
      </c>
      <c r="L22" s="32">
        <f t="shared" ca="1" si="4"/>
        <v>0</v>
      </c>
      <c r="O22" s="23"/>
      <c r="P22" s="24">
        <f t="array" aca="1" ref="P22" ca="1">IF($C$3=FALSE,"-",SUM((OFFSET(GFS!$H$1,1,0,$C$5,1)=O22)*IF($E$3=FALSE,1,(OFFSET(GFS!$B$1,1,0,$C$5,1)&gt;=$E$4)*(OFFSET(GFS!$B$1,1,0,$C$5,1)&lt;=$E$5))))</f>
        <v>43</v>
      </c>
      <c r="Q22" s="25">
        <f t="array" aca="1" ref="Q22" ca="1">IF($C$3=FALSE,"-",SUM((OFFSET(GFS!$H$1,1,0,$C$5,1)=O22)*OFFSET(GFS!$C$1,1,0,$C$5,1)*IF($E$3=FALSE,1,(OFFSET(GFS!$B$1,1,0,$C$5,1)&gt;=$E$4)*(OFFSET(GFS!$B$1,1,0,$C$5,1)&lt;=$E$5))))</f>
        <v>546</v>
      </c>
      <c r="R22" s="34">
        <f t="array" aca="1" ref="R22" ca="1">IF($C$3=FALSE,"-",SUM((OFFSET(GFS!$H$1,1,0,$C$5,1)=O22)*OFFSET(GFS!$D$1,1,0,$C$5,1)*IF($E$3=FALSE,1,(OFFSET(GFS!$B$1,1,0,$C$5,1)&gt;=$E$4)*(OFFSET(GFS!$B$1,1,0,$C$5,1)&lt;=$E$5))))</f>
        <v>0</v>
      </c>
      <c r="S22" s="26">
        <f t="shared" ca="1" si="5"/>
        <v>35.043040293040292</v>
      </c>
      <c r="T22" s="27">
        <f t="array" aca="1" ref="T22" ca="1">IF($C$3=FALSE,"-",SUM((OFFSET(GFS!$H$1,1,0,$C$5,1)=O22)*(OFFSET(GFS!$C$1,1,0,$C$5,1)+OFFSET(GFS!$D$1,1,0,$C$5,1))*OFFSET(GFS!$E$1,1,0,$C$5,1)*IF($E$3=FALSE,1,(OFFSET(GFS!$B$1,1,0,$C$5,1)&gt;=$E$4)*(OFFSET(GFS!$B$1,1,0,$C$5,1)&lt;=$E$5))))</f>
        <v>19133.5</v>
      </c>
      <c r="U22" s="28">
        <f t="shared" ca="1" si="6"/>
        <v>35.822527472527469</v>
      </c>
      <c r="V22" s="29">
        <f t="array" aca="1" ref="V22" ca="1">IF($C$3=FALSE,"-",SUM((OFFSET(GFS!$H$1,1,0,$C$5,1)=O22)*(OFFSET(GFS!$C$1,1,0,$C$5,1)+OFFSET(GFS!$D$1,1,0,$C$5,1))*OFFSET(GFS!$E$1,1,0,$C$5,1)*OFFSET(GFS!$F$1,1,0,$C$5,1)*IF($E$3=FALSE,1,(OFFSET(GFS!$B$1,1,0,$C$5,1)&gt;=$E$4)*(OFFSET(GFS!$B$1,1,0,$C$5,1)&lt;=$E$5))))</f>
        <v>19559.099999999999</v>
      </c>
      <c r="W22" s="30">
        <f t="shared" ca="1" si="7"/>
        <v>425.59999999999854</v>
      </c>
      <c r="X22" s="31">
        <f t="shared" ca="1" si="8"/>
        <v>0.77948717948717683</v>
      </c>
      <c r="Y22" s="32">
        <f t="shared" ca="1" si="9"/>
        <v>-1.1102230246251565E-16</v>
      </c>
    </row>
    <row r="23" spans="2:25" ht="20.100000000000001" customHeight="1" x14ac:dyDescent="0.2">
      <c r="B23" s="23" t="s">
        <v>22</v>
      </c>
      <c r="C23" s="24">
        <f t="array" aca="1" ref="C23" ca="1">IF($C$3=FALSE,"-",SUM((OFFSET(GFS!$A$1,1,0,$C$5,1)=B23)*IF($E$3=FALSE,1,(OFFSET(GFS!$B$1,1,0,$C$5,1)&gt;=$E$4)*(OFFSET(GFS!$B$1,1,0,$C$5,1)&lt;=$E$5))))</f>
        <v>4</v>
      </c>
      <c r="D23" s="25">
        <f t="array" aca="1" ref="D23" ca="1">IF($C$3=FALSE,"-",SUM((OFFSET(GFS!$A$1,1,0,$C$5,1)=B23)*OFFSET(GFS!$C$1,1,0,$C$5,1)*IF($E$3=FALSE,1,(OFFSET(GFS!$B$1,1,0,$C$5,1)&gt;=$E$4)*(OFFSET(GFS!$B$1,1,0,$C$5,1)&lt;=$E$5))))</f>
        <v>75.5</v>
      </c>
      <c r="E23" s="34">
        <f t="array" aca="1" ref="E23" ca="1">IF($C$3=FALSE,"-",SUM((OFFSET(GFS!$A$1,1,0,$C$5,1)=B23)*OFFSET(GFS!$D$1,1,0,$C$5,1)*IF($E$3=FALSE,1,(OFFSET(GFS!$B$1,1,0,$C$5,1)&gt;=$E$4)*(OFFSET(GFS!$B$1,1,0,$C$5,1)&lt;=$E$5))))</f>
        <v>0</v>
      </c>
      <c r="F23" s="26">
        <f t="shared" ca="1" si="0"/>
        <v>25</v>
      </c>
      <c r="G23" s="27">
        <f t="array" aca="1" ref="G23" ca="1">IF($C$3=FALSE,"-",SUM((OFFSET(GFS!$A$1,1,0,$C$5,1)=B23)*(OFFSET(GFS!$C$1,1,0,$C$5,1)+OFFSET(GFS!$D$1,1,0,$C$5,1))*OFFSET(GFS!$E$1,1,0,$C$5,1)*IF($E$3=FALSE,1,(OFFSET(GFS!$B$1,1,0,$C$5,1)&gt;=$E$4)*(OFFSET(GFS!$B$1,1,0,$C$5,1)&lt;=$E$5))))</f>
        <v>1887.5</v>
      </c>
      <c r="H23" s="28">
        <f t="shared" ca="1" si="1"/>
        <v>27.5</v>
      </c>
      <c r="I23" s="29">
        <f t="array" aca="1" ref="I23" ca="1">IF($C$3=FALSE,"-",SUM((OFFSET(GFS!$A$1,1,0,$C$5,1)=B23)*(OFFSET(GFS!$C$1,1,0,$C$5,1)+OFFSET(GFS!$D$1,1,0,$C$5,1))*OFFSET(GFS!$E$1,1,0,$C$5,1)*OFFSET(GFS!$F$1,1,0,$C$5,1)*IF($E$3=FALSE,1,(OFFSET(GFS!$B$1,1,0,$C$5,1)&gt;=$E$4)*(OFFSET(GFS!$B$1,1,0,$C$5,1)&lt;=$E$5))))</f>
        <v>2076.25</v>
      </c>
      <c r="J23" s="30">
        <f t="shared" ca="1" si="2"/>
        <v>188.75</v>
      </c>
      <c r="K23" s="31">
        <f t="shared" ca="1" si="3"/>
        <v>2.5</v>
      </c>
      <c r="L23" s="32">
        <f t="shared" ca="1" si="4"/>
        <v>0</v>
      </c>
      <c r="O23" s="23" t="s">
        <v>32</v>
      </c>
      <c r="P23" s="24">
        <f t="array" aca="1" ref="P23" ca="1">IF($C$3=FALSE,"-",SUM((OFFSET(GFS!$H$1,1,0,$C$5,1)=O23)*IF($E$3=FALSE,1,(OFFSET(GFS!$B$1,1,0,$C$5,1)&gt;=$E$4)*(OFFSET(GFS!$B$1,1,0,$C$5,1)&lt;=$E$5))))</f>
        <v>3</v>
      </c>
      <c r="Q23" s="25">
        <f t="array" aca="1" ref="Q23" ca="1">IF($C$3=FALSE,"-",SUM((OFFSET(GFS!$H$1,1,0,$C$5,1)=O23)*OFFSET(GFS!$C$1,1,0,$C$5,1)*IF($E$3=FALSE,1,(OFFSET(GFS!$B$1,1,0,$C$5,1)&gt;=$E$4)*(OFFSET(GFS!$B$1,1,0,$C$5,1)&lt;=$E$5))))</f>
        <v>9</v>
      </c>
      <c r="R23" s="34">
        <f t="array" aca="1" ref="R23" ca="1">IF($C$3=FALSE,"-",SUM((OFFSET(GFS!$H$1,1,0,$C$5,1)=O23)*OFFSET(GFS!$D$1,1,0,$C$5,1)*IF($E$3=FALSE,1,(OFFSET(GFS!$B$1,1,0,$C$5,1)&gt;=$E$4)*(OFFSET(GFS!$B$1,1,0,$C$5,1)&lt;=$E$5))))</f>
        <v>0</v>
      </c>
      <c r="S23" s="26">
        <f t="shared" ca="1" si="5"/>
        <v>26.666666666666668</v>
      </c>
      <c r="T23" s="27">
        <f t="array" aca="1" ref="T23" ca="1">IF($C$3=FALSE,"-",SUM((OFFSET(GFS!$H$1,1,0,$C$5,1)=O23)*(OFFSET(GFS!$C$1,1,0,$C$5,1)+OFFSET(GFS!$D$1,1,0,$C$5,1))*OFFSET(GFS!$E$1,1,0,$C$5,1)*IF($E$3=FALSE,1,(OFFSET(GFS!$B$1,1,0,$C$5,1)&gt;=$E$4)*(OFFSET(GFS!$B$1,1,0,$C$5,1)&lt;=$E$5))))</f>
        <v>240</v>
      </c>
      <c r="U23" s="28">
        <f t="shared" ca="1" si="6"/>
        <v>29.333333333333339</v>
      </c>
      <c r="V23" s="29">
        <f t="array" aca="1" ref="V23" ca="1">IF($C$3=FALSE,"-",SUM((OFFSET(GFS!$H$1,1,0,$C$5,1)=O23)*(OFFSET(GFS!$C$1,1,0,$C$5,1)+OFFSET(GFS!$D$1,1,0,$C$5,1))*OFFSET(GFS!$E$1,1,0,$C$5,1)*OFFSET(GFS!$F$1,1,0,$C$5,1)*IF($E$3=FALSE,1,(OFFSET(GFS!$B$1,1,0,$C$5,1)&gt;=$E$4)*(OFFSET(GFS!$B$1,1,0,$C$5,1)&lt;=$E$5))))</f>
        <v>264.00000000000006</v>
      </c>
      <c r="W23" s="30">
        <f t="shared" ca="1" si="7"/>
        <v>24.000000000000057</v>
      </c>
      <c r="X23" s="31">
        <f t="shared" ca="1" si="8"/>
        <v>2.6666666666666732</v>
      </c>
      <c r="Y23" s="32">
        <f t="shared" ca="1" si="9"/>
        <v>-1.7763568394002505E-15</v>
      </c>
    </row>
    <row r="24" spans="2:25" ht="20.100000000000001" customHeight="1" x14ac:dyDescent="0.2">
      <c r="B24" s="23" t="s">
        <v>23</v>
      </c>
      <c r="C24" s="24">
        <f t="array" aca="1" ref="C24" ca="1">IF($C$3=FALSE,"-",SUM((OFFSET(GFS!$A$1,1,0,$C$5,1)=B24)*IF($E$3=FALSE,1,(OFFSET(GFS!$B$1,1,0,$C$5,1)&gt;=$E$4)*(OFFSET(GFS!$B$1,1,0,$C$5,1)&lt;=$E$5))))</f>
        <v>16</v>
      </c>
      <c r="D24" s="25">
        <f t="array" aca="1" ref="D24" ca="1">IF($C$3=FALSE,"-",SUM((OFFSET(GFS!$A$1,1,0,$C$5,1)=B24)*OFFSET(GFS!$C$1,1,0,$C$5,1)*IF($E$3=FALSE,1,(OFFSET(GFS!$B$1,1,0,$C$5,1)&gt;=$E$4)*(OFFSET(GFS!$B$1,1,0,$C$5,1)&lt;=$E$5))))</f>
        <v>140.5</v>
      </c>
      <c r="E24" s="34">
        <f t="array" aca="1" ref="E24" ca="1">IF($C$3=FALSE,"-",SUM((OFFSET(GFS!$A$1,1,0,$C$5,1)=B24)*OFFSET(GFS!$D$1,1,0,$C$5,1)*IF($E$3=FALSE,1,(OFFSET(GFS!$B$1,1,0,$C$5,1)&gt;=$E$4)*(OFFSET(GFS!$B$1,1,0,$C$5,1)&lt;=$E$5))))</f>
        <v>0</v>
      </c>
      <c r="F24" s="26">
        <f t="shared" ca="1" si="0"/>
        <v>15</v>
      </c>
      <c r="G24" s="27">
        <f t="array" aca="1" ref="G24" ca="1">IF($C$3=FALSE,"-",SUM((OFFSET(GFS!$A$1,1,0,$C$5,1)=B24)*(OFFSET(GFS!$C$1,1,0,$C$5,1)+OFFSET(GFS!$D$1,1,0,$C$5,1))*OFFSET(GFS!$E$1,1,0,$C$5,1)*IF($E$3=FALSE,1,(OFFSET(GFS!$B$1,1,0,$C$5,1)&gt;=$E$4)*(OFFSET(GFS!$B$1,1,0,$C$5,1)&lt;=$E$5))))</f>
        <v>2107.5</v>
      </c>
      <c r="H24" s="28">
        <f t="shared" ca="1" si="1"/>
        <v>16.5</v>
      </c>
      <c r="I24" s="29">
        <f t="array" aca="1" ref="I24" ca="1">IF($C$3=FALSE,"-",SUM((OFFSET(GFS!$A$1,1,0,$C$5,1)=B24)*(OFFSET(GFS!$C$1,1,0,$C$5,1)+OFFSET(GFS!$D$1,1,0,$C$5,1))*OFFSET(GFS!$E$1,1,0,$C$5,1)*OFFSET(GFS!$F$1,1,0,$C$5,1)*IF($E$3=FALSE,1,(OFFSET(GFS!$B$1,1,0,$C$5,1)&gt;=$E$4)*(OFFSET(GFS!$B$1,1,0,$C$5,1)&lt;=$E$5))))</f>
        <v>2318.25</v>
      </c>
      <c r="J24" s="30">
        <f t="shared" ca="1" si="2"/>
        <v>210.75</v>
      </c>
      <c r="K24" s="31">
        <f t="shared" ca="1" si="3"/>
        <v>1.5</v>
      </c>
      <c r="L24" s="32">
        <f t="shared" ca="1" si="4"/>
        <v>0</v>
      </c>
      <c r="O24" s="23" t="s">
        <v>34</v>
      </c>
      <c r="P24" s="24">
        <f t="array" aca="1" ref="P24" ca="1">IF($C$3=FALSE,"-",SUM((OFFSET(GFS!$H$1,1,0,$C$5,1)=O24)*IF($E$3=FALSE,1,(OFFSET(GFS!$B$1,1,0,$C$5,1)&gt;=$E$4)*(OFFSET(GFS!$B$1,1,0,$C$5,1)&lt;=$E$5))))</f>
        <v>1</v>
      </c>
      <c r="Q24" s="25">
        <f t="array" aca="1" ref="Q24" ca="1">IF($C$3=FALSE,"-",SUM((OFFSET(GFS!$H$1,1,0,$C$5,1)=O24)*OFFSET(GFS!$C$1,1,0,$C$5,1)*IF($E$3=FALSE,1,(OFFSET(GFS!$B$1,1,0,$C$5,1)&gt;=$E$4)*(OFFSET(GFS!$B$1,1,0,$C$5,1)&lt;=$E$5))))</f>
        <v>20.25</v>
      </c>
      <c r="R24" s="34">
        <f t="array" aca="1" ref="R24" ca="1">IF($C$3=FALSE,"-",SUM((OFFSET(GFS!$H$1,1,0,$C$5,1)=O24)*OFFSET(GFS!$D$1,1,0,$C$5,1)*IF($E$3=FALSE,1,(OFFSET(GFS!$B$1,1,0,$C$5,1)&gt;=$E$4)*(OFFSET(GFS!$B$1,1,0,$C$5,1)&lt;=$E$5))))</f>
        <v>0</v>
      </c>
      <c r="S24" s="26">
        <f t="shared" ca="1" si="5"/>
        <v>35</v>
      </c>
      <c r="T24" s="27">
        <f t="array" aca="1" ref="T24" ca="1">IF($C$3=FALSE,"-",SUM((OFFSET(GFS!$H$1,1,0,$C$5,1)=O24)*(OFFSET(GFS!$C$1,1,0,$C$5,1)+OFFSET(GFS!$D$1,1,0,$C$5,1))*OFFSET(GFS!$E$1,1,0,$C$5,1)*IF($E$3=FALSE,1,(OFFSET(GFS!$B$1,1,0,$C$5,1)&gt;=$E$4)*(OFFSET(GFS!$B$1,1,0,$C$5,1)&lt;=$E$5))))</f>
        <v>708.75</v>
      </c>
      <c r="U24" s="28">
        <f t="shared" ca="1" si="6"/>
        <v>35</v>
      </c>
      <c r="V24" s="29">
        <f t="array" aca="1" ref="V24" ca="1">IF($C$3=FALSE,"-",SUM((OFFSET(GFS!$H$1,1,0,$C$5,1)=O24)*(OFFSET(GFS!$C$1,1,0,$C$5,1)+OFFSET(GFS!$D$1,1,0,$C$5,1))*OFFSET(GFS!$E$1,1,0,$C$5,1)*OFFSET(GFS!$F$1,1,0,$C$5,1)*IF($E$3=FALSE,1,(OFFSET(GFS!$B$1,1,0,$C$5,1)&gt;=$E$4)*(OFFSET(GFS!$B$1,1,0,$C$5,1)&lt;=$E$5))))</f>
        <v>708.75</v>
      </c>
      <c r="W24" s="30">
        <f t="shared" ca="1" si="7"/>
        <v>0</v>
      </c>
      <c r="X24" s="31">
        <f t="shared" ca="1" si="8"/>
        <v>0</v>
      </c>
      <c r="Y24" s="32">
        <f t="shared" ca="1" si="9"/>
        <v>0</v>
      </c>
    </row>
    <row r="25" spans="2:25" ht="20.100000000000001" customHeight="1" x14ac:dyDescent="0.2">
      <c r="B25" s="23" t="s">
        <v>24</v>
      </c>
      <c r="C25" s="24">
        <f t="array" aca="1" ref="C25" ca="1">IF($C$3=FALSE,"-",SUM((OFFSET(GFS!$A$1,1,0,$C$5,1)=B25)*IF($E$3=FALSE,1,(OFFSET(GFS!$B$1,1,0,$C$5,1)&gt;=$E$4)*(OFFSET(GFS!$B$1,1,0,$C$5,1)&lt;=$E$5))))</f>
        <v>1</v>
      </c>
      <c r="D25" s="25">
        <f t="array" aca="1" ref="D25" ca="1">IF($C$3=FALSE,"-",SUM((OFFSET(GFS!$A$1,1,0,$C$5,1)=B25)*OFFSET(GFS!$C$1,1,0,$C$5,1)*IF($E$3=FALSE,1,(OFFSET(GFS!$B$1,1,0,$C$5,1)&gt;=$E$4)*(OFFSET(GFS!$B$1,1,0,$C$5,1)&lt;=$E$5))))</f>
        <v>10</v>
      </c>
      <c r="E25" s="34">
        <f t="array" aca="1" ref="E25" ca="1">IF($C$3=FALSE,"-",SUM((OFFSET(GFS!$A$1,1,0,$C$5,1)=B25)*OFFSET(GFS!$D$1,1,0,$C$5,1)*IF($E$3=FALSE,1,(OFFSET(GFS!$B$1,1,0,$C$5,1)&gt;=$E$4)*(OFFSET(GFS!$B$1,1,0,$C$5,1)&lt;=$E$5))))</f>
        <v>0</v>
      </c>
      <c r="F25" s="26">
        <f t="shared" ca="1" si="0"/>
        <v>15</v>
      </c>
      <c r="G25" s="27">
        <f t="array" aca="1" ref="G25" ca="1">IF($C$3=FALSE,"-",SUM((OFFSET(GFS!$A$1,1,0,$C$5,1)=B25)*(OFFSET(GFS!$C$1,1,0,$C$5,1)+OFFSET(GFS!$D$1,1,0,$C$5,1))*OFFSET(GFS!$E$1,1,0,$C$5,1)*IF($E$3=FALSE,1,(OFFSET(GFS!$B$1,1,0,$C$5,1)&gt;=$E$4)*(OFFSET(GFS!$B$1,1,0,$C$5,1)&lt;=$E$5))))</f>
        <v>150</v>
      </c>
      <c r="H25" s="28">
        <f t="shared" ca="1" si="1"/>
        <v>16.5</v>
      </c>
      <c r="I25" s="29">
        <f t="array" aca="1" ref="I25" ca="1">IF($C$3=FALSE,"-",SUM((OFFSET(GFS!$A$1,1,0,$C$5,1)=B25)*(OFFSET(GFS!$C$1,1,0,$C$5,1)+OFFSET(GFS!$D$1,1,0,$C$5,1))*OFFSET(GFS!$E$1,1,0,$C$5,1)*OFFSET(GFS!$F$1,1,0,$C$5,1)*IF($E$3=FALSE,1,(OFFSET(GFS!$B$1,1,0,$C$5,1)&gt;=$E$4)*(OFFSET(GFS!$B$1,1,0,$C$5,1)&lt;=$E$5))))</f>
        <v>165</v>
      </c>
      <c r="J25" s="30">
        <f t="shared" ca="1" si="2"/>
        <v>15</v>
      </c>
      <c r="K25" s="31">
        <f t="shared" ca="1" si="3"/>
        <v>1.5</v>
      </c>
      <c r="L25" s="32">
        <f t="shared" ca="1" si="4"/>
        <v>0</v>
      </c>
      <c r="O25" s="23" t="s">
        <v>38</v>
      </c>
      <c r="P25" s="24">
        <f t="array" aca="1" ref="P25" ca="1">IF($C$3=FALSE,"-",SUM((OFFSET(GFS!$H$1,1,0,$C$5,1)=O25)*IF($E$3=FALSE,1,(OFFSET(GFS!$B$1,1,0,$C$5,1)&gt;=$E$4)*(OFFSET(GFS!$B$1,1,0,$C$5,1)&lt;=$E$5))))</f>
        <v>11</v>
      </c>
      <c r="Q25" s="25">
        <f t="array" aca="1" ref="Q25" ca="1">IF($C$3=FALSE,"-",SUM((OFFSET(GFS!$H$1,1,0,$C$5,1)=O25)*OFFSET(GFS!$C$1,1,0,$C$5,1)*IF($E$3=FALSE,1,(OFFSET(GFS!$B$1,1,0,$C$5,1)&gt;=$E$4)*(OFFSET(GFS!$B$1,1,0,$C$5,1)&lt;=$E$5))))</f>
        <v>98.75</v>
      </c>
      <c r="R25" s="34">
        <f t="array" aca="1" ref="R25" ca="1">IF($C$3=FALSE,"-",SUM((OFFSET(GFS!$H$1,1,0,$C$5,1)=O25)*OFFSET(GFS!$D$1,1,0,$C$5,1)*IF($E$3=FALSE,1,(OFFSET(GFS!$B$1,1,0,$C$5,1)&gt;=$E$4)*(OFFSET(GFS!$B$1,1,0,$C$5,1)&lt;=$E$5))))</f>
        <v>0</v>
      </c>
      <c r="S25" s="26">
        <f t="shared" ca="1" si="5"/>
        <v>28.253164556962027</v>
      </c>
      <c r="T25" s="27">
        <f t="array" aca="1" ref="T25" ca="1">IF($C$3=FALSE,"-",SUM((OFFSET(GFS!$H$1,1,0,$C$5,1)=O25)*(OFFSET(GFS!$C$1,1,0,$C$5,1)+OFFSET(GFS!$D$1,1,0,$C$5,1))*OFFSET(GFS!$E$1,1,0,$C$5,1)*IF($E$3=FALSE,1,(OFFSET(GFS!$B$1,1,0,$C$5,1)&gt;=$E$4)*(OFFSET(GFS!$B$1,1,0,$C$5,1)&lt;=$E$5))))</f>
        <v>2790</v>
      </c>
      <c r="U25" s="28">
        <f t="shared" ca="1" si="6"/>
        <v>29.740506329113924</v>
      </c>
      <c r="V25" s="29">
        <f t="array" aca="1" ref="V25" ca="1">IF($C$3=FALSE,"-",SUM((OFFSET(GFS!$H$1,1,0,$C$5,1)=O25)*(OFFSET(GFS!$C$1,1,0,$C$5,1)+OFFSET(GFS!$D$1,1,0,$C$5,1))*OFFSET(GFS!$E$1,1,0,$C$5,1)*OFFSET(GFS!$F$1,1,0,$C$5,1)*IF($E$3=FALSE,1,(OFFSET(GFS!$B$1,1,0,$C$5,1)&gt;=$E$4)*(OFFSET(GFS!$B$1,1,0,$C$5,1)&lt;=$E$5))))</f>
        <v>2936.875</v>
      </c>
      <c r="W25" s="30">
        <f t="shared" ca="1" si="7"/>
        <v>146.875</v>
      </c>
      <c r="X25" s="31">
        <f t="shared" ca="1" si="8"/>
        <v>1.4873417721518987</v>
      </c>
      <c r="Y25" s="32">
        <f t="shared" ca="1" si="9"/>
        <v>-1.7763568394002505E-15</v>
      </c>
    </row>
    <row r="26" spans="2:25" ht="20.100000000000001" customHeight="1" x14ac:dyDescent="0.2">
      <c r="B26" s="23" t="s">
        <v>26</v>
      </c>
      <c r="C26" s="24">
        <f t="array" aca="1" ref="C26" ca="1">IF($C$3=FALSE,"-",SUM((OFFSET(GFS!$A$1,1,0,$C$5,1)=B26)*IF($E$3=FALSE,1,(OFFSET(GFS!$B$1,1,0,$C$5,1)&gt;=$E$4)*(OFFSET(GFS!$B$1,1,0,$C$5,1)&lt;=$E$5))))</f>
        <v>9</v>
      </c>
      <c r="D26" s="25">
        <f t="array" aca="1" ref="D26" ca="1">IF($C$3=FALSE,"-",SUM((OFFSET(GFS!$A$1,1,0,$C$5,1)=B26)*OFFSET(GFS!$C$1,1,0,$C$5,1)*IF($E$3=FALSE,1,(OFFSET(GFS!$B$1,1,0,$C$5,1)&gt;=$E$4)*(OFFSET(GFS!$B$1,1,0,$C$5,1)&lt;=$E$5))))</f>
        <v>75</v>
      </c>
      <c r="E26" s="34">
        <f t="array" aca="1" ref="E26" ca="1">IF($C$3=FALSE,"-",SUM((OFFSET(GFS!$A$1,1,0,$C$5,1)=B26)*OFFSET(GFS!$D$1,1,0,$C$5,1)*IF($E$3=FALSE,1,(OFFSET(GFS!$B$1,1,0,$C$5,1)&gt;=$E$4)*(OFFSET(GFS!$B$1,1,0,$C$5,1)&lt;=$E$5))))</f>
        <v>0</v>
      </c>
      <c r="F26" s="26">
        <f t="shared" ca="1" si="0"/>
        <v>55</v>
      </c>
      <c r="G26" s="27">
        <f t="array" aca="1" ref="G26" ca="1">IF($C$3=FALSE,"-",SUM((OFFSET(GFS!$A$1,1,0,$C$5,1)=B26)*(OFFSET(GFS!$C$1,1,0,$C$5,1)+OFFSET(GFS!$D$1,1,0,$C$5,1))*OFFSET(GFS!$E$1,1,0,$C$5,1)*IF($E$3=FALSE,1,(OFFSET(GFS!$B$1,1,0,$C$5,1)&gt;=$E$4)*(OFFSET(GFS!$B$1,1,0,$C$5,1)&lt;=$E$5))))</f>
        <v>4125</v>
      </c>
      <c r="H26" s="28">
        <f t="shared" ca="1" si="1"/>
        <v>55</v>
      </c>
      <c r="I26" s="29">
        <f t="array" aca="1" ref="I26" ca="1">IF($C$3=FALSE,"-",SUM((OFFSET(GFS!$A$1,1,0,$C$5,1)=B26)*(OFFSET(GFS!$C$1,1,0,$C$5,1)+OFFSET(GFS!$D$1,1,0,$C$5,1))*OFFSET(GFS!$E$1,1,0,$C$5,1)*OFFSET(GFS!$F$1,1,0,$C$5,1)*IF($E$3=FALSE,1,(OFFSET(GFS!$B$1,1,0,$C$5,1)&gt;=$E$4)*(OFFSET(GFS!$B$1,1,0,$C$5,1)&lt;=$E$5))))</f>
        <v>4125</v>
      </c>
      <c r="J26" s="30">
        <f t="shared" ca="1" si="2"/>
        <v>0</v>
      </c>
      <c r="K26" s="31">
        <f t="shared" ca="1" si="3"/>
        <v>0</v>
      </c>
      <c r="L26" s="32">
        <f t="shared" ca="1" si="4"/>
        <v>0</v>
      </c>
      <c r="O26" s="23" t="s">
        <v>39</v>
      </c>
      <c r="P26" s="24">
        <f t="array" aca="1" ref="P26" ca="1">IF($C$3=FALSE,"-",SUM((OFFSET(GFS!$H$1,1,0,$C$5,1)=O26)*IF($E$3=FALSE,1,(OFFSET(GFS!$B$1,1,0,$C$5,1)&gt;=$E$4)*(OFFSET(GFS!$B$1,1,0,$C$5,1)&lt;=$E$5))))</f>
        <v>2</v>
      </c>
      <c r="Q26" s="25">
        <f t="array" aca="1" ref="Q26" ca="1">IF($C$3=FALSE,"-",SUM((OFFSET(GFS!$H$1,1,0,$C$5,1)=O26)*OFFSET(GFS!$C$1,1,0,$C$5,1)*IF($E$3=FALSE,1,(OFFSET(GFS!$B$1,1,0,$C$5,1)&gt;=$E$4)*(OFFSET(GFS!$B$1,1,0,$C$5,1)&lt;=$E$5))))</f>
        <v>18.5</v>
      </c>
      <c r="R26" s="34">
        <f t="array" aca="1" ref="R26" ca="1">IF($C$3=FALSE,"-",SUM((OFFSET(GFS!$H$1,1,0,$C$5,1)=O26)*OFFSET(GFS!$D$1,1,0,$C$5,1)*IF($E$3=FALSE,1,(OFFSET(GFS!$B$1,1,0,$C$5,1)&gt;=$E$4)*(OFFSET(GFS!$B$1,1,0,$C$5,1)&lt;=$E$5))))</f>
        <v>0</v>
      </c>
      <c r="S26" s="26">
        <f t="shared" ca="1" si="5"/>
        <v>23.5</v>
      </c>
      <c r="T26" s="27">
        <f t="array" aca="1" ref="T26" ca="1">IF($C$3=FALSE,"-",SUM((OFFSET(GFS!$H$1,1,0,$C$5,1)=O26)*(OFFSET(GFS!$C$1,1,0,$C$5,1)+OFFSET(GFS!$D$1,1,0,$C$5,1))*OFFSET(GFS!$E$1,1,0,$C$5,1)*IF($E$3=FALSE,1,(OFFSET(GFS!$B$1,1,0,$C$5,1)&gt;=$E$4)*(OFFSET(GFS!$B$1,1,0,$C$5,1)&lt;=$E$5))))</f>
        <v>434.75</v>
      </c>
      <c r="U26" s="28">
        <f t="shared" ca="1" si="6"/>
        <v>25.85</v>
      </c>
      <c r="V26" s="29">
        <f t="array" aca="1" ref="V26" ca="1">IF($C$3=FALSE,"-",SUM((OFFSET(GFS!$H$1,1,0,$C$5,1)=O26)*(OFFSET(GFS!$C$1,1,0,$C$5,1)+OFFSET(GFS!$D$1,1,0,$C$5,1))*OFFSET(GFS!$E$1,1,0,$C$5,1)*OFFSET(GFS!$F$1,1,0,$C$5,1)*IF($E$3=FALSE,1,(OFFSET(GFS!$B$1,1,0,$C$5,1)&gt;=$E$4)*(OFFSET(GFS!$B$1,1,0,$C$5,1)&lt;=$E$5))))</f>
        <v>478.22500000000002</v>
      </c>
      <c r="W26" s="30">
        <f t="shared" ca="1" si="7"/>
        <v>43.475000000000023</v>
      </c>
      <c r="X26" s="31">
        <f t="shared" ca="1" si="8"/>
        <v>2.3500000000000014</v>
      </c>
      <c r="Y26" s="32">
        <f t="shared" ca="1" si="9"/>
        <v>0</v>
      </c>
    </row>
    <row r="27" spans="2:25" ht="20.100000000000001" customHeight="1" x14ac:dyDescent="0.2">
      <c r="B27" s="23" t="s">
        <v>27</v>
      </c>
      <c r="C27" s="24">
        <f t="array" aca="1" ref="C27" ca="1">IF($C$3=FALSE,"-",SUM((OFFSET(GFS!$A$1,1,0,$C$5,1)=B27)*IF($E$3=FALSE,1,(OFFSET(GFS!$B$1,1,0,$C$5,1)&gt;=$E$4)*(OFFSET(GFS!$B$1,1,0,$C$5,1)&lt;=$E$5))))</f>
        <v>15</v>
      </c>
      <c r="D27" s="25">
        <f t="array" aca="1" ref="D27" ca="1">IF($C$3=FALSE,"-",SUM((OFFSET(GFS!$A$1,1,0,$C$5,1)=B27)*OFFSET(GFS!$C$1,1,0,$C$5,1)*IF($E$3=FALSE,1,(OFFSET(GFS!$B$1,1,0,$C$5,1)&gt;=$E$4)*(OFFSET(GFS!$B$1,1,0,$C$5,1)&lt;=$E$5))))</f>
        <v>133</v>
      </c>
      <c r="E27" s="34">
        <f t="array" aca="1" ref="E27" ca="1">IF($C$3=FALSE,"-",SUM((OFFSET(GFS!$A$1,1,0,$C$5,1)=B27)*OFFSET(GFS!$D$1,1,0,$C$5,1)*IF($E$3=FALSE,1,(OFFSET(GFS!$B$1,1,0,$C$5,1)&gt;=$E$4)*(OFFSET(GFS!$B$1,1,0,$C$5,1)&lt;=$E$5))))</f>
        <v>0</v>
      </c>
      <c r="F27" s="26">
        <f t="shared" ca="1" si="0"/>
        <v>15</v>
      </c>
      <c r="G27" s="27">
        <f t="array" aca="1" ref="G27" ca="1">IF($C$3=FALSE,"-",SUM((OFFSET(GFS!$A$1,1,0,$C$5,1)=B27)*(OFFSET(GFS!$C$1,1,0,$C$5,1)+OFFSET(GFS!$D$1,1,0,$C$5,1))*OFFSET(GFS!$E$1,1,0,$C$5,1)*IF($E$3=FALSE,1,(OFFSET(GFS!$B$1,1,0,$C$5,1)&gt;=$E$4)*(OFFSET(GFS!$B$1,1,0,$C$5,1)&lt;=$E$5))))</f>
        <v>1995</v>
      </c>
      <c r="H27" s="28">
        <f t="shared" ca="1" si="1"/>
        <v>16.5</v>
      </c>
      <c r="I27" s="29">
        <f t="array" aca="1" ref="I27" ca="1">IF($C$3=FALSE,"-",SUM((OFFSET(GFS!$A$1,1,0,$C$5,1)=B27)*(OFFSET(GFS!$C$1,1,0,$C$5,1)+OFFSET(GFS!$D$1,1,0,$C$5,1))*OFFSET(GFS!$E$1,1,0,$C$5,1)*OFFSET(GFS!$F$1,1,0,$C$5,1)*IF($E$3=FALSE,1,(OFFSET(GFS!$B$1,1,0,$C$5,1)&gt;=$E$4)*(OFFSET(GFS!$B$1,1,0,$C$5,1)&lt;=$E$5))))</f>
        <v>2194.5</v>
      </c>
      <c r="J27" s="30">
        <f t="shared" ca="1" si="2"/>
        <v>199.5</v>
      </c>
      <c r="K27" s="31">
        <f t="shared" ca="1" si="3"/>
        <v>1.5</v>
      </c>
      <c r="L27" s="32">
        <f t="shared" ca="1" si="4"/>
        <v>0</v>
      </c>
      <c r="O27" s="23" t="s">
        <v>55</v>
      </c>
      <c r="P27" s="24">
        <f t="array" aca="1" ref="P27" ca="1">IF($C$3=FALSE,"-",SUM((OFFSET(GFS!$H$1,1,0,$C$5,1)=O27)*IF($E$3=FALSE,1,(OFFSET(GFS!$B$1,1,0,$C$5,1)&gt;=$E$4)*(OFFSET(GFS!$B$1,1,0,$C$5,1)&lt;=$E$5))))</f>
        <v>1</v>
      </c>
      <c r="Q27" s="25">
        <f t="array" aca="1" ref="Q27" ca="1">IF($C$3=FALSE,"-",SUM((OFFSET(GFS!$H$1,1,0,$C$5,1)=O27)*OFFSET(GFS!$C$1,1,0,$C$5,1)*IF($E$3=FALSE,1,(OFFSET(GFS!$B$1,1,0,$C$5,1)&gt;=$E$4)*(OFFSET(GFS!$B$1,1,0,$C$5,1)&lt;=$E$5))))</f>
        <v>9.25</v>
      </c>
      <c r="R27" s="34">
        <f t="array" aca="1" ref="R27" ca="1">IF($C$3=FALSE,"-",SUM((OFFSET(GFS!$H$1,1,0,$C$5,1)=O27)*OFFSET(GFS!$D$1,1,0,$C$5,1)*IF($E$3=FALSE,1,(OFFSET(GFS!$B$1,1,0,$C$5,1)&gt;=$E$4)*(OFFSET(GFS!$B$1,1,0,$C$5,1)&lt;=$E$5))))</f>
        <v>0</v>
      </c>
      <c r="S27" s="26">
        <f t="shared" ca="1" si="5"/>
        <v>35</v>
      </c>
      <c r="T27" s="27">
        <f t="array" aca="1" ref="T27" ca="1">IF($C$3=FALSE,"-",SUM((OFFSET(GFS!$H$1,1,0,$C$5,1)=O27)*(OFFSET(GFS!$C$1,1,0,$C$5,1)+OFFSET(GFS!$D$1,1,0,$C$5,1))*OFFSET(GFS!$E$1,1,0,$C$5,1)*IF($E$3=FALSE,1,(OFFSET(GFS!$B$1,1,0,$C$5,1)&gt;=$E$4)*(OFFSET(GFS!$B$1,1,0,$C$5,1)&lt;=$E$5))))</f>
        <v>323.75</v>
      </c>
      <c r="U27" s="28">
        <f t="shared" ca="1" si="6"/>
        <v>35</v>
      </c>
      <c r="V27" s="29">
        <f t="array" aca="1" ref="V27" ca="1">IF($C$3=FALSE,"-",SUM((OFFSET(GFS!$H$1,1,0,$C$5,1)=O27)*(OFFSET(GFS!$C$1,1,0,$C$5,1)+OFFSET(GFS!$D$1,1,0,$C$5,1))*OFFSET(GFS!$E$1,1,0,$C$5,1)*OFFSET(GFS!$F$1,1,0,$C$5,1)*IF($E$3=FALSE,1,(OFFSET(GFS!$B$1,1,0,$C$5,1)&gt;=$E$4)*(OFFSET(GFS!$B$1,1,0,$C$5,1)&lt;=$E$5))))</f>
        <v>323.75</v>
      </c>
      <c r="W27" s="30">
        <f t="shared" ca="1" si="7"/>
        <v>0</v>
      </c>
      <c r="X27" s="31">
        <f t="shared" ca="1" si="8"/>
        <v>0</v>
      </c>
      <c r="Y27" s="32">
        <f t="shared" ca="1" si="9"/>
        <v>0</v>
      </c>
    </row>
    <row r="28" spans="2:25" ht="20.100000000000001" customHeight="1" x14ac:dyDescent="0.2">
      <c r="B28" s="23" t="s">
        <v>28</v>
      </c>
      <c r="C28" s="24">
        <f t="array" aca="1" ref="C28" ca="1">IF($C$3=FALSE,"-",SUM((OFFSET(GFS!$A$1,1,0,$C$5,1)=B28)*IF($E$3=FALSE,1,(OFFSET(GFS!$B$1,1,0,$C$5,1)&gt;=$E$4)*(OFFSET(GFS!$B$1,1,0,$C$5,1)&lt;=$E$5))))</f>
        <v>2</v>
      </c>
      <c r="D28" s="25">
        <f t="array" aca="1" ref="D28" ca="1">IF($C$3=FALSE,"-",SUM((OFFSET(GFS!$A$1,1,0,$C$5,1)=B28)*OFFSET(GFS!$C$1,1,0,$C$5,1)*IF($E$3=FALSE,1,(OFFSET(GFS!$B$1,1,0,$C$5,1)&gt;=$E$4)*(OFFSET(GFS!$B$1,1,0,$C$5,1)&lt;=$E$5))))</f>
        <v>15.5</v>
      </c>
      <c r="E28" s="34">
        <f t="array" aca="1" ref="E28" ca="1">IF($C$3=FALSE,"-",SUM((OFFSET(GFS!$A$1,1,0,$C$5,1)=B28)*OFFSET(GFS!$D$1,1,0,$C$5,1)*IF($E$3=FALSE,1,(OFFSET(GFS!$B$1,1,0,$C$5,1)&gt;=$E$4)*(OFFSET(GFS!$B$1,1,0,$C$5,1)&lt;=$E$5))))</f>
        <v>0</v>
      </c>
      <c r="F28" s="26">
        <f t="shared" ca="1" si="0"/>
        <v>42</v>
      </c>
      <c r="G28" s="27">
        <f t="array" aca="1" ref="G28" ca="1">IF($C$3=FALSE,"-",SUM((OFFSET(GFS!$A$1,1,0,$C$5,1)=B28)*(OFFSET(GFS!$C$1,1,0,$C$5,1)+OFFSET(GFS!$D$1,1,0,$C$5,1))*OFFSET(GFS!$E$1,1,0,$C$5,1)*IF($E$3=FALSE,1,(OFFSET(GFS!$B$1,1,0,$C$5,1)&gt;=$E$4)*(OFFSET(GFS!$B$1,1,0,$C$5,1)&lt;=$E$5))))</f>
        <v>651</v>
      </c>
      <c r="H28" s="28">
        <f t="shared" ca="1" si="1"/>
        <v>46.20000000000001</v>
      </c>
      <c r="I28" s="29">
        <f t="array" aca="1" ref="I28" ca="1">IF($C$3=FALSE,"-",SUM((OFFSET(GFS!$A$1,1,0,$C$5,1)=B28)*(OFFSET(GFS!$C$1,1,0,$C$5,1)+OFFSET(GFS!$D$1,1,0,$C$5,1))*OFFSET(GFS!$E$1,1,0,$C$5,1)*OFFSET(GFS!$F$1,1,0,$C$5,1)*IF($E$3=FALSE,1,(OFFSET(GFS!$B$1,1,0,$C$5,1)&gt;=$E$4)*(OFFSET(GFS!$B$1,1,0,$C$5,1)&lt;=$E$5))))</f>
        <v>716.10000000000014</v>
      </c>
      <c r="J28" s="30">
        <f t="shared" ca="1" si="2"/>
        <v>65.100000000000136</v>
      </c>
      <c r="K28" s="31">
        <f t="shared" ca="1" si="3"/>
        <v>4.2000000000000091</v>
      </c>
      <c r="L28" s="32">
        <f t="shared" ca="1" si="4"/>
        <v>8.8817841970012523E-16</v>
      </c>
      <c r="O28"/>
    </row>
    <row r="29" spans="2:25" ht="20.100000000000001" customHeight="1" x14ac:dyDescent="0.2">
      <c r="B29" s="23" t="s">
        <v>30</v>
      </c>
      <c r="C29" s="24">
        <f t="array" aca="1" ref="C29" ca="1">IF($C$3=FALSE,"-",SUM((OFFSET(GFS!$A$1,1,0,$C$5,1)=B29)*IF($E$3=FALSE,1,(OFFSET(GFS!$B$1,1,0,$C$5,1)&gt;=$E$4)*(OFFSET(GFS!$B$1,1,0,$C$5,1)&lt;=$E$5))))</f>
        <v>8</v>
      </c>
      <c r="D29" s="25">
        <f t="array" aca="1" ref="D29" ca="1">IF($C$3=FALSE,"-",SUM((OFFSET(GFS!$A$1,1,0,$C$5,1)=B29)*OFFSET(GFS!$C$1,1,0,$C$5,1)*IF($E$3=FALSE,1,(OFFSET(GFS!$B$1,1,0,$C$5,1)&gt;=$E$4)*(OFFSET(GFS!$B$1,1,0,$C$5,1)&lt;=$E$5))))</f>
        <v>104.5</v>
      </c>
      <c r="E29" s="34">
        <f t="array" aca="1" ref="E29" ca="1">IF($C$3=FALSE,"-",SUM((OFFSET(GFS!$A$1,1,0,$C$5,1)=B29)*OFFSET(GFS!$D$1,1,0,$C$5,1)*IF($E$3=FALSE,1,(OFFSET(GFS!$B$1,1,0,$C$5,1)&gt;=$E$4)*(OFFSET(GFS!$B$1,1,0,$C$5,1)&lt;=$E$5))))</f>
        <v>0</v>
      </c>
      <c r="F29" s="26">
        <f t="shared" ca="1" si="0"/>
        <v>50</v>
      </c>
      <c r="G29" s="27">
        <f t="array" aca="1" ref="G29" ca="1">IF($C$3=FALSE,"-",SUM((OFFSET(GFS!$A$1,1,0,$C$5,1)=B29)*(OFFSET(GFS!$C$1,1,0,$C$5,1)+OFFSET(GFS!$D$1,1,0,$C$5,1))*OFFSET(GFS!$E$1,1,0,$C$5,1)*IF($E$3=FALSE,1,(OFFSET(GFS!$B$1,1,0,$C$5,1)&gt;=$E$4)*(OFFSET(GFS!$B$1,1,0,$C$5,1)&lt;=$E$5))))</f>
        <v>5225</v>
      </c>
      <c r="H29" s="28">
        <f t="shared" ca="1" si="1"/>
        <v>50</v>
      </c>
      <c r="I29" s="29">
        <f t="array" aca="1" ref="I29" ca="1">IF($C$3=FALSE,"-",SUM((OFFSET(GFS!$A$1,1,0,$C$5,1)=B29)*(OFFSET(GFS!$C$1,1,0,$C$5,1)+OFFSET(GFS!$D$1,1,0,$C$5,1))*OFFSET(GFS!$E$1,1,0,$C$5,1)*OFFSET(GFS!$F$1,1,0,$C$5,1)*IF($E$3=FALSE,1,(OFFSET(GFS!$B$1,1,0,$C$5,1)&gt;=$E$4)*(OFFSET(GFS!$B$1,1,0,$C$5,1)&lt;=$E$5))))</f>
        <v>5225</v>
      </c>
      <c r="J29" s="30">
        <f t="shared" ca="1" si="2"/>
        <v>0</v>
      </c>
      <c r="K29" s="31">
        <f t="shared" ca="1" si="3"/>
        <v>0</v>
      </c>
      <c r="L29" s="32">
        <f t="shared" ca="1" si="4"/>
        <v>0</v>
      </c>
      <c r="O29"/>
    </row>
    <row r="30" spans="2:25" ht="20.100000000000001" customHeight="1" x14ac:dyDescent="0.2">
      <c r="B30" s="23" t="s">
        <v>31</v>
      </c>
      <c r="C30" s="24">
        <f t="array" aca="1" ref="C30" ca="1">IF($C$3=FALSE,"-",SUM((OFFSET(GFS!$A$1,1,0,$C$5,1)=B30)*IF($E$3=FALSE,1,(OFFSET(GFS!$B$1,1,0,$C$5,1)&gt;=$E$4)*(OFFSET(GFS!$B$1,1,0,$C$5,1)&lt;=$E$5))))</f>
        <v>12</v>
      </c>
      <c r="D30" s="25">
        <f t="array" aca="1" ref="D30" ca="1">IF($C$3=FALSE,"-",SUM((OFFSET(GFS!$A$1,1,0,$C$5,1)=B30)*OFFSET(GFS!$C$1,1,0,$C$5,1)*IF($E$3=FALSE,1,(OFFSET(GFS!$B$1,1,0,$C$5,1)&gt;=$E$4)*(OFFSET(GFS!$B$1,1,0,$C$5,1)&lt;=$E$5))))</f>
        <v>103</v>
      </c>
      <c r="E30" s="34">
        <f t="array" aca="1" ref="E30" ca="1">IF($C$3=FALSE,"-",SUM((OFFSET(GFS!$A$1,1,0,$C$5,1)=B30)*OFFSET(GFS!$D$1,1,0,$C$5,1)*IF($E$3=FALSE,1,(OFFSET(GFS!$B$1,1,0,$C$5,1)&gt;=$E$4)*(OFFSET(GFS!$B$1,1,0,$C$5,1)&lt;=$E$5))))</f>
        <v>0</v>
      </c>
      <c r="F30" s="26">
        <f t="shared" ca="1" si="0"/>
        <v>20</v>
      </c>
      <c r="G30" s="27">
        <f t="array" aca="1" ref="G30" ca="1">IF($C$3=FALSE,"-",SUM((OFFSET(GFS!$A$1,1,0,$C$5,1)=B30)*(OFFSET(GFS!$C$1,1,0,$C$5,1)+OFFSET(GFS!$D$1,1,0,$C$5,1))*OFFSET(GFS!$E$1,1,0,$C$5,1)*IF($E$3=FALSE,1,(OFFSET(GFS!$B$1,1,0,$C$5,1)&gt;=$E$4)*(OFFSET(GFS!$B$1,1,0,$C$5,1)&lt;=$E$5))))</f>
        <v>2060</v>
      </c>
      <c r="H30" s="28">
        <f t="shared" ca="1" si="1"/>
        <v>22.000000000000004</v>
      </c>
      <c r="I30" s="29">
        <f t="array" aca="1" ref="I30" ca="1">IF($C$3=FALSE,"-",SUM((OFFSET(GFS!$A$1,1,0,$C$5,1)=B30)*(OFFSET(GFS!$C$1,1,0,$C$5,1)+OFFSET(GFS!$D$1,1,0,$C$5,1))*OFFSET(GFS!$E$1,1,0,$C$5,1)*OFFSET(GFS!$F$1,1,0,$C$5,1)*IF($E$3=FALSE,1,(OFFSET(GFS!$B$1,1,0,$C$5,1)&gt;=$E$4)*(OFFSET(GFS!$B$1,1,0,$C$5,1)&lt;=$E$5))))</f>
        <v>2266.0000000000005</v>
      </c>
      <c r="J30" s="30">
        <f t="shared" ca="1" si="2"/>
        <v>206.00000000000045</v>
      </c>
      <c r="K30" s="31">
        <f t="shared" ca="1" si="3"/>
        <v>2.0000000000000044</v>
      </c>
      <c r="L30" s="32">
        <f t="shared" ca="1" si="4"/>
        <v>-8.8817841970012523E-16</v>
      </c>
      <c r="O30"/>
    </row>
    <row r="31" spans="2:25" ht="20.100000000000001" customHeight="1" x14ac:dyDescent="0.2">
      <c r="B31" s="23" t="s">
        <v>35</v>
      </c>
      <c r="C31" s="24">
        <f t="array" aca="1" ref="C31" ca="1">IF($C$3=FALSE,"-",SUM((OFFSET(GFS!$A$1,1,0,$C$5,1)=B31)*IF($E$3=FALSE,1,(OFFSET(GFS!$B$1,1,0,$C$5,1)&gt;=$E$4)*(OFFSET(GFS!$B$1,1,0,$C$5,1)&lt;=$E$5))))</f>
        <v>1</v>
      </c>
      <c r="D31" s="25">
        <f t="array" aca="1" ref="D31" ca="1">IF($C$3=FALSE,"-",SUM((OFFSET(GFS!$A$1,1,0,$C$5,1)=B31)*OFFSET(GFS!$C$1,1,0,$C$5,1)*IF($E$3=FALSE,1,(OFFSET(GFS!$B$1,1,0,$C$5,1)&gt;=$E$4)*(OFFSET(GFS!$B$1,1,0,$C$5,1)&lt;=$E$5))))</f>
        <v>17</v>
      </c>
      <c r="E31" s="34">
        <f t="array" aca="1" ref="E31" ca="1">IF($C$3=FALSE,"-",SUM((OFFSET(GFS!$A$1,1,0,$C$5,1)=B31)*OFFSET(GFS!$D$1,1,0,$C$5,1)*IF($E$3=FALSE,1,(OFFSET(GFS!$B$1,1,0,$C$5,1)&gt;=$E$4)*(OFFSET(GFS!$B$1,1,0,$C$5,1)&lt;=$E$5))))</f>
        <v>0</v>
      </c>
      <c r="F31" s="26">
        <f t="shared" ca="1" si="0"/>
        <v>50</v>
      </c>
      <c r="G31" s="27">
        <f t="array" aca="1" ref="G31" ca="1">IF($C$3=FALSE,"-",SUM((OFFSET(GFS!$A$1,1,0,$C$5,1)=B31)*(OFFSET(GFS!$C$1,1,0,$C$5,1)+OFFSET(GFS!$D$1,1,0,$C$5,1))*OFFSET(GFS!$E$1,1,0,$C$5,1)*IF($E$3=FALSE,1,(OFFSET(GFS!$B$1,1,0,$C$5,1)&gt;=$E$4)*(OFFSET(GFS!$B$1,1,0,$C$5,1)&lt;=$E$5))))</f>
        <v>850</v>
      </c>
      <c r="H31" s="28">
        <f t="shared" ca="1" si="1"/>
        <v>50</v>
      </c>
      <c r="I31" s="29">
        <f t="array" aca="1" ref="I31" ca="1">IF($C$3=FALSE,"-",SUM((OFFSET(GFS!$A$1,1,0,$C$5,1)=B31)*(OFFSET(GFS!$C$1,1,0,$C$5,1)+OFFSET(GFS!$D$1,1,0,$C$5,1))*OFFSET(GFS!$E$1,1,0,$C$5,1)*OFFSET(GFS!$F$1,1,0,$C$5,1)*IF($E$3=FALSE,1,(OFFSET(GFS!$B$1,1,0,$C$5,1)&gt;=$E$4)*(OFFSET(GFS!$B$1,1,0,$C$5,1)&lt;=$E$5))))</f>
        <v>850</v>
      </c>
      <c r="J31" s="30">
        <f t="shared" ca="1" si="2"/>
        <v>0</v>
      </c>
      <c r="K31" s="31">
        <f t="shared" ca="1" si="3"/>
        <v>0</v>
      </c>
      <c r="L31" s="32">
        <f t="shared" ca="1" si="4"/>
        <v>0</v>
      </c>
      <c r="O31"/>
    </row>
    <row r="32" spans="2:25" ht="20.100000000000001" customHeight="1" x14ac:dyDescent="0.2">
      <c r="B32" s="23" t="s">
        <v>36</v>
      </c>
      <c r="C32" s="24">
        <f t="array" aca="1" ref="C32" ca="1">IF($C$3=FALSE,"-",SUM((OFFSET(GFS!$A$1,1,0,$C$5,1)=B32)*IF($E$3=FALSE,1,(OFFSET(GFS!$B$1,1,0,$C$5,1)&gt;=$E$4)*(OFFSET(GFS!$B$1,1,0,$C$5,1)&lt;=$E$5))))</f>
        <v>12</v>
      </c>
      <c r="D32" s="25">
        <f t="array" aca="1" ref="D32" ca="1">IF($C$3=FALSE,"-",SUM((OFFSET(GFS!$A$1,1,0,$C$5,1)=B32)*OFFSET(GFS!$C$1,1,0,$C$5,1)*IF($E$3=FALSE,1,(OFFSET(GFS!$B$1,1,0,$C$5,1)&gt;=$E$4)*(OFFSET(GFS!$B$1,1,0,$C$5,1)&lt;=$E$5))))</f>
        <v>115.5</v>
      </c>
      <c r="E32" s="34">
        <f t="array" aca="1" ref="E32" ca="1">IF($C$3=FALSE,"-",SUM((OFFSET(GFS!$A$1,1,0,$C$5,1)=B32)*OFFSET(GFS!$D$1,1,0,$C$5,1)*IF($E$3=FALSE,1,(OFFSET(GFS!$B$1,1,0,$C$5,1)&gt;=$E$4)*(OFFSET(GFS!$B$1,1,0,$C$5,1)&lt;=$E$5))))</f>
        <v>0</v>
      </c>
      <c r="F32" s="26">
        <f t="shared" ca="1" si="0"/>
        <v>35</v>
      </c>
      <c r="G32" s="27">
        <f t="array" aca="1" ref="G32" ca="1">IF($C$3=FALSE,"-",SUM((OFFSET(GFS!$A$1,1,0,$C$5,1)=B32)*(OFFSET(GFS!$C$1,1,0,$C$5,1)+OFFSET(GFS!$D$1,1,0,$C$5,1))*OFFSET(GFS!$E$1,1,0,$C$5,1)*IF($E$3=FALSE,1,(OFFSET(GFS!$B$1,1,0,$C$5,1)&gt;=$E$4)*(OFFSET(GFS!$B$1,1,0,$C$5,1)&lt;=$E$5))))</f>
        <v>4042.5</v>
      </c>
      <c r="H32" s="28">
        <f t="shared" ca="1" si="1"/>
        <v>35</v>
      </c>
      <c r="I32" s="29">
        <f t="array" aca="1" ref="I32" ca="1">IF($C$3=FALSE,"-",SUM((OFFSET(GFS!$A$1,1,0,$C$5,1)=B32)*(OFFSET(GFS!$C$1,1,0,$C$5,1)+OFFSET(GFS!$D$1,1,0,$C$5,1))*OFFSET(GFS!$E$1,1,0,$C$5,1)*OFFSET(GFS!$F$1,1,0,$C$5,1)*IF($E$3=FALSE,1,(OFFSET(GFS!$B$1,1,0,$C$5,1)&gt;=$E$4)*(OFFSET(GFS!$B$1,1,0,$C$5,1)&lt;=$E$5))))</f>
        <v>4042.5</v>
      </c>
      <c r="J32" s="30">
        <f t="shared" ca="1" si="2"/>
        <v>0</v>
      </c>
      <c r="K32" s="31">
        <f t="shared" ca="1" si="3"/>
        <v>0</v>
      </c>
      <c r="L32" s="32">
        <f t="shared" ca="1" si="4"/>
        <v>0</v>
      </c>
      <c r="O32"/>
    </row>
    <row r="33" spans="2:15" ht="20.100000000000001" customHeight="1" x14ac:dyDescent="0.2">
      <c r="B33" s="23" t="s">
        <v>37</v>
      </c>
      <c r="C33" s="24">
        <f t="array" aca="1" ref="C33" ca="1">IF($C$3=FALSE,"-",SUM((OFFSET(GFS!$A$1,1,0,$C$5,1)=B33)*IF($E$3=FALSE,1,(OFFSET(GFS!$B$1,1,0,$C$5,1)&gt;=$E$4)*(OFFSET(GFS!$B$1,1,0,$C$5,1)&lt;=$E$5))))</f>
        <v>4</v>
      </c>
      <c r="D33" s="25">
        <f t="array" aca="1" ref="D33" ca="1">IF($C$3=FALSE,"-",SUM((OFFSET(GFS!$A$1,1,0,$C$5,1)=B33)*OFFSET(GFS!$C$1,1,0,$C$5,1)*IF($E$3=FALSE,1,(OFFSET(GFS!$B$1,1,0,$C$5,1)&gt;=$E$4)*(OFFSET(GFS!$B$1,1,0,$C$5,1)&lt;=$E$5))))</f>
        <v>152.5</v>
      </c>
      <c r="E33" s="34">
        <f t="array" aca="1" ref="E33" ca="1">IF($C$3=FALSE,"-",SUM((OFFSET(GFS!$A$1,1,0,$C$5,1)=B33)*OFFSET(GFS!$D$1,1,0,$C$5,1)*IF($E$3=FALSE,1,(OFFSET(GFS!$B$1,1,0,$C$5,1)&gt;=$E$4)*(OFFSET(GFS!$B$1,1,0,$C$5,1)&lt;=$E$5))))</f>
        <v>0</v>
      </c>
      <c r="F33" s="26">
        <f t="shared" ca="1" si="0"/>
        <v>42</v>
      </c>
      <c r="G33" s="27">
        <f t="array" aca="1" ref="G33" ca="1">IF($C$3=FALSE,"-",SUM((OFFSET(GFS!$A$1,1,0,$C$5,1)=B33)*(OFFSET(GFS!$C$1,1,0,$C$5,1)+OFFSET(GFS!$D$1,1,0,$C$5,1))*OFFSET(GFS!$E$1,1,0,$C$5,1)*IF($E$3=FALSE,1,(OFFSET(GFS!$B$1,1,0,$C$5,1)&gt;=$E$4)*(OFFSET(GFS!$B$1,1,0,$C$5,1)&lt;=$E$5))))</f>
        <v>6405</v>
      </c>
      <c r="H33" s="28">
        <f t="shared" ca="1" si="1"/>
        <v>42</v>
      </c>
      <c r="I33" s="29">
        <f t="array" aca="1" ref="I33" ca="1">IF($C$3=FALSE,"-",SUM((OFFSET(GFS!$A$1,1,0,$C$5,1)=B33)*(OFFSET(GFS!$C$1,1,0,$C$5,1)+OFFSET(GFS!$D$1,1,0,$C$5,1))*OFFSET(GFS!$E$1,1,0,$C$5,1)*OFFSET(GFS!$F$1,1,0,$C$5,1)*IF($E$3=FALSE,1,(OFFSET(GFS!$B$1,1,0,$C$5,1)&gt;=$E$4)*(OFFSET(GFS!$B$1,1,0,$C$5,1)&lt;=$E$5))))</f>
        <v>6405</v>
      </c>
      <c r="J33" s="30">
        <f t="shared" ca="1" si="2"/>
        <v>0</v>
      </c>
      <c r="K33" s="31">
        <f t="shared" ca="1" si="3"/>
        <v>0</v>
      </c>
      <c r="L33" s="32">
        <f t="shared" ca="1" si="4"/>
        <v>0</v>
      </c>
      <c r="O33"/>
    </row>
    <row r="34" spans="2:15" ht="20.100000000000001" customHeight="1" x14ac:dyDescent="0.2">
      <c r="B34"/>
      <c r="O34"/>
    </row>
    <row r="35" spans="2:15" ht="20.100000000000001" customHeight="1" x14ac:dyDescent="0.2">
      <c r="B35"/>
      <c r="O35"/>
    </row>
    <row r="36" spans="2:15" ht="20.100000000000001" customHeight="1" x14ac:dyDescent="0.2">
      <c r="O36"/>
    </row>
    <row r="37" spans="2:15" ht="20.100000000000001" customHeight="1" x14ac:dyDescent="0.2">
      <c r="O37"/>
    </row>
    <row r="38" spans="2:15" ht="20.100000000000001" customHeight="1" x14ac:dyDescent="0.2">
      <c r="O38"/>
    </row>
    <row r="39" spans="2:15" ht="20.100000000000001" customHeight="1" x14ac:dyDescent="0.2">
      <c r="O39"/>
    </row>
    <row r="40" spans="2:15" ht="20.100000000000001" customHeight="1" x14ac:dyDescent="0.2">
      <c r="O40"/>
    </row>
    <row r="41" spans="2:15" ht="20.100000000000001" customHeight="1" x14ac:dyDescent="0.2">
      <c r="O41"/>
    </row>
    <row r="42" spans="2:15" ht="20.100000000000001" customHeight="1" x14ac:dyDescent="0.2">
      <c r="O42"/>
    </row>
    <row r="43" spans="2:15" ht="20.100000000000001" customHeight="1" x14ac:dyDescent="0.2">
      <c r="O43"/>
    </row>
    <row r="44" spans="2:15" ht="20.100000000000001" customHeight="1" x14ac:dyDescent="0.2">
      <c r="O44"/>
    </row>
    <row r="45" spans="2:15" ht="20.100000000000001" customHeight="1" x14ac:dyDescent="0.2">
      <c r="O45"/>
    </row>
    <row r="46" spans="2:15" ht="20.100000000000001" customHeight="1" x14ac:dyDescent="0.2">
      <c r="O46"/>
    </row>
    <row r="47" spans="2:15" ht="20.100000000000001" customHeight="1" x14ac:dyDescent="0.2">
      <c r="O47"/>
    </row>
    <row r="48" spans="2:15" ht="20.100000000000001" customHeight="1" x14ac:dyDescent="0.2">
      <c r="O48"/>
    </row>
    <row r="49" spans="2:15" ht="20.100000000000001" customHeight="1" x14ac:dyDescent="0.2">
      <c r="O49"/>
    </row>
    <row r="50" spans="2:15" ht="20.100000000000001" customHeight="1" x14ac:dyDescent="0.2">
      <c r="O50"/>
    </row>
    <row r="51" spans="2:15" ht="20.100000000000001" customHeight="1" x14ac:dyDescent="0.2">
      <c r="O51"/>
    </row>
    <row r="52" spans="2:15" ht="20.100000000000001" customHeight="1" x14ac:dyDescent="0.2">
      <c r="O52"/>
    </row>
    <row r="53" spans="2:15" ht="20.100000000000001" customHeight="1" x14ac:dyDescent="0.2">
      <c r="B53"/>
      <c r="O53"/>
    </row>
    <row r="54" spans="2:15" ht="20.100000000000001" customHeight="1" x14ac:dyDescent="0.2">
      <c r="B54"/>
      <c r="O54"/>
    </row>
    <row r="55" spans="2:15" ht="20.100000000000001" customHeight="1" x14ac:dyDescent="0.2">
      <c r="O55"/>
    </row>
    <row r="56" spans="2:15" ht="20.100000000000001" customHeight="1" x14ac:dyDescent="0.2">
      <c r="O56"/>
    </row>
    <row r="57" spans="2:15" ht="20.100000000000001" customHeight="1" x14ac:dyDescent="0.2">
      <c r="O57"/>
    </row>
    <row r="58" spans="2:15" ht="20.100000000000001" customHeight="1" x14ac:dyDescent="0.2">
      <c r="O58"/>
    </row>
    <row r="59" spans="2:15" ht="20.100000000000001" customHeight="1" x14ac:dyDescent="0.2">
      <c r="O59"/>
    </row>
    <row r="60" spans="2:15" ht="20.100000000000001" customHeight="1" x14ac:dyDescent="0.2">
      <c r="O60"/>
    </row>
    <row r="61" spans="2:15" ht="20.100000000000001" customHeight="1" x14ac:dyDescent="0.2">
      <c r="O61"/>
    </row>
    <row r="62" spans="2:15" ht="20.100000000000001" customHeight="1" x14ac:dyDescent="0.2">
      <c r="O62"/>
    </row>
    <row r="63" spans="2:15" ht="20.100000000000001" customHeight="1" x14ac:dyDescent="0.2">
      <c r="O63"/>
    </row>
    <row r="64" spans="2:15" ht="20.100000000000001" customHeight="1" x14ac:dyDescent="0.2">
      <c r="O64"/>
    </row>
    <row r="65" spans="15:15" ht="20.100000000000001" customHeight="1" x14ac:dyDescent="0.2">
      <c r="O65"/>
    </row>
    <row r="66" spans="15:15" ht="20.100000000000001" customHeight="1" x14ac:dyDescent="0.2">
      <c r="O66"/>
    </row>
    <row r="67" spans="15:15" ht="20.100000000000001" customHeight="1" x14ac:dyDescent="0.2">
      <c r="O67"/>
    </row>
    <row r="68" spans="15:15" ht="20.100000000000001" customHeight="1" x14ac:dyDescent="0.2">
      <c r="O68"/>
    </row>
    <row r="69" spans="15:15" ht="20.100000000000001" customHeight="1" x14ac:dyDescent="0.2">
      <c r="O69"/>
    </row>
    <row r="70" spans="15:15" ht="20.100000000000001" customHeight="1" x14ac:dyDescent="0.2">
      <c r="O70"/>
    </row>
    <row r="71" spans="15:15" ht="20.100000000000001" customHeight="1" x14ac:dyDescent="0.2">
      <c r="O71"/>
    </row>
    <row r="72" spans="15:15" ht="20.100000000000001" customHeight="1" x14ac:dyDescent="0.2">
      <c r="O72"/>
    </row>
    <row r="73" spans="15:15" ht="20.100000000000001" customHeight="1" x14ac:dyDescent="0.2">
      <c r="O73"/>
    </row>
    <row r="74" spans="15:15" ht="20.100000000000001" customHeight="1" x14ac:dyDescent="0.2">
      <c r="O74"/>
    </row>
    <row r="75" spans="15:15" ht="20.100000000000001" customHeight="1" x14ac:dyDescent="0.2">
      <c r="O75"/>
    </row>
    <row r="76" spans="15:15" ht="20.100000000000001" customHeight="1" x14ac:dyDescent="0.2">
      <c r="O76"/>
    </row>
    <row r="77" spans="15:15" ht="20.100000000000001" customHeight="1" x14ac:dyDescent="0.2">
      <c r="O77"/>
    </row>
    <row r="78" spans="15:15" ht="20.100000000000001" customHeight="1" x14ac:dyDescent="0.2">
      <c r="O78"/>
    </row>
    <row r="79" spans="15:15" ht="20.100000000000001" customHeight="1" x14ac:dyDescent="0.2">
      <c r="O79"/>
    </row>
    <row r="80" spans="15:15" ht="20.100000000000001" customHeight="1" x14ac:dyDescent="0.2">
      <c r="O80"/>
    </row>
    <row r="81" spans="15:15" ht="20.100000000000001" customHeight="1" x14ac:dyDescent="0.2">
      <c r="O81"/>
    </row>
    <row r="82" spans="15:15" ht="20.100000000000001" customHeight="1" x14ac:dyDescent="0.2">
      <c r="O82"/>
    </row>
    <row r="83" spans="15:15" ht="20.100000000000001" customHeight="1" x14ac:dyDescent="0.2">
      <c r="O83"/>
    </row>
    <row r="84" spans="15:15" ht="20.100000000000001" customHeight="1" x14ac:dyDescent="0.2">
      <c r="O84"/>
    </row>
    <row r="85" spans="15:15" ht="20.100000000000001" customHeight="1" x14ac:dyDescent="0.2">
      <c r="O85"/>
    </row>
    <row r="86" spans="15:15" ht="20.100000000000001" customHeight="1" x14ac:dyDescent="0.2">
      <c r="O86"/>
    </row>
    <row r="87" spans="15:15" ht="20.100000000000001" customHeight="1" x14ac:dyDescent="0.2">
      <c r="O87"/>
    </row>
    <row r="88" spans="15:15" ht="20.100000000000001" customHeight="1" x14ac:dyDescent="0.2">
      <c r="O88"/>
    </row>
    <row r="89" spans="15:15" ht="20.100000000000001" customHeight="1" x14ac:dyDescent="0.2">
      <c r="O89"/>
    </row>
    <row r="90" spans="15:15" ht="20.100000000000001" customHeight="1" x14ac:dyDescent="0.2">
      <c r="O90"/>
    </row>
    <row r="91" spans="15:15" ht="20.100000000000001" customHeight="1" x14ac:dyDescent="0.2">
      <c r="O91"/>
    </row>
    <row r="92" spans="15:15" ht="20.100000000000001" customHeight="1" x14ac:dyDescent="0.2">
      <c r="O92"/>
    </row>
    <row r="93" spans="15:15" ht="20.100000000000001" customHeight="1" x14ac:dyDescent="0.2">
      <c r="O93"/>
    </row>
    <row r="94" spans="15:15" ht="20.100000000000001" customHeight="1" x14ac:dyDescent="0.2">
      <c r="O94"/>
    </row>
    <row r="95" spans="15:15" ht="20.100000000000001" customHeight="1" x14ac:dyDescent="0.2">
      <c r="O95"/>
    </row>
    <row r="96" spans="15:15" ht="20.100000000000001" customHeight="1" x14ac:dyDescent="0.2">
      <c r="O96"/>
    </row>
    <row r="97" spans="15:15" ht="20.100000000000001" customHeight="1" x14ac:dyDescent="0.2">
      <c r="O97"/>
    </row>
    <row r="98" spans="15:15" ht="20.100000000000001" customHeight="1" x14ac:dyDescent="0.2">
      <c r="O98"/>
    </row>
    <row r="99" spans="15:15" ht="20.100000000000001" customHeight="1" x14ac:dyDescent="0.2">
      <c r="O99"/>
    </row>
    <row r="100" spans="15:15" ht="20.100000000000001" customHeight="1" x14ac:dyDescent="0.2">
      <c r="O100"/>
    </row>
    <row r="101" spans="15:15" ht="20.100000000000001" customHeight="1" x14ac:dyDescent="0.2">
      <c r="O101"/>
    </row>
    <row r="102" spans="15:15" ht="20.100000000000001" customHeight="1" x14ac:dyDescent="0.2">
      <c r="O102"/>
    </row>
    <row r="103" spans="15:15" ht="20.100000000000001" customHeight="1" x14ac:dyDescent="0.2">
      <c r="O103"/>
    </row>
    <row r="104" spans="15:15" ht="20.100000000000001" customHeight="1" x14ac:dyDescent="0.2">
      <c r="O104"/>
    </row>
    <row r="105" spans="15:15" ht="20.100000000000001" customHeight="1" x14ac:dyDescent="0.2">
      <c r="O105"/>
    </row>
    <row r="106" spans="15:15" ht="20.100000000000001" customHeight="1" x14ac:dyDescent="0.2">
      <c r="O106"/>
    </row>
    <row r="107" spans="15:15" ht="20.100000000000001" customHeight="1" x14ac:dyDescent="0.2">
      <c r="O107"/>
    </row>
    <row r="108" spans="15:15" ht="20.100000000000001" customHeight="1" x14ac:dyDescent="0.2">
      <c r="O108"/>
    </row>
    <row r="109" spans="15:15" ht="20.100000000000001" customHeight="1" x14ac:dyDescent="0.2">
      <c r="O109"/>
    </row>
    <row r="110" spans="15:15" ht="20.100000000000001" customHeight="1" x14ac:dyDescent="0.2">
      <c r="O110"/>
    </row>
    <row r="111" spans="15:15" ht="20.100000000000001" customHeight="1" x14ac:dyDescent="0.2">
      <c r="O111"/>
    </row>
    <row r="112" spans="15:15" ht="20.100000000000001" customHeight="1" x14ac:dyDescent="0.2">
      <c r="O112"/>
    </row>
    <row r="113" spans="15:15" ht="20.100000000000001" customHeight="1" x14ac:dyDescent="0.2">
      <c r="O113"/>
    </row>
    <row r="114" spans="15:15" ht="20.100000000000001" customHeight="1" x14ac:dyDescent="0.2">
      <c r="O114"/>
    </row>
    <row r="115" spans="15:15" ht="20.100000000000001" customHeight="1" x14ac:dyDescent="0.2">
      <c r="O115"/>
    </row>
    <row r="116" spans="15:15" ht="20.100000000000001" customHeight="1" x14ac:dyDescent="0.2">
      <c r="O116"/>
    </row>
    <row r="117" spans="15:15" ht="20.100000000000001" customHeight="1" x14ac:dyDescent="0.2">
      <c r="O117"/>
    </row>
    <row r="118" spans="15:15" ht="20.100000000000001" customHeight="1" x14ac:dyDescent="0.2">
      <c r="O118"/>
    </row>
    <row r="119" spans="15:15" ht="20.100000000000001" customHeight="1" x14ac:dyDescent="0.2">
      <c r="O119"/>
    </row>
    <row r="120" spans="15:15" ht="20.100000000000001" customHeight="1" x14ac:dyDescent="0.2">
      <c r="O120"/>
    </row>
    <row r="121" spans="15:15" ht="20.100000000000001" customHeight="1" x14ac:dyDescent="0.2">
      <c r="O121"/>
    </row>
    <row r="122" spans="15:15" ht="20.100000000000001" customHeight="1" x14ac:dyDescent="0.2">
      <c r="O122"/>
    </row>
    <row r="123" spans="15:15" ht="20.100000000000001" customHeight="1" x14ac:dyDescent="0.2">
      <c r="O123"/>
    </row>
    <row r="124" spans="15:15" ht="20.100000000000001" customHeight="1" x14ac:dyDescent="0.2">
      <c r="O124"/>
    </row>
    <row r="125" spans="15:15" ht="20.100000000000001" customHeight="1" x14ac:dyDescent="0.2">
      <c r="O125"/>
    </row>
    <row r="126" spans="15:15" ht="20.100000000000001" customHeight="1" x14ac:dyDescent="0.2">
      <c r="O126"/>
    </row>
    <row r="127" spans="15:15" ht="20.100000000000001" customHeight="1" x14ac:dyDescent="0.2">
      <c r="O127"/>
    </row>
    <row r="128" spans="15:15" ht="20.100000000000001" customHeight="1" x14ac:dyDescent="0.2">
      <c r="O128"/>
    </row>
    <row r="129" spans="15:15" ht="20.100000000000001" customHeight="1" x14ac:dyDescent="0.2">
      <c r="O129"/>
    </row>
    <row r="130" spans="15:15" ht="20.100000000000001" customHeight="1" x14ac:dyDescent="0.2">
      <c r="O130"/>
    </row>
    <row r="131" spans="15:15" ht="20.100000000000001" customHeight="1" x14ac:dyDescent="0.2">
      <c r="O131"/>
    </row>
    <row r="132" spans="15:15" ht="20.100000000000001" customHeight="1" x14ac:dyDescent="0.2">
      <c r="O132"/>
    </row>
    <row r="133" spans="15:15" ht="20.100000000000001" customHeight="1" x14ac:dyDescent="0.2">
      <c r="O133"/>
    </row>
    <row r="134" spans="15:15" ht="20.100000000000001" customHeight="1" x14ac:dyDescent="0.2">
      <c r="O134"/>
    </row>
    <row r="135" spans="15:15" ht="20.100000000000001" customHeight="1" x14ac:dyDescent="0.2">
      <c r="O135"/>
    </row>
    <row r="136" spans="15:15" ht="20.100000000000001" customHeight="1" x14ac:dyDescent="0.2">
      <c r="O136"/>
    </row>
    <row r="137" spans="15:15" ht="20.100000000000001" customHeight="1" x14ac:dyDescent="0.2">
      <c r="O137"/>
    </row>
    <row r="138" spans="15:15" ht="20.100000000000001" customHeight="1" x14ac:dyDescent="0.2">
      <c r="O138"/>
    </row>
    <row r="139" spans="15:15" ht="20.100000000000001" customHeight="1" x14ac:dyDescent="0.2">
      <c r="O139"/>
    </row>
    <row r="140" spans="15:15" ht="20.100000000000001" customHeight="1" x14ac:dyDescent="0.2">
      <c r="O140"/>
    </row>
    <row r="141" spans="15:15" ht="20.100000000000001" customHeight="1" x14ac:dyDescent="0.2">
      <c r="O141"/>
    </row>
    <row r="142" spans="15:15" ht="20.100000000000001" customHeight="1" x14ac:dyDescent="0.2">
      <c r="O142"/>
    </row>
    <row r="143" spans="15:15" ht="20.100000000000001" customHeight="1" x14ac:dyDescent="0.2">
      <c r="O143"/>
    </row>
    <row r="144" spans="15:15" ht="20.100000000000001" customHeight="1" x14ac:dyDescent="0.2">
      <c r="O144"/>
    </row>
    <row r="145" spans="15:15" ht="20.100000000000001" customHeight="1" x14ac:dyDescent="0.2">
      <c r="O145"/>
    </row>
    <row r="146" spans="15:15" ht="20.100000000000001" customHeight="1" x14ac:dyDescent="0.2">
      <c r="O146"/>
    </row>
    <row r="147" spans="15:15" ht="20.100000000000001" customHeight="1" x14ac:dyDescent="0.2">
      <c r="O147"/>
    </row>
    <row r="148" spans="15:15" ht="20.100000000000001" customHeight="1" x14ac:dyDescent="0.2">
      <c r="O148"/>
    </row>
    <row r="149" spans="15:15" ht="20.100000000000001" customHeight="1" x14ac:dyDescent="0.2">
      <c r="O149"/>
    </row>
    <row r="150" spans="15:15" ht="20.100000000000001" customHeight="1" x14ac:dyDescent="0.2">
      <c r="O150"/>
    </row>
    <row r="151" spans="15:15" ht="20.100000000000001" customHeight="1" x14ac:dyDescent="0.2">
      <c r="O151"/>
    </row>
    <row r="152" spans="15:15" ht="20.100000000000001" customHeight="1" x14ac:dyDescent="0.2">
      <c r="O152"/>
    </row>
    <row r="153" spans="15:15" ht="20.100000000000001" customHeight="1" x14ac:dyDescent="0.2">
      <c r="O153"/>
    </row>
    <row r="154" spans="15:15" ht="20.100000000000001" customHeight="1" x14ac:dyDescent="0.2">
      <c r="O154"/>
    </row>
    <row r="155" spans="15:15" ht="20.100000000000001" customHeight="1" x14ac:dyDescent="0.2">
      <c r="O155"/>
    </row>
    <row r="156" spans="15:15" ht="20.100000000000001" customHeight="1" x14ac:dyDescent="0.2">
      <c r="O156"/>
    </row>
    <row r="157" spans="15:15" ht="20.100000000000001" customHeight="1" x14ac:dyDescent="0.2">
      <c r="O157"/>
    </row>
    <row r="158" spans="15:15" ht="20.100000000000001" customHeight="1" x14ac:dyDescent="0.2">
      <c r="O158"/>
    </row>
    <row r="159" spans="15:15" ht="20.100000000000001" customHeight="1" x14ac:dyDescent="0.2">
      <c r="O159"/>
    </row>
    <row r="160" spans="15:15" ht="20.100000000000001" customHeight="1" x14ac:dyDescent="0.2">
      <c r="O160"/>
    </row>
    <row r="161" spans="15:15" ht="20.100000000000001" customHeight="1" x14ac:dyDescent="0.2">
      <c r="O161"/>
    </row>
    <row r="162" spans="15:15" ht="20.100000000000001" customHeight="1" x14ac:dyDescent="0.2">
      <c r="O162"/>
    </row>
    <row r="163" spans="15:15" ht="20.100000000000001" customHeight="1" x14ac:dyDescent="0.2">
      <c r="O163"/>
    </row>
    <row r="164" spans="15:15" ht="20.100000000000001" customHeight="1" x14ac:dyDescent="0.2">
      <c r="O164"/>
    </row>
    <row r="165" spans="15:15" ht="20.100000000000001" customHeight="1" x14ac:dyDescent="0.2">
      <c r="O165"/>
    </row>
    <row r="166" spans="15:15" ht="20.100000000000001" customHeight="1" x14ac:dyDescent="0.2">
      <c r="O166"/>
    </row>
    <row r="167" spans="15:15" ht="20.100000000000001" customHeight="1" x14ac:dyDescent="0.2">
      <c r="O167"/>
    </row>
    <row r="168" spans="15:15" ht="20.100000000000001" customHeight="1" x14ac:dyDescent="0.2">
      <c r="O168"/>
    </row>
    <row r="169" spans="15:15" ht="20.100000000000001" customHeight="1" x14ac:dyDescent="0.2">
      <c r="O169"/>
    </row>
    <row r="170" spans="15:15" ht="20.100000000000001" customHeight="1" x14ac:dyDescent="0.2">
      <c r="O170"/>
    </row>
    <row r="171" spans="15:15" ht="20.100000000000001" customHeight="1" x14ac:dyDescent="0.2">
      <c r="O171"/>
    </row>
    <row r="172" spans="15:15" ht="20.100000000000001" customHeight="1" x14ac:dyDescent="0.2">
      <c r="O172"/>
    </row>
    <row r="173" spans="15:15" ht="20.100000000000001" customHeight="1" x14ac:dyDescent="0.2">
      <c r="O173"/>
    </row>
    <row r="174" spans="15:15" ht="20.100000000000001" customHeight="1" x14ac:dyDescent="0.2">
      <c r="O174"/>
    </row>
    <row r="175" spans="15:15" ht="20.100000000000001" customHeight="1" x14ac:dyDescent="0.2">
      <c r="O175"/>
    </row>
    <row r="176" spans="15:15" ht="20.100000000000001" customHeight="1" x14ac:dyDescent="0.2">
      <c r="O176"/>
    </row>
    <row r="177" spans="15:15" ht="20.100000000000001" customHeight="1" x14ac:dyDescent="0.2">
      <c r="O177"/>
    </row>
    <row r="178" spans="15:15" ht="20.100000000000001" customHeight="1" x14ac:dyDescent="0.2">
      <c r="O178"/>
    </row>
    <row r="179" spans="15:15" ht="20.100000000000001" customHeight="1" x14ac:dyDescent="0.2">
      <c r="O179"/>
    </row>
    <row r="180" spans="15:15" ht="20.100000000000001" customHeight="1" x14ac:dyDescent="0.2">
      <c r="O180"/>
    </row>
    <row r="181" spans="15:15" ht="20.100000000000001" customHeight="1" x14ac:dyDescent="0.2">
      <c r="O181"/>
    </row>
    <row r="182" spans="15:15" ht="20.100000000000001" customHeight="1" x14ac:dyDescent="0.2">
      <c r="O182"/>
    </row>
    <row r="183" spans="15:15" ht="20.100000000000001" customHeight="1" x14ac:dyDescent="0.2">
      <c r="O183"/>
    </row>
    <row r="184" spans="15:15" ht="20.100000000000001" customHeight="1" x14ac:dyDescent="0.2">
      <c r="O184"/>
    </row>
    <row r="185" spans="15:15" ht="20.100000000000001" customHeight="1" x14ac:dyDescent="0.2">
      <c r="O185"/>
    </row>
    <row r="186" spans="15:15" ht="20.100000000000001" customHeight="1" x14ac:dyDescent="0.2">
      <c r="O186"/>
    </row>
    <row r="187" spans="15:15" ht="20.100000000000001" customHeight="1" x14ac:dyDescent="0.2">
      <c r="O187"/>
    </row>
    <row r="188" spans="15:15" ht="20.100000000000001" customHeight="1" x14ac:dyDescent="0.2">
      <c r="O188"/>
    </row>
    <row r="189" spans="15:15" ht="20.100000000000001" customHeight="1" x14ac:dyDescent="0.2">
      <c r="O189"/>
    </row>
    <row r="190" spans="15:15" ht="20.100000000000001" customHeight="1" x14ac:dyDescent="0.2">
      <c r="O190"/>
    </row>
    <row r="191" spans="15:15" ht="20.100000000000001" customHeight="1" x14ac:dyDescent="0.2">
      <c r="O191"/>
    </row>
    <row r="192" spans="15:15" ht="20.100000000000001" customHeight="1" x14ac:dyDescent="0.2">
      <c r="O192"/>
    </row>
    <row r="193" spans="15:15" ht="20.100000000000001" customHeight="1" x14ac:dyDescent="0.2">
      <c r="O193"/>
    </row>
    <row r="194" spans="15:15" ht="20.100000000000001" customHeight="1" x14ac:dyDescent="0.2">
      <c r="O194"/>
    </row>
    <row r="195" spans="15:15" ht="20.100000000000001" customHeight="1" x14ac:dyDescent="0.2">
      <c r="O195"/>
    </row>
    <row r="196" spans="15:15" ht="20.100000000000001" customHeight="1" x14ac:dyDescent="0.2">
      <c r="O196"/>
    </row>
    <row r="197" spans="15:15" ht="20.100000000000001" customHeight="1" x14ac:dyDescent="0.2">
      <c r="O197"/>
    </row>
    <row r="198" spans="15:15" ht="20.100000000000001" customHeight="1" x14ac:dyDescent="0.2">
      <c r="O198"/>
    </row>
    <row r="199" spans="15:15" ht="20.100000000000001" customHeight="1" x14ac:dyDescent="0.2">
      <c r="O199"/>
    </row>
    <row r="200" spans="15:15" ht="20.100000000000001" customHeight="1" x14ac:dyDescent="0.2">
      <c r="O200"/>
    </row>
    <row r="201" spans="15:15" ht="20.100000000000001" customHeight="1" x14ac:dyDescent="0.2">
      <c r="O201"/>
    </row>
    <row r="202" spans="15:15" ht="20.100000000000001" customHeight="1" x14ac:dyDescent="0.2">
      <c r="O202"/>
    </row>
    <row r="203" spans="15:15" ht="20.100000000000001" customHeight="1" x14ac:dyDescent="0.2">
      <c r="O203"/>
    </row>
    <row r="204" spans="15:15" ht="20.100000000000001" customHeight="1" x14ac:dyDescent="0.2">
      <c r="O204"/>
    </row>
    <row r="205" spans="15:15" ht="20.100000000000001" customHeight="1" x14ac:dyDescent="0.2">
      <c r="O205"/>
    </row>
    <row r="206" spans="15:15" ht="20.100000000000001" customHeight="1" x14ac:dyDescent="0.2">
      <c r="O206"/>
    </row>
    <row r="207" spans="15:15" ht="20.100000000000001" customHeight="1" x14ac:dyDescent="0.2">
      <c r="O207"/>
    </row>
    <row r="208" spans="15:15" ht="20.100000000000001" customHeight="1" x14ac:dyDescent="0.2">
      <c r="O208"/>
    </row>
    <row r="209" spans="15:15" ht="20.100000000000001" customHeight="1" x14ac:dyDescent="0.2">
      <c r="O209"/>
    </row>
    <row r="210" spans="15:15" ht="20.100000000000001" customHeight="1" x14ac:dyDescent="0.2">
      <c r="O210"/>
    </row>
    <row r="211" spans="15:15" ht="20.100000000000001" customHeight="1" x14ac:dyDescent="0.2">
      <c r="O211"/>
    </row>
    <row r="212" spans="15:15" ht="20.100000000000001" customHeight="1" x14ac:dyDescent="0.2">
      <c r="O212"/>
    </row>
    <row r="213" spans="15:15" ht="20.100000000000001" customHeight="1" x14ac:dyDescent="0.2">
      <c r="O213"/>
    </row>
    <row r="214" spans="15:15" ht="20.100000000000001" customHeight="1" x14ac:dyDescent="0.2">
      <c r="O214"/>
    </row>
    <row r="215" spans="15:15" ht="20.100000000000001" customHeight="1" x14ac:dyDescent="0.2">
      <c r="O215"/>
    </row>
    <row r="216" spans="15:15" ht="20.100000000000001" customHeight="1" x14ac:dyDescent="0.2">
      <c r="O216"/>
    </row>
    <row r="217" spans="15:15" ht="20.100000000000001" customHeight="1" x14ac:dyDescent="0.2">
      <c r="O217"/>
    </row>
    <row r="218" spans="15:15" ht="20.100000000000001" customHeight="1" x14ac:dyDescent="0.2">
      <c r="O218"/>
    </row>
    <row r="219" spans="15:15" ht="20.100000000000001" customHeight="1" x14ac:dyDescent="0.2">
      <c r="O219"/>
    </row>
    <row r="220" spans="15:15" ht="20.100000000000001" customHeight="1" x14ac:dyDescent="0.2">
      <c r="O220"/>
    </row>
    <row r="221" spans="15:15" ht="20.100000000000001" customHeight="1" x14ac:dyDescent="0.2">
      <c r="O221"/>
    </row>
    <row r="222" spans="15:15" ht="20.100000000000001" customHeight="1" x14ac:dyDescent="0.2">
      <c r="O222"/>
    </row>
    <row r="223" spans="15:15" ht="20.100000000000001" customHeight="1" x14ac:dyDescent="0.2">
      <c r="O223"/>
    </row>
    <row r="224" spans="15:15" ht="20.100000000000001" customHeight="1" x14ac:dyDescent="0.2">
      <c r="O224"/>
    </row>
    <row r="225" spans="15:15" ht="20.100000000000001" customHeight="1" x14ac:dyDescent="0.2">
      <c r="O225"/>
    </row>
    <row r="226" spans="15:15" ht="20.100000000000001" customHeight="1" x14ac:dyDescent="0.2">
      <c r="O226"/>
    </row>
    <row r="227" spans="15:15" ht="20.100000000000001" customHeight="1" x14ac:dyDescent="0.2">
      <c r="O227"/>
    </row>
    <row r="228" spans="15:15" ht="20.100000000000001" customHeight="1" x14ac:dyDescent="0.2">
      <c r="O228"/>
    </row>
    <row r="229" spans="15:15" ht="20.100000000000001" customHeight="1" x14ac:dyDescent="0.2">
      <c r="O229"/>
    </row>
    <row r="230" spans="15:15" ht="20.100000000000001" customHeight="1" x14ac:dyDescent="0.2">
      <c r="O230"/>
    </row>
    <row r="231" spans="15:15" ht="20.100000000000001" customHeight="1" x14ac:dyDescent="0.2">
      <c r="O231"/>
    </row>
    <row r="232" spans="15:15" ht="20.100000000000001" customHeight="1" x14ac:dyDescent="0.2">
      <c r="O232"/>
    </row>
    <row r="233" spans="15:15" ht="20.100000000000001" customHeight="1" x14ac:dyDescent="0.2">
      <c r="O233"/>
    </row>
    <row r="234" spans="15:15" ht="20.100000000000001" customHeight="1" x14ac:dyDescent="0.2">
      <c r="O234"/>
    </row>
    <row r="235" spans="15:15" ht="20.100000000000001" customHeight="1" x14ac:dyDescent="0.2">
      <c r="O235"/>
    </row>
    <row r="236" spans="15:15" ht="20.100000000000001" customHeight="1" x14ac:dyDescent="0.2">
      <c r="O236"/>
    </row>
    <row r="237" spans="15:15" ht="20.100000000000001" customHeight="1" x14ac:dyDescent="0.2">
      <c r="O237"/>
    </row>
    <row r="238" spans="15:15" ht="20.100000000000001" customHeight="1" x14ac:dyDescent="0.2">
      <c r="O238"/>
    </row>
    <row r="239" spans="15:15" ht="20.100000000000001" customHeight="1" x14ac:dyDescent="0.2">
      <c r="O239"/>
    </row>
    <row r="240" spans="15:15" ht="20.100000000000001" customHeight="1" x14ac:dyDescent="0.2">
      <c r="O240"/>
    </row>
    <row r="241" spans="15:15" ht="20.100000000000001" customHeight="1" x14ac:dyDescent="0.2">
      <c r="O241"/>
    </row>
    <row r="242" spans="15:15" ht="20.100000000000001" customHeight="1" x14ac:dyDescent="0.2">
      <c r="O242"/>
    </row>
    <row r="243" spans="15:15" ht="20.100000000000001" customHeight="1" x14ac:dyDescent="0.2">
      <c r="O243"/>
    </row>
    <row r="244" spans="15:15" ht="20.100000000000001" customHeight="1" x14ac:dyDescent="0.2">
      <c r="O244"/>
    </row>
    <row r="245" spans="15:15" ht="20.100000000000001" customHeight="1" x14ac:dyDescent="0.2">
      <c r="O245"/>
    </row>
    <row r="246" spans="15:15" ht="20.100000000000001" customHeight="1" x14ac:dyDescent="0.2">
      <c r="O246"/>
    </row>
    <row r="247" spans="15:15" ht="20.100000000000001" customHeight="1" x14ac:dyDescent="0.2">
      <c r="O247"/>
    </row>
    <row r="248" spans="15:15" ht="20.100000000000001" customHeight="1" x14ac:dyDescent="0.2">
      <c r="O248"/>
    </row>
    <row r="249" spans="15:15" ht="20.100000000000001" customHeight="1" x14ac:dyDescent="0.2">
      <c r="O249"/>
    </row>
    <row r="250" spans="15:15" ht="20.100000000000001" customHeight="1" x14ac:dyDescent="0.2">
      <c r="O250"/>
    </row>
    <row r="251" spans="15:15" ht="20.100000000000001" customHeight="1" x14ac:dyDescent="0.2">
      <c r="O251"/>
    </row>
    <row r="252" spans="15:15" ht="20.100000000000001" customHeight="1" x14ac:dyDescent="0.2">
      <c r="O252"/>
    </row>
    <row r="253" spans="15:15" ht="20.100000000000001" customHeight="1" x14ac:dyDescent="0.2">
      <c r="O253"/>
    </row>
    <row r="254" spans="15:15" ht="20.100000000000001" customHeight="1" x14ac:dyDescent="0.2">
      <c r="O254"/>
    </row>
    <row r="255" spans="15:15" ht="20.100000000000001" customHeight="1" x14ac:dyDescent="0.2">
      <c r="O255"/>
    </row>
    <row r="256" spans="15:15" ht="20.100000000000001" customHeight="1" x14ac:dyDescent="0.2">
      <c r="O256"/>
    </row>
    <row r="257" spans="15:15" ht="20.100000000000001" customHeight="1" x14ac:dyDescent="0.2">
      <c r="O257"/>
    </row>
    <row r="258" spans="15:15" ht="20.100000000000001" customHeight="1" x14ac:dyDescent="0.2">
      <c r="O258"/>
    </row>
    <row r="259" spans="15:15" ht="20.100000000000001" customHeight="1" x14ac:dyDescent="0.2">
      <c r="O259"/>
    </row>
    <row r="260" spans="15:15" ht="20.100000000000001" customHeight="1" x14ac:dyDescent="0.2">
      <c r="O260"/>
    </row>
    <row r="261" spans="15:15" ht="20.100000000000001" customHeight="1" x14ac:dyDescent="0.2">
      <c r="O261"/>
    </row>
    <row r="262" spans="15:15" ht="20.100000000000001" customHeight="1" x14ac:dyDescent="0.2">
      <c r="O262"/>
    </row>
    <row r="263" spans="15:15" ht="20.100000000000001" customHeight="1" x14ac:dyDescent="0.2">
      <c r="O263"/>
    </row>
    <row r="264" spans="15:15" ht="20.100000000000001" customHeight="1" x14ac:dyDescent="0.2">
      <c r="O264"/>
    </row>
    <row r="265" spans="15:15" ht="20.100000000000001" customHeight="1" x14ac:dyDescent="0.2">
      <c r="O265"/>
    </row>
    <row r="266" spans="15:15" ht="20.100000000000001" customHeight="1" x14ac:dyDescent="0.2">
      <c r="O266"/>
    </row>
    <row r="267" spans="15:15" ht="20.100000000000001" customHeight="1" x14ac:dyDescent="0.2">
      <c r="O267"/>
    </row>
    <row r="268" spans="15:15" ht="20.100000000000001" customHeight="1" x14ac:dyDescent="0.2">
      <c r="O268"/>
    </row>
    <row r="269" spans="15:15" ht="20.100000000000001" customHeight="1" x14ac:dyDescent="0.2">
      <c r="O269"/>
    </row>
    <row r="270" spans="15:15" ht="20.100000000000001" customHeight="1" x14ac:dyDescent="0.2">
      <c r="O270"/>
    </row>
    <row r="271" spans="15:15" ht="20.100000000000001" customHeight="1" x14ac:dyDescent="0.2">
      <c r="O271"/>
    </row>
    <row r="272" spans="15:15" ht="20.100000000000001" customHeight="1" x14ac:dyDescent="0.2">
      <c r="O272"/>
    </row>
    <row r="273" spans="15:15" ht="20.100000000000001" customHeight="1" x14ac:dyDescent="0.2">
      <c r="O273"/>
    </row>
    <row r="274" spans="15:15" ht="20.100000000000001" customHeight="1" x14ac:dyDescent="0.2">
      <c r="O274"/>
    </row>
    <row r="275" spans="15:15" ht="20.100000000000001" customHeight="1" x14ac:dyDescent="0.2">
      <c r="O275"/>
    </row>
    <row r="276" spans="15:15" ht="20.100000000000001" customHeight="1" x14ac:dyDescent="0.2">
      <c r="O276"/>
    </row>
    <row r="277" spans="15:15" ht="20.100000000000001" customHeight="1" x14ac:dyDescent="0.2">
      <c r="O277"/>
    </row>
    <row r="278" spans="15:15" ht="20.100000000000001" customHeight="1" x14ac:dyDescent="0.2">
      <c r="O278"/>
    </row>
    <row r="279" spans="15:15" ht="20.100000000000001" customHeight="1" x14ac:dyDescent="0.2">
      <c r="O279"/>
    </row>
    <row r="280" spans="15:15" ht="20.100000000000001" customHeight="1" x14ac:dyDescent="0.2">
      <c r="O280"/>
    </row>
    <row r="281" spans="15:15" ht="20.100000000000001" customHeight="1" x14ac:dyDescent="0.2">
      <c r="O281"/>
    </row>
  </sheetData>
  <dataValidations count="1">
    <dataValidation type="list" allowBlank="1" showInputMessage="1" showErrorMessage="1" sqref="E3 C3">
      <formula1>"TRUE, FALSE"</formula1>
    </dataValidation>
  </dataValidations>
  <pageMargins left="0.75" right="0.75" top="1" bottom="1" header="0.5" footer="0.5"/>
  <pageSetup scale="1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2:Y281"/>
  <sheetViews>
    <sheetView showGridLines="0" tabSelected="1" workbookViewId="0">
      <selection activeCell="D2" sqref="D2"/>
    </sheetView>
  </sheetViews>
  <sheetFormatPr defaultColWidth="15.85546875" defaultRowHeight="20.100000000000001" customHeight="1" x14ac:dyDescent="0.2"/>
  <cols>
    <col min="1" max="1" width="3.85546875" style="5" customWidth="1"/>
    <col min="2" max="13" width="15.85546875" style="5"/>
    <col min="14" max="14" width="3.85546875" style="5" customWidth="1"/>
    <col min="15" max="16384" width="15.85546875" style="5"/>
  </cols>
  <sheetData>
    <row r="2" spans="1:25" ht="20.100000000000001" customHeight="1" x14ac:dyDescent="0.2">
      <c r="G2" s="40"/>
    </row>
    <row r="3" spans="1:25" ht="20.100000000000001" customHeight="1" x14ac:dyDescent="0.2">
      <c r="B3" s="64" t="s">
        <v>56</v>
      </c>
      <c r="C3" s="4" t="b">
        <v>1</v>
      </c>
      <c r="D3" s="63" t="s">
        <v>41</v>
      </c>
      <c r="E3" s="35" t="b">
        <v>0</v>
      </c>
    </row>
    <row r="4" spans="1:25" ht="20.100000000000001" customHeight="1" x14ac:dyDescent="0.2">
      <c r="B4" s="63" t="s">
        <v>57</v>
      </c>
      <c r="C4" s="65" t="s">
        <v>54</v>
      </c>
      <c r="D4" s="62" t="s">
        <v>42</v>
      </c>
      <c r="E4" s="6">
        <f ca="1">IF($C$3=FALSE,"-",MIN(OFFSET(INDIRECT($C$4&amp;"!$B$1"),1,0,$C$5,1)))</f>
        <v>41407</v>
      </c>
    </row>
    <row r="5" spans="1:25" ht="20.100000000000001" customHeight="1" x14ac:dyDescent="0.2">
      <c r="B5" s="63" t="s">
        <v>40</v>
      </c>
      <c r="C5" s="38">
        <f ca="1">IF($C$3=FALSE,"-",COUNTA(INDIRECT($C$4&amp;"!A:A"))-1)</f>
        <v>230</v>
      </c>
      <c r="D5" s="62" t="s">
        <v>43</v>
      </c>
      <c r="E5" s="6">
        <f ca="1">IF($C$3=FALSE,"-",MAX(OFFSET(INDIRECT($C$4&amp;"!$B$1"),1,0,$C$5,1)))</f>
        <v>41520</v>
      </c>
    </row>
    <row r="6" spans="1:25" ht="20.100000000000001" customHeight="1" x14ac:dyDescent="0.2">
      <c r="H6" s="7"/>
    </row>
    <row r="7" spans="1:25" ht="20.100000000000001" customHeight="1" x14ac:dyDescent="0.2">
      <c r="B7" s="39" t="str">
        <f>IF($C$3=FALSE,"-",$C$4)</f>
        <v>GFS</v>
      </c>
      <c r="C7" s="11" t="s">
        <v>44</v>
      </c>
      <c r="D7" s="11"/>
      <c r="E7" s="11"/>
      <c r="F7" s="52" t="s">
        <v>45</v>
      </c>
      <c r="G7" s="53"/>
      <c r="H7" s="55" t="s">
        <v>46</v>
      </c>
      <c r="I7" s="56"/>
      <c r="J7" s="56"/>
      <c r="K7" s="53"/>
      <c r="L7" s="13"/>
      <c r="O7" s="39" t="str">
        <f>IF($C$3=FALSE,"-",$C$4)</f>
        <v>GFS</v>
      </c>
      <c r="P7" s="11" t="s">
        <v>44</v>
      </c>
      <c r="Q7" s="11"/>
      <c r="R7" s="11"/>
      <c r="S7" s="52" t="s">
        <v>45</v>
      </c>
      <c r="T7" s="53"/>
      <c r="U7" s="55" t="s">
        <v>46</v>
      </c>
      <c r="V7" s="56"/>
      <c r="W7" s="56"/>
      <c r="X7" s="53"/>
      <c r="Y7" s="13"/>
    </row>
    <row r="8" spans="1:25" ht="20.100000000000001" customHeight="1" x14ac:dyDescent="0.2">
      <c r="B8" s="45" t="str">
        <f ca="1">IF($C$3=FALSE,"-",IF($E$3=FALSE,TEXT(MIN(OFFSET(INDIRECT($C$4&amp;"!$B$1"),1,0,$C$5,1)),"dd-mmm-yy")&amp;" to "&amp;TEXT(MAX(OFFSET(INDIRECT($C$4&amp;"!$B$1"),1,0,$C$5,1)),"dd-mmm-yy"),TEXT($E$4,"dd-mmm-yy")&amp;" to "&amp;TEXT($E$5,"dd-mmm-yy")))</f>
        <v>13-May-13 to 03-Sep-13</v>
      </c>
      <c r="C8" s="3" t="s">
        <v>47</v>
      </c>
      <c r="D8" s="3" t="s">
        <v>3</v>
      </c>
      <c r="E8" s="3" t="s">
        <v>4</v>
      </c>
      <c r="F8" s="51" t="s">
        <v>48</v>
      </c>
      <c r="G8" s="51" t="s">
        <v>49</v>
      </c>
      <c r="H8" s="51" t="s">
        <v>48</v>
      </c>
      <c r="I8" s="51" t="s">
        <v>49</v>
      </c>
      <c r="J8" s="54" t="s">
        <v>50</v>
      </c>
      <c r="K8" s="51" t="s">
        <v>51</v>
      </c>
      <c r="L8" s="16" t="s">
        <v>52</v>
      </c>
      <c r="O8" s="45" t="str">
        <f ca="1">IF($C$3=FALSE,"-",IF($E$3=FALSE,TEXT(MIN(OFFSET(INDIRECT($C$4&amp;"!$B$1"),1,0,$C$5,1)),"dd-mmm-yy")&amp;" to "&amp;TEXT(MAX(OFFSET(INDIRECT($C$4&amp;"!$B$1"),1,0,$C$5,1)),"dd-mmm-yy"),TEXT($E$4,"dd-mmm-yy")&amp;" to "&amp;TEXT($E$5,"dd-mmm-yy")))</f>
        <v>13-May-13 to 03-Sep-13</v>
      </c>
      <c r="P8" s="3" t="s">
        <v>47</v>
      </c>
      <c r="Q8" s="3" t="s">
        <v>3</v>
      </c>
      <c r="R8" s="3" t="s">
        <v>4</v>
      </c>
      <c r="S8" s="51" t="s">
        <v>48</v>
      </c>
      <c r="T8" s="51" t="s">
        <v>49</v>
      </c>
      <c r="U8" s="51" t="s">
        <v>48</v>
      </c>
      <c r="V8" s="51" t="s">
        <v>49</v>
      </c>
      <c r="W8" s="54" t="s">
        <v>50</v>
      </c>
      <c r="X8" s="51" t="s">
        <v>51</v>
      </c>
      <c r="Y8" s="16" t="s">
        <v>52</v>
      </c>
    </row>
    <row r="9" spans="1:25" ht="20.100000000000001" customHeight="1" x14ac:dyDescent="0.2">
      <c r="B9" s="46" t="s">
        <v>1</v>
      </c>
      <c r="C9" s="47">
        <f ca="1">IF($C$3=FALSE,"-",SUM(OFFSET(C$14,1,0,A13,1)))</f>
        <v>230</v>
      </c>
      <c r="D9" s="47">
        <f ca="1">IF($C$3=FALSE,"-",SUM(OFFSET(D$14,1,0,A13,1)))</f>
        <v>2147.6999999999998</v>
      </c>
      <c r="E9" s="48">
        <f ca="1">IF($C$3=FALSE,"-",SUM(OFFSET(E$14,1,0,A13,1)))</f>
        <v>3</v>
      </c>
      <c r="F9" s="49">
        <f ca="1">IF($C$3=FALSE,"-",IF(D9=0,0,G9/D9))</f>
        <v>31.294640778507244</v>
      </c>
      <c r="G9" s="50">
        <f ca="1">IF($C$3=FALSE,"-",SUM(OFFSET(G$14,1,0,A13,1)))</f>
        <v>67211.5</v>
      </c>
      <c r="H9" s="49">
        <f ca="1">IF($C$3=FALSE,"-",IF(D9=0,0,I9/D9))</f>
        <v>32.741083484658006</v>
      </c>
      <c r="I9" s="50">
        <f ca="1">IF($C$3=FALSE,"-",SUM(OFFSET(I$14,1,0,A13,1)))</f>
        <v>70318.024999999994</v>
      </c>
      <c r="J9" s="50">
        <f ca="1">IF($C$3=FALSE,"-",SUM(OFFSET(J$14,1,0,A13,1)))</f>
        <v>3106.5250000000037</v>
      </c>
      <c r="K9" s="49">
        <f ca="1">IF($C$3=FALSE,"-",IF(D9=0,0,J9/D9))</f>
        <v>1.4464427061507679</v>
      </c>
      <c r="L9" s="67">
        <f ca="1">IF($C$3=FALSE,"-",SUM(OFFSET(L$14,1,0,A13,1)))</f>
        <v>-8.8817841970012523E-16</v>
      </c>
      <c r="O9" s="46" t="s">
        <v>1</v>
      </c>
      <c r="P9" s="47">
        <f ca="1">IF($C$3=FALSE,"-",SUM(OFFSET(P$14,1,0,N13,1)))</f>
        <v>230</v>
      </c>
      <c r="Q9" s="47">
        <f ca="1">IF($C$3=FALSE,"-",SUM(OFFSET(Q$14,1,0,N13,1)))</f>
        <v>2147.6999999999998</v>
      </c>
      <c r="R9" s="48">
        <f ca="1">IF($C$3=FALSE,"-",SUM(OFFSET(R$14,1,0,N13,1)))</f>
        <v>3</v>
      </c>
      <c r="S9" s="49">
        <f ca="1">IF($C$3=FALSE,"-",IF(Q9=0,0,T9/Q9))</f>
        <v>31.294640778507244</v>
      </c>
      <c r="T9" s="50">
        <f ca="1">IF($C$3=FALSE,"-",SUM(OFFSET(T$14,1,0,N13,1)))</f>
        <v>67211.5</v>
      </c>
      <c r="U9" s="49">
        <f ca="1">IF($C$3=FALSE,"-",IF(Q9=0,0,V9/Q9))</f>
        <v>32.741083484658006</v>
      </c>
      <c r="V9" s="50">
        <f ca="1">IF($C$3=FALSE,"-",SUM(OFFSET(V$14,1,0,N13,1)))</f>
        <v>70318.024999999994</v>
      </c>
      <c r="W9" s="50">
        <f ca="1">IF($C$3=FALSE,"-",SUM(OFFSET(W$14,1,0,N13,1)))</f>
        <v>3106.5249999999978</v>
      </c>
      <c r="X9" s="49">
        <f ca="1">IF($C$3=FALSE,"-",IF(Q9=0,0,W9/Q9))</f>
        <v>1.446442706150765</v>
      </c>
      <c r="Y9" s="67">
        <f ca="1">IF($C$3=FALSE,"-",SUM(OFFSET(Y$14,1,0,N13,1)))</f>
        <v>2.55351295663786E-15</v>
      </c>
    </row>
    <row r="10" spans="1:25" s="8" customFormat="1" ht="20.100000000000001" customHeight="1" x14ac:dyDescent="0.2">
      <c r="B10" s="57"/>
      <c r="C10" s="66">
        <f t="array" aca="1" ref="C10" ca="1">IF($C$3=FALSE,"-",SUM(IF($E$3=FALSE,C$5,(OFFSET(INDIRECT($C$4&amp;"!$B$1"),1,0,$C$5,1)&gt;=$E$4)*(OFFSET(INDIRECT($C$4&amp;"!$B$1"),1,0,$C$5,1)&lt;=$E$5)))-$C$9)</f>
        <v>0</v>
      </c>
      <c r="D10" s="66">
        <f t="array" aca="1" ref="D10" ca="1">IF($C$3=FALSE,"-",SUM((OFFSET(INDIRECT($C$4&amp;"!$C$1"),1,0,$C$5,1))*IF($E$3=FALSE,1,(OFFSET(INDIRECT($C$4&amp;"!$B$1"),1,0,$C$5,1)&gt;=$E$4)*(OFFSET(INDIRECT($C$4&amp;"!$B$1"),1,0,$C$5,1)&lt;=$E$5)))-D9)</f>
        <v>0</v>
      </c>
      <c r="E10" s="66">
        <f t="array" aca="1" ref="E10" ca="1">IF($C$3=FALSE,"-",SUM((OFFSET(INDIRECT($C$4&amp;"!$D$1"),1,0,$C$5,1))*IF($E$3=FALSE,1,(OFFSET(INDIRECT($C$4&amp;"!$B$1"),1,0,$C$5,1)&gt;=$E$4)*(OFFSET(INDIRECT($C$4&amp;"!$B$1"),1,0,$C$5,1)&lt;=$E$5)))-E9)</f>
        <v>0</v>
      </c>
      <c r="F10" s="59"/>
      <c r="G10" s="58">
        <f t="array" aca="1" ref="G10" ca="1">IF($C$3=FALSE,"-",SUM((OFFSET(INDIRECT($C$4&amp;"!$C$1"),1,0,$C$5,1)+OFFSET(INDIRECT($C$4&amp;"!$D$1"),1,0,$C$5,1))*OFFSET(INDIRECT($C$4&amp;"!$E$1"),1,0,$C$5,1)*IF($E$3=FALSE,1,(OFFSET(INDIRECT($C$4&amp;"!$B$1"),1,0,$C$5,1)&gt;=$E$4)*(OFFSET(INDIRECT($C$4&amp;"!$B$1"),1,0,$C$5,1)&lt;=$E$5)))-G9)</f>
        <v>0</v>
      </c>
      <c r="H10" s="59"/>
      <c r="I10" s="58">
        <f t="array" aca="1" ref="I10" ca="1">IF($C$3=FALSE,"-",SUM(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-I9)</f>
        <v>4.3655745685100555E-11</v>
      </c>
      <c r="J10" s="58">
        <f ca="1">IF($C$3=FALSE,"-",I9-G9-J9)</f>
        <v>-9.5496943686157465E-12</v>
      </c>
      <c r="K10" s="59"/>
      <c r="L10" s="60"/>
      <c r="O10" s="57"/>
      <c r="P10" s="66">
        <f ca="1">IF($C$3=FALSE,"-",SUM(IF($E$3=FALSE,C$5,(OFFSET(INDIRECT($C$4&amp;"!$B$1"),1,0,$C$5,1)&gt;=$E$4)*(OFFSET(INDIRECT($C$4&amp;"!$B$1"),1,0,$C$5,1)&lt;=$E$5)))-$P$9)</f>
        <v>0</v>
      </c>
      <c r="Q10" s="66">
        <f t="array" aca="1" ref="Q10" ca="1">IF($C$3=FALSE,"-",SUM((OFFSET(INDIRECT($C$4&amp;"!$C$1"),1,0,$C$5,1))*IF($E$3=FALSE,1,(OFFSET(INDIRECT($C$4&amp;"!$B$1"),1,0,$C$5,1)&gt;=$E$4)*(OFFSET(INDIRECT($C$4&amp;"!$B$1"),1,0,$C$5,1)&lt;=$E$5)))-Q9)</f>
        <v>0</v>
      </c>
      <c r="R10" s="66">
        <f t="array" aca="1" ref="R10" ca="1">IF($C$3=FALSE,"-",SUM((OFFSET(INDIRECT($C$4&amp;"!$D$1"),1,0,$C$5,1))*IF($E$3=FALSE,1,(OFFSET(INDIRECT($C$4&amp;"!$B$1"),1,0,$C$5,1)&gt;=$E$4)*(OFFSET(INDIRECT($C$4&amp;"!$B$1"),1,0,$C$5,1)&lt;=$E$5)))-R9)</f>
        <v>0</v>
      </c>
      <c r="S10" s="59"/>
      <c r="T10" s="58">
        <f t="array" aca="1" ref="T10" ca="1">IF($C$3=FALSE,"-",SUM((OFFSET(INDIRECT($C$4&amp;"!$C$1"),1,0,$C$5,1)+OFFSET(INDIRECT($C$4&amp;"!$D$1"),1,0,$C$5,1))*OFFSET(INDIRECT($C$4&amp;"!$E$1"),1,0,$C$5,1)*IF($E$3=FALSE,1,(OFFSET(INDIRECT($C$4&amp;"!$B$1"),1,0,$C$5,1)&gt;=$E$4)*(OFFSET(INDIRECT($C$4&amp;"!$B$1"),1,0,$C$5,1)&lt;=$E$5)))-T9)</f>
        <v>0</v>
      </c>
      <c r="U10" s="59"/>
      <c r="V10" s="58">
        <f t="array" aca="1" ref="V10" ca="1">IF($C$3=FALSE,"-",SUM(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-V9)</f>
        <v>4.3655745685100555E-11</v>
      </c>
      <c r="W10" s="58">
        <f ca="1">IF($C$3=FALSE,"-",V9-T9-W9)</f>
        <v>-3.637978807091713E-12</v>
      </c>
      <c r="X10" s="59"/>
      <c r="Y10" s="60"/>
    </row>
    <row r="12" spans="1:25" ht="20.100000000000001" customHeight="1" x14ac:dyDescent="0.2">
      <c r="B12" s="9" t="str">
        <f>IF($C$3=FALSE,"-",B7)</f>
        <v>GFS</v>
      </c>
      <c r="C12" s="10" t="str">
        <f>IF($C$3=FALSE,"-",C7)</f>
        <v>Construction Hours</v>
      </c>
      <c r="D12" s="11"/>
      <c r="E12" s="12"/>
      <c r="F12" s="10" t="str">
        <f>IF($C$3=FALSE,"-",F7)</f>
        <v>Total Costs Excluding Markup</v>
      </c>
      <c r="G12" s="12"/>
      <c r="H12" s="10" t="str">
        <f>IF($C$3=FALSE,"-",H7)</f>
        <v>Total Costs Including Markup</v>
      </c>
      <c r="I12" s="11"/>
      <c r="J12" s="11"/>
      <c r="K12" s="12"/>
      <c r="L12" s="13"/>
      <c r="O12" s="9" t="str">
        <f>IF($C$3=FALSE,"-",O7)</f>
        <v>GFS</v>
      </c>
      <c r="P12" s="10" t="str">
        <f>IF($C$3=FALSE,"-",P7)</f>
        <v>Construction Hours</v>
      </c>
      <c r="Q12" s="11"/>
      <c r="R12" s="12"/>
      <c r="S12" s="10" t="str">
        <f>IF($C$3=FALSE,"-",S7)</f>
        <v>Total Costs Excluding Markup</v>
      </c>
      <c r="T12" s="12"/>
      <c r="U12" s="10" t="str">
        <f>IF($C$3=FALSE,"-",U7)</f>
        <v>Total Costs Including Markup</v>
      </c>
      <c r="V12" s="11"/>
      <c r="W12" s="11"/>
      <c r="X12" s="12"/>
      <c r="Y12" s="13"/>
    </row>
    <row r="13" spans="1:25" ht="20.100000000000001" customHeight="1" x14ac:dyDescent="0.2">
      <c r="A13" s="61">
        <f>IF($C$3=FALSE,"-",COUNTA(B$15:B$997))</f>
        <v>19</v>
      </c>
      <c r="B13" s="37" t="str">
        <f ca="1">IF($C$3=FALSE,"-",B8)</f>
        <v>13-May-13 to 03-Sep-13</v>
      </c>
      <c r="C13" s="14" t="str">
        <f>IF($C$3=FALSE,"-",C8)</f>
        <v>No. Invoices</v>
      </c>
      <c r="D13" s="3" t="str">
        <f>IF($C$3=FALSE,"-",D8)</f>
        <v>Hours</v>
      </c>
      <c r="E13" s="15" t="str">
        <f>IF($C$3=FALSE,"-",E8)</f>
        <v>Travel</v>
      </c>
      <c r="F13" s="14" t="str">
        <f>IF($C$3=FALSE,"-",F8)</f>
        <v>Avg. Rate</v>
      </c>
      <c r="G13" s="15" t="str">
        <f>IF($C$3=FALSE,"-",G8)</f>
        <v>Total Costs</v>
      </c>
      <c r="H13" s="14" t="str">
        <f>IF($C$3=FALSE,"-",H8)</f>
        <v>Avg. Rate</v>
      </c>
      <c r="I13" s="3" t="str">
        <f>IF($C$3=FALSE,"-",I8)</f>
        <v>Total Costs</v>
      </c>
      <c r="J13" s="16" t="str">
        <f>IF($C$3=FALSE,"-",J8)</f>
        <v>$ Markup</v>
      </c>
      <c r="K13" s="15" t="str">
        <f>IF($C$3=FALSE,"-",K8)</f>
        <v>$ Markup per hour</v>
      </c>
      <c r="L13" s="16" t="str">
        <f>IF($C$3=FALSE,"-",L8)</f>
        <v>Check</v>
      </c>
      <c r="N13" s="61">
        <f>IF($C$3=FALSE,"-",COUNTA(O$15:O$997)+1)</f>
        <v>13</v>
      </c>
      <c r="O13" s="37" t="str">
        <f ca="1">IF($C$3=FALSE,"-",O8)</f>
        <v>13-May-13 to 03-Sep-13</v>
      </c>
      <c r="P13" s="14" t="str">
        <f>IF($C$3=FALSE,"-",P8)</f>
        <v>No. Invoices</v>
      </c>
      <c r="Q13" s="3" t="str">
        <f>IF($C$3=FALSE,"-",Q8)</f>
        <v>Hours</v>
      </c>
      <c r="R13" s="15" t="str">
        <f>IF($C$3=FALSE,"-",R8)</f>
        <v>Travel</v>
      </c>
      <c r="S13" s="14" t="str">
        <f>IF($C$3=FALSE,"-",S8)</f>
        <v>Avg. Rate</v>
      </c>
      <c r="T13" s="15" t="str">
        <f>IF($C$3=FALSE,"-",T8)</f>
        <v>Total Costs</v>
      </c>
      <c r="U13" s="14" t="str">
        <f>IF($C$3=FALSE,"-",U8)</f>
        <v>Avg. Rate</v>
      </c>
      <c r="V13" s="3" t="str">
        <f>IF($C$3=FALSE,"-",V8)</f>
        <v>Total Costs</v>
      </c>
      <c r="W13" s="16" t="str">
        <f>IF($C$3=FALSE,"-",W8)</f>
        <v>$ Markup</v>
      </c>
      <c r="X13" s="15" t="str">
        <f>IF($C$3=FALSE,"-",X8)</f>
        <v>$ Markup per hour</v>
      </c>
      <c r="Y13" s="16" t="str">
        <f>IF($C$3=FALSE,"-",Y8)</f>
        <v>Check</v>
      </c>
    </row>
    <row r="14" spans="1:25" ht="20.100000000000001" customHeight="1" x14ac:dyDescent="0.2">
      <c r="C14" s="20"/>
      <c r="D14" s="21"/>
      <c r="E14" s="33"/>
      <c r="F14" s="19"/>
      <c r="G14" s="18"/>
      <c r="H14" s="19"/>
      <c r="I14" s="17"/>
      <c r="J14" s="17"/>
      <c r="K14" s="18"/>
      <c r="P14" s="20"/>
      <c r="Q14" s="21"/>
      <c r="R14" s="33"/>
      <c r="S14" s="19"/>
      <c r="T14" s="18"/>
      <c r="U14" s="19"/>
      <c r="V14" s="17"/>
      <c r="W14" s="17"/>
      <c r="X14" s="18"/>
    </row>
    <row r="15" spans="1:25" ht="20.100000000000001" customHeight="1" x14ac:dyDescent="0.2">
      <c r="A15" s="22"/>
      <c r="B15" s="23" t="s">
        <v>9</v>
      </c>
      <c r="C15" s="24">
        <f t="array" aca="1" ref="C15" ca="1">IF($C$3=FALSE,"-",SUM((OFFSET(INDIRECT($C$4&amp;"!$A$1"),1,0,$C$5,1)=B15)*IF($E$3=FALSE,1,(OFFSET(INDIRECT($C$4&amp;"!$B$1"),1,0,$C$5,1)&gt;=$E$4)*(OFFSET(INDIRECT($C$4&amp;"!$B$1"),1,0,$C$5,1)&lt;=$E$5))))</f>
        <v>29</v>
      </c>
      <c r="D15" s="25">
        <f t="array" aca="1" ref="D15" ca="1">IF($C$3=FALSE,"-",SUM((OFFSET(INDIRECT($C$4&amp;"!$A$1"),1,0,$C$5,1)=B15)*OFFSET(INDIRECT($C$4&amp;"!$C$1"),1,0,$C$5,1)*IF($E$3=FALSE,1,(OFFSET(INDIRECT($C$4&amp;"!$B$1"),1,0,$C$5,1)&gt;=$E$4)*(OFFSET(INDIRECT($C$4&amp;"!$B$1"),1,0,$C$5,1)&lt;=$E$5))))</f>
        <v>219.5</v>
      </c>
      <c r="E15" s="34">
        <f t="array" aca="1" ref="E15" ca="1">IF($C$3=FALSE,"-",SUM((OFFSET(INDIRECT($C$4&amp;"!$A$1"),1,0,$C$5,1)=B15)*OFFSET(INDIRECT($C$4&amp;"!$D$1"),1,0,$C$5,1)*IF($E$3=FALSE,1,(OFFSET(INDIRECT($C$4&amp;"!$B$1"),1,0,$C$5,1)&gt;=$E$4)*(OFFSET(INDIRECT($C$4&amp;"!$B$1"),1,0,$C$5,1)&lt;=$E$5))))</f>
        <v>2</v>
      </c>
      <c r="F15" s="26">
        <f t="shared" ref="F15:F33" ca="1" si="0">IF($C$3=FALSE,"-",IF(D15+E15=0,0,G15/(D15+E15)))</f>
        <v>35</v>
      </c>
      <c r="G15" s="27">
        <f t="array" aca="1" ref="G15" ca="1">IF($C$3=FALSE,"-",SUM((OFFSET(INDIRECT($C$4&amp;"!$A$1"),1,0,$C$5,1)=B15)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7752.5</v>
      </c>
      <c r="H15" s="28">
        <f t="shared" ref="H15:H33" ca="1" si="1">IF($C$3=FALSE,"-",IF(D15+E15=0,0,I15/(D15+E15)))</f>
        <v>35.659706546275395</v>
      </c>
      <c r="I15" s="29">
        <f t="array" aca="1" ref="I15" ca="1">IF($C$3=FALSE,"-",SUM((OFFSET(INDIRECT($C$4&amp;"!$A$1"),1,0,$C$5,1)=B15)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7898.625</v>
      </c>
      <c r="J15" s="30">
        <f t="shared" ref="J15:J33" ca="1" si="2">IF($C$3=FALSE,"-",I15-G15)</f>
        <v>146.125</v>
      </c>
      <c r="K15" s="31">
        <f t="shared" ref="K15:K33" ca="1" si="3">IF($C$3=FALSE,"-",IF(D15+E15=0,0,J15/(D15+E15)))</f>
        <v>0.65970654627539504</v>
      </c>
      <c r="L15" s="32">
        <f t="shared" ref="L15:L33" ca="1" si="4">IF($C$3=FALSE,"-",(H15-F15)-K15)</f>
        <v>-4.4408920985006262E-16</v>
      </c>
      <c r="O15" s="23" t="s">
        <v>10</v>
      </c>
      <c r="P15" s="24">
        <f t="array" aca="1" ref="P15" ca="1">IF($C$3=FALSE,"-",SUM((OFFSET(INDIRECT($C$4&amp;"!$H$1"),1,0,$C$5,1)=O15)*IF($E$3=FALSE,1,(OFFSET(INDIRECT($C$4&amp;"!$B$1"),1,0,$C$5,1)&gt;=$E$4)*(OFFSET(INDIRECT($C$4&amp;"!$B$1"),1,0,$C$5,1)&lt;=$E$5))))</f>
        <v>25</v>
      </c>
      <c r="Q15" s="25">
        <f t="array" aca="1" ref="Q15" ca="1">IF($C$3=FALSE,"-",SUM((OFFSET(INDIRECT($C$4&amp;"!$H$1"),1,0,$C$5,1)=O15)*OFFSET(INDIRECT($C$4&amp;"!$C$1"),1,0,$C$5,1)*IF($E$3=FALSE,1,(OFFSET(INDIRECT($C$4&amp;"!$B$1"),1,0,$C$5,1)&gt;=$E$4)*(OFFSET(INDIRECT($C$4&amp;"!$B$1"),1,0,$C$5,1)&lt;=$E$5))))</f>
        <v>160.75</v>
      </c>
      <c r="R15" s="34">
        <f t="array" aca="1" ref="R15" ca="1">IF($C$3=FALSE,"-",SUM((OFFSET(INDIRECT($C$4&amp;"!$H$1"),1,0,$C$5,1)=O15)*OFFSET(INDIRECT($C$4&amp;"!$D$1"),1,0,$C$5,1)*IF($E$3=FALSE,1,(OFFSET(INDIRECT($C$4&amp;"!$B$1"),1,0,$C$5,1)&gt;=$E$4)*(OFFSET(INDIRECT($C$4&amp;"!$B$1"),1,0,$C$5,1)&lt;=$E$5))))</f>
        <v>1</v>
      </c>
      <c r="S15" s="26">
        <f t="shared" ref="S15:S27" ca="1" si="5">IF($C$3=FALSE,"-",IF(Q15+R15=0,0,T15/(Q15+R15)))</f>
        <v>30.440494590417309</v>
      </c>
      <c r="T15" s="27">
        <f t="array" aca="1" ref="T15" ca="1">IF($C$3=FALSE,"-",SUM((OFFSET(INDIRECT($C$4&amp;"!$H$1"),1,0,$C$5,1)=O15)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4923.75</v>
      </c>
      <c r="U15" s="28">
        <f t="shared" ref="U15:U27" ca="1" si="6">IF($C$3=FALSE,"-",IF(Q15+R15=0,0,V15/(Q15+R15)))</f>
        <v>31.775115919629059</v>
      </c>
      <c r="V15" s="29">
        <f t="array" aca="1" ref="V15" ca="1">IF($C$3=FALSE,"-",SUM((OFFSET(INDIRECT($C$4&amp;"!$H$1"),1,0,$C$5,1)=O15)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5139.625</v>
      </c>
      <c r="W15" s="30">
        <f t="shared" ref="W15:W27" ca="1" si="7">IF($C$3=FALSE,"-",V15-T15)</f>
        <v>215.875</v>
      </c>
      <c r="X15" s="31">
        <f t="shared" ref="X15:X27" ca="1" si="8">IF($C$3=FALSE,"-",IF(Q15+R15=0,0,W15/(Q15+R15)))</f>
        <v>1.3346213292117466</v>
      </c>
      <c r="Y15" s="32">
        <f t="shared" ref="Y15:Y27" ca="1" si="9">IF($C$3=FALSE,"-",(U15-S15)-X15)</f>
        <v>3.1086244689504383E-15</v>
      </c>
    </row>
    <row r="16" spans="1:25" ht="20.100000000000001" customHeight="1" x14ac:dyDescent="0.2">
      <c r="B16" s="23" t="s">
        <v>11</v>
      </c>
      <c r="C16" s="24">
        <f t="array" aca="1" ref="C16" ca="1">IF($C$3=FALSE,"-",SUM((OFFSET(INDIRECT($C$4&amp;"!$A$1"),1,0,$C$5,1)=B16)*IF($E$3=FALSE,1,(OFFSET(INDIRECT($C$4&amp;"!$B$1"),1,0,$C$5,1)&gt;=$E$4)*(OFFSET(INDIRECT($C$4&amp;"!$B$1"),1,0,$C$5,1)&lt;=$E$5))))</f>
        <v>34</v>
      </c>
      <c r="D16" s="25">
        <f t="array" aca="1" ref="D16" ca="1">IF($C$3=FALSE,"-",SUM((OFFSET(INDIRECT($C$4&amp;"!$A$1"),1,0,$C$5,1)=B16)*OFFSET(INDIRECT($C$4&amp;"!$C$1"),1,0,$C$5,1)*IF($E$3=FALSE,1,(OFFSET(INDIRECT($C$4&amp;"!$B$1"),1,0,$C$5,1)&gt;=$E$4)*(OFFSET(INDIRECT($C$4&amp;"!$B$1"),1,0,$C$5,1)&lt;=$E$5))))</f>
        <v>290.5</v>
      </c>
      <c r="E16" s="34">
        <f t="array" aca="1" ref="E16" ca="1">IF($C$3=FALSE,"-",SUM((OFFSET(INDIRECT($C$4&amp;"!$A$1"),1,0,$C$5,1)=B16)*OFFSET(INDIRECT($C$4&amp;"!$D$1"),1,0,$C$5,1)*IF($E$3=FALSE,1,(OFFSET(INDIRECT($C$4&amp;"!$B$1"),1,0,$C$5,1)&gt;=$E$4)*(OFFSET(INDIRECT($C$4&amp;"!$B$1"),1,0,$C$5,1)&lt;=$E$5))))</f>
        <v>0</v>
      </c>
      <c r="F16" s="26">
        <f t="shared" ca="1" si="0"/>
        <v>25</v>
      </c>
      <c r="G16" s="27">
        <f t="array" aca="1" ref="G16" ca="1">IF($C$3=FALSE,"-",SUM((OFFSET(INDIRECT($C$4&amp;"!$A$1"),1,0,$C$5,1)=B16)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7262.5</v>
      </c>
      <c r="H16" s="28">
        <f t="shared" ca="1" si="1"/>
        <v>27.5</v>
      </c>
      <c r="I16" s="29">
        <f t="array" aca="1" ref="I16" ca="1">IF($C$3=FALSE,"-",SUM((OFFSET(INDIRECT($C$4&amp;"!$A$1"),1,0,$C$5,1)=B16)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7988.75</v>
      </c>
      <c r="J16" s="30">
        <f t="shared" ca="1" si="2"/>
        <v>726.25</v>
      </c>
      <c r="K16" s="31">
        <f t="shared" ca="1" si="3"/>
        <v>2.5</v>
      </c>
      <c r="L16" s="32">
        <f t="shared" ca="1" si="4"/>
        <v>0</v>
      </c>
      <c r="O16" s="23" t="s">
        <v>15</v>
      </c>
      <c r="P16" s="24">
        <f t="array" aca="1" ref="P16" ca="1">IF($C$3=FALSE,"-",SUM((OFFSET(INDIRECT($C$4&amp;"!$H$1"),1,0,$C$5,1)=O16)*IF($E$3=FALSE,1,(OFFSET(INDIRECT($C$4&amp;"!$B$1"),1,0,$C$5,1)&gt;=$E$4)*(OFFSET(INDIRECT($C$4&amp;"!$B$1"),1,0,$C$5,1)&lt;=$E$5))))</f>
        <v>83</v>
      </c>
      <c r="Q16" s="25">
        <f t="array" aca="1" ref="Q16" ca="1">IF($C$3=FALSE,"-",SUM((OFFSET(INDIRECT($C$4&amp;"!$H$1"),1,0,$C$5,1)=O16)*OFFSET(INDIRECT($C$4&amp;"!$C$1"),1,0,$C$5,1)*IF($E$3=FALSE,1,(OFFSET(INDIRECT($C$4&amp;"!$B$1"),1,0,$C$5,1)&gt;=$E$4)*(OFFSET(INDIRECT($C$4&amp;"!$B$1"),1,0,$C$5,1)&lt;=$E$5))))</f>
        <v>733.95</v>
      </c>
      <c r="R16" s="34">
        <f t="array" aca="1" ref="R16" ca="1">IF($C$3=FALSE,"-",SUM((OFFSET(INDIRECT($C$4&amp;"!$H$1"),1,0,$C$5,1)=O16)*OFFSET(INDIRECT($C$4&amp;"!$D$1"),1,0,$C$5,1)*IF($E$3=FALSE,1,(OFFSET(INDIRECT($C$4&amp;"!$B$1"),1,0,$C$5,1)&gt;=$E$4)*(OFFSET(INDIRECT($C$4&amp;"!$B$1"),1,0,$C$5,1)&lt;=$E$5))))</f>
        <v>2</v>
      </c>
      <c r="S16" s="26">
        <f t="shared" ca="1" si="5"/>
        <v>32.936340784020651</v>
      </c>
      <c r="T16" s="27">
        <f t="array" aca="1" ref="T16" ca="1">IF($C$3=FALSE,"-",SUM((OFFSET(INDIRECT($C$4&amp;"!$H$1"),1,0,$C$5,1)=O16)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24239.5</v>
      </c>
      <c r="U16" s="28">
        <f t="shared" ca="1" si="6"/>
        <v>34.158502615666819</v>
      </c>
      <c r="V16" s="29">
        <f t="array" aca="1" ref="V16" ca="1">IF($C$3=FALSE,"-",SUM((OFFSET(INDIRECT($C$4&amp;"!$H$1"),1,0,$C$5,1)=O16)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25138.949999999997</v>
      </c>
      <c r="W16" s="30">
        <f t="shared" ca="1" si="7"/>
        <v>899.44999999999709</v>
      </c>
      <c r="X16" s="31">
        <f t="shared" ca="1" si="8"/>
        <v>1.2221618316461675</v>
      </c>
      <c r="Y16" s="32">
        <f t="shared" ca="1" si="9"/>
        <v>1.1102230246251565E-15</v>
      </c>
    </row>
    <row r="17" spans="2:25" ht="20.100000000000001" customHeight="1" x14ac:dyDescent="0.2">
      <c r="B17" s="23" t="s">
        <v>12</v>
      </c>
      <c r="C17" s="24">
        <f t="array" aca="1" ref="C17" ca="1">IF($C$3=FALSE,"-",SUM((OFFSET(INDIRECT($C$4&amp;"!$A$1"),1,0,$C$5,1)=B17)*IF($E$3=FALSE,1,(OFFSET(INDIRECT($C$4&amp;"!$B$1"),1,0,$C$5,1)&gt;=$E$4)*(OFFSET(INDIRECT($C$4&amp;"!$B$1"),1,0,$C$5,1)&lt;=$E$5))))</f>
        <v>22</v>
      </c>
      <c r="D17" s="25">
        <f t="array" aca="1" ref="D17" ca="1">IF($C$3=FALSE,"-",SUM((OFFSET(INDIRECT($C$4&amp;"!$A$1"),1,0,$C$5,1)=B17)*OFFSET(INDIRECT($C$4&amp;"!$C$1"),1,0,$C$5,1)*IF($E$3=FALSE,1,(OFFSET(INDIRECT($C$4&amp;"!$B$1"),1,0,$C$5,1)&gt;=$E$4)*(OFFSET(INDIRECT($C$4&amp;"!$B$1"),1,0,$C$5,1)&lt;=$E$5))))</f>
        <v>206.25</v>
      </c>
      <c r="E17" s="34">
        <f t="array" aca="1" ref="E17" ca="1">IF($C$3=FALSE,"-",SUM((OFFSET(INDIRECT($C$4&amp;"!$A$1"),1,0,$C$5,1)=B17)*OFFSET(INDIRECT($C$4&amp;"!$D$1"),1,0,$C$5,1)*IF($E$3=FALSE,1,(OFFSET(INDIRECT($C$4&amp;"!$B$1"),1,0,$C$5,1)&gt;=$E$4)*(OFFSET(INDIRECT($C$4&amp;"!$B$1"),1,0,$C$5,1)&lt;=$E$5))))</f>
        <v>0</v>
      </c>
      <c r="F17" s="26">
        <f t="shared" ca="1" si="0"/>
        <v>22</v>
      </c>
      <c r="G17" s="27">
        <f t="array" aca="1" ref="G17" ca="1">IF($C$3=FALSE,"-",SUM((OFFSET(INDIRECT($C$4&amp;"!$A$1"),1,0,$C$5,1)=B17)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4537.5</v>
      </c>
      <c r="H17" s="28">
        <f t="shared" ca="1" si="1"/>
        <v>24.200000000000003</v>
      </c>
      <c r="I17" s="29">
        <f t="array" aca="1" ref="I17" ca="1">IF($C$3=FALSE,"-",SUM((OFFSET(INDIRECT($C$4&amp;"!$A$1"),1,0,$C$5,1)=B17)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4991.2500000000009</v>
      </c>
      <c r="J17" s="30">
        <f t="shared" ca="1" si="2"/>
        <v>453.75000000000091</v>
      </c>
      <c r="K17" s="31">
        <f t="shared" ca="1" si="3"/>
        <v>2.2000000000000046</v>
      </c>
      <c r="L17" s="32">
        <f t="shared" ca="1" si="4"/>
        <v>-1.7763568394002505E-15</v>
      </c>
      <c r="O17" s="23" t="s">
        <v>16</v>
      </c>
      <c r="P17" s="24">
        <f t="array" aca="1" ref="P17" ca="1">IF($C$3=FALSE,"-",SUM((OFFSET(INDIRECT($C$4&amp;"!$H$1"),1,0,$C$5,1)=O17)*IF($E$3=FALSE,1,(OFFSET(INDIRECT($C$4&amp;"!$B$1"),1,0,$C$5,1)&gt;=$E$4)*(OFFSET(INDIRECT($C$4&amp;"!$B$1"),1,0,$C$5,1)&lt;=$E$5))))</f>
        <v>2</v>
      </c>
      <c r="Q17" s="25">
        <f t="array" aca="1" ref="Q17" ca="1">IF($C$3=FALSE,"-",SUM((OFFSET(INDIRECT($C$4&amp;"!$H$1"),1,0,$C$5,1)=O17)*OFFSET(INDIRECT($C$4&amp;"!$C$1"),1,0,$C$5,1)*IF($E$3=FALSE,1,(OFFSET(INDIRECT($C$4&amp;"!$B$1"),1,0,$C$5,1)&gt;=$E$4)*(OFFSET(INDIRECT($C$4&amp;"!$B$1"),1,0,$C$5,1)&lt;=$E$5))))</f>
        <v>6</v>
      </c>
      <c r="R17" s="34">
        <f t="array" aca="1" ref="R17" ca="1">IF($C$3=FALSE,"-",SUM((OFFSET(INDIRECT($C$4&amp;"!$H$1"),1,0,$C$5,1)=O17)*OFFSET(INDIRECT($C$4&amp;"!$D$1"),1,0,$C$5,1)*IF($E$3=FALSE,1,(OFFSET(INDIRECT($C$4&amp;"!$B$1"),1,0,$C$5,1)&gt;=$E$4)*(OFFSET(INDIRECT($C$4&amp;"!$B$1"),1,0,$C$5,1)&lt;=$E$5))))</f>
        <v>0</v>
      </c>
      <c r="S17" s="26">
        <f t="shared" ca="1" si="5"/>
        <v>29</v>
      </c>
      <c r="T17" s="27">
        <f t="array" aca="1" ref="T17" ca="1">IF($C$3=FALSE,"-",SUM((OFFSET(INDIRECT($C$4&amp;"!$H$1"),1,0,$C$5,1)=O17)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174</v>
      </c>
      <c r="U17" s="28">
        <f t="shared" ca="1" si="6"/>
        <v>30.150000000000002</v>
      </c>
      <c r="V17" s="29">
        <f t="array" aca="1" ref="V17" ca="1">IF($C$3=FALSE,"-",SUM((OFFSET(INDIRECT($C$4&amp;"!$H$1"),1,0,$C$5,1)=O17)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180.9</v>
      </c>
      <c r="W17" s="30">
        <f t="shared" ca="1" si="7"/>
        <v>6.9000000000000057</v>
      </c>
      <c r="X17" s="31">
        <f t="shared" ca="1" si="8"/>
        <v>1.150000000000001</v>
      </c>
      <c r="Y17" s="32">
        <f t="shared" ca="1" si="9"/>
        <v>1.1102230246251565E-15</v>
      </c>
    </row>
    <row r="18" spans="2:25" ht="20.100000000000001" customHeight="1" x14ac:dyDescent="0.2">
      <c r="B18" s="23" t="s">
        <v>13</v>
      </c>
      <c r="C18" s="24">
        <f t="array" aca="1" ref="C18" ca="1">IF($C$3=FALSE,"-",SUM((OFFSET(INDIRECT($C$4&amp;"!$A$1"),1,0,$C$5,1)=B18)*IF($E$3=FALSE,1,(OFFSET(INDIRECT($C$4&amp;"!$B$1"),1,0,$C$5,1)&gt;=$E$4)*(OFFSET(INDIRECT($C$4&amp;"!$B$1"),1,0,$C$5,1)&lt;=$E$5))))</f>
        <v>13</v>
      </c>
      <c r="D18" s="25">
        <f t="array" aca="1" ref="D18" ca="1">IF($C$3=FALSE,"-",SUM((OFFSET(INDIRECT($C$4&amp;"!$A$1"),1,0,$C$5,1)=B18)*OFFSET(INDIRECT($C$4&amp;"!$C$1"),1,0,$C$5,1)*IF($E$3=FALSE,1,(OFFSET(INDIRECT($C$4&amp;"!$B$1"),1,0,$C$5,1)&gt;=$E$4)*(OFFSET(INDIRECT($C$4&amp;"!$B$1"),1,0,$C$5,1)&lt;=$E$5))))</f>
        <v>112.5</v>
      </c>
      <c r="E18" s="34">
        <f t="array" aca="1" ref="E18" ca="1">IF($C$3=FALSE,"-",SUM((OFFSET(INDIRECT($C$4&amp;"!$A$1"),1,0,$C$5,1)=B18)*OFFSET(INDIRECT($C$4&amp;"!$D$1"),1,0,$C$5,1)*IF($E$3=FALSE,1,(OFFSET(INDIRECT($C$4&amp;"!$B$1"),1,0,$C$5,1)&gt;=$E$4)*(OFFSET(INDIRECT($C$4&amp;"!$B$1"),1,0,$C$5,1)&lt;=$E$5))))</f>
        <v>1</v>
      </c>
      <c r="F18" s="26">
        <f t="shared" ca="1" si="0"/>
        <v>42</v>
      </c>
      <c r="G18" s="27">
        <f t="array" aca="1" ref="G18" ca="1">IF($C$3=FALSE,"-",SUM((OFFSET(INDIRECT($C$4&amp;"!$A$1"),1,0,$C$5,1)=B18)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4767</v>
      </c>
      <c r="H18" s="28">
        <f t="shared" ca="1" si="1"/>
        <v>46.200000000000017</v>
      </c>
      <c r="I18" s="29">
        <f t="array" aca="1" ref="I18" ca="1">IF($C$3=FALSE,"-",SUM((OFFSET(INDIRECT($C$4&amp;"!$A$1"),1,0,$C$5,1)=B18)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5243.7000000000016</v>
      </c>
      <c r="J18" s="30">
        <f t="shared" ca="1" si="2"/>
        <v>476.70000000000164</v>
      </c>
      <c r="K18" s="31">
        <f t="shared" ca="1" si="3"/>
        <v>4.2000000000000144</v>
      </c>
      <c r="L18" s="32">
        <f t="shared" ca="1" si="4"/>
        <v>2.6645352591003757E-15</v>
      </c>
      <c r="O18" s="23" t="s">
        <v>17</v>
      </c>
      <c r="P18" s="24">
        <f t="array" aca="1" ref="P18" ca="1">IF($C$3=FALSE,"-",SUM((OFFSET(INDIRECT($C$4&amp;"!$H$1"),1,0,$C$5,1)=O18)*IF($E$3=FALSE,1,(OFFSET(INDIRECT($C$4&amp;"!$B$1"),1,0,$C$5,1)&gt;=$E$4)*(OFFSET(INDIRECT($C$4&amp;"!$B$1"),1,0,$C$5,1)&lt;=$E$5))))</f>
        <v>1</v>
      </c>
      <c r="Q18" s="25">
        <f t="array" aca="1" ref="Q18" ca="1">IF($C$3=FALSE,"-",SUM((OFFSET(INDIRECT($C$4&amp;"!$H$1"),1,0,$C$5,1)=O18)*OFFSET(INDIRECT($C$4&amp;"!$C$1"),1,0,$C$5,1)*IF($E$3=FALSE,1,(OFFSET(INDIRECT($C$4&amp;"!$B$1"),1,0,$C$5,1)&gt;=$E$4)*(OFFSET(INDIRECT($C$4&amp;"!$B$1"),1,0,$C$5,1)&lt;=$E$5))))</f>
        <v>9.5</v>
      </c>
      <c r="R18" s="34">
        <f t="array" aca="1" ref="R18" ca="1">IF($C$3=FALSE,"-",SUM((OFFSET(INDIRECT($C$4&amp;"!$H$1"),1,0,$C$5,1)=O18)*OFFSET(INDIRECT($C$4&amp;"!$D$1"),1,0,$C$5,1)*IF($E$3=FALSE,1,(OFFSET(INDIRECT($C$4&amp;"!$B$1"),1,0,$C$5,1)&gt;=$E$4)*(OFFSET(INDIRECT($C$4&amp;"!$B$1"),1,0,$C$5,1)&lt;=$E$5))))</f>
        <v>0</v>
      </c>
      <c r="S18" s="26">
        <f t="shared" ca="1" si="5"/>
        <v>35</v>
      </c>
      <c r="T18" s="27">
        <f t="array" aca="1" ref="T18" ca="1">IF($C$3=FALSE,"-",SUM((OFFSET(INDIRECT($C$4&amp;"!$H$1"),1,0,$C$5,1)=O18)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332.5</v>
      </c>
      <c r="U18" s="28">
        <f t="shared" ca="1" si="6"/>
        <v>35</v>
      </c>
      <c r="V18" s="29">
        <f t="array" aca="1" ref="V18" ca="1">IF($C$3=FALSE,"-",SUM((OFFSET(INDIRECT($C$4&amp;"!$H$1"),1,0,$C$5,1)=O18)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332.5</v>
      </c>
      <c r="W18" s="30">
        <f t="shared" ca="1" si="7"/>
        <v>0</v>
      </c>
      <c r="X18" s="31">
        <f t="shared" ca="1" si="8"/>
        <v>0</v>
      </c>
      <c r="Y18" s="32">
        <f t="shared" ca="1" si="9"/>
        <v>0</v>
      </c>
    </row>
    <row r="19" spans="2:25" ht="20.100000000000001" customHeight="1" x14ac:dyDescent="0.2">
      <c r="B19" s="23" t="s">
        <v>14</v>
      </c>
      <c r="C19" s="24">
        <f t="array" aca="1" ref="C19" ca="1">IF($C$3=FALSE,"-",SUM((OFFSET(INDIRECT($C$4&amp;"!$A$1"),1,0,$C$5,1)=B19)*IF($E$3=FALSE,1,(OFFSET(INDIRECT($C$4&amp;"!$B$1"),1,0,$C$5,1)&gt;=$E$4)*(OFFSET(INDIRECT($C$4&amp;"!$B$1"),1,0,$C$5,1)&lt;=$E$5))))</f>
        <v>23</v>
      </c>
      <c r="D19" s="25">
        <f t="array" aca="1" ref="D19" ca="1">IF($C$3=FALSE,"-",SUM((OFFSET(INDIRECT($C$4&amp;"!$A$1"),1,0,$C$5,1)=B19)*OFFSET(INDIRECT($C$4&amp;"!$C$1"),1,0,$C$5,1)*IF($E$3=FALSE,1,(OFFSET(INDIRECT($C$4&amp;"!$B$1"),1,0,$C$5,1)&gt;=$E$4)*(OFFSET(INDIRECT($C$4&amp;"!$B$1"),1,0,$C$5,1)&lt;=$E$5))))</f>
        <v>182</v>
      </c>
      <c r="E19" s="34">
        <f t="array" aca="1" ref="E19" ca="1">IF($C$3=FALSE,"-",SUM((OFFSET(INDIRECT($C$4&amp;"!$A$1"),1,0,$C$5,1)=B19)*OFFSET(INDIRECT($C$4&amp;"!$D$1"),1,0,$C$5,1)*IF($E$3=FALSE,1,(OFFSET(INDIRECT($C$4&amp;"!$B$1"),1,0,$C$5,1)&gt;=$E$4)*(OFFSET(INDIRECT($C$4&amp;"!$B$1"),1,0,$C$5,1)&lt;=$E$5))))</f>
        <v>0</v>
      </c>
      <c r="F19" s="26">
        <f t="shared" ca="1" si="0"/>
        <v>23</v>
      </c>
      <c r="G19" s="27">
        <f t="array" aca="1" ref="G19" ca="1">IF($C$3=FALSE,"-",SUM((OFFSET(INDIRECT($C$4&amp;"!$A$1"),1,0,$C$5,1)=B19)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4186</v>
      </c>
      <c r="H19" s="28">
        <f t="shared" ca="1" si="1"/>
        <v>25.3</v>
      </c>
      <c r="I19" s="29">
        <f t="array" aca="1" ref="I19" ca="1">IF($C$3=FALSE,"-",SUM((OFFSET(INDIRECT($C$4&amp;"!$A$1"),1,0,$C$5,1)=B19)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4604.6000000000004</v>
      </c>
      <c r="J19" s="30">
        <f t="shared" ca="1" si="2"/>
        <v>418.60000000000036</v>
      </c>
      <c r="K19" s="31">
        <f t="shared" ca="1" si="3"/>
        <v>2.300000000000002</v>
      </c>
      <c r="L19" s="32">
        <f t="shared" ca="1" si="4"/>
        <v>-1.3322676295501878E-15</v>
      </c>
      <c r="O19" s="23" t="s">
        <v>21</v>
      </c>
      <c r="P19" s="24">
        <f t="array" aca="1" ref="P19" ca="1">IF($C$3=FALSE,"-",SUM((OFFSET(INDIRECT($C$4&amp;"!$H$1"),1,0,$C$5,1)=O19)*IF($E$3=FALSE,1,(OFFSET(INDIRECT($C$4&amp;"!$B$1"),1,0,$C$5,1)&gt;=$E$4)*(OFFSET(INDIRECT($C$4&amp;"!$B$1"),1,0,$C$5,1)&lt;=$E$5))))</f>
        <v>2</v>
      </c>
      <c r="Q19" s="25">
        <f t="array" aca="1" ref="Q19" ca="1">IF($C$3=FALSE,"-",SUM((OFFSET(INDIRECT($C$4&amp;"!$H$1"),1,0,$C$5,1)=O19)*OFFSET(INDIRECT($C$4&amp;"!$C$1"),1,0,$C$5,1)*IF($E$3=FALSE,1,(OFFSET(INDIRECT($C$4&amp;"!$B$1"),1,0,$C$5,1)&gt;=$E$4)*(OFFSET(INDIRECT($C$4&amp;"!$B$1"),1,0,$C$5,1)&lt;=$E$5))))</f>
        <v>11</v>
      </c>
      <c r="R19" s="34">
        <f t="array" aca="1" ref="R19" ca="1">IF($C$3=FALSE,"-",SUM((OFFSET(INDIRECT($C$4&amp;"!$H$1"),1,0,$C$5,1)=O19)*OFFSET(INDIRECT($C$4&amp;"!$D$1"),1,0,$C$5,1)*IF($E$3=FALSE,1,(OFFSET(INDIRECT($C$4&amp;"!$B$1"),1,0,$C$5,1)&gt;=$E$4)*(OFFSET(INDIRECT($C$4&amp;"!$B$1"),1,0,$C$5,1)&lt;=$E$5))))</f>
        <v>0</v>
      </c>
      <c r="S19" s="26">
        <f t="shared" ca="1" si="5"/>
        <v>42.5</v>
      </c>
      <c r="T19" s="27">
        <f t="array" aca="1" ref="T19" ca="1">IF($C$3=FALSE,"-",SUM((OFFSET(INDIRECT($C$4&amp;"!$H$1"),1,0,$C$5,1)=O19)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467.5</v>
      </c>
      <c r="U19" s="28">
        <f t="shared" ca="1" si="6"/>
        <v>42.5</v>
      </c>
      <c r="V19" s="29">
        <f t="array" aca="1" ref="V19" ca="1">IF($C$3=FALSE,"-",SUM((OFFSET(INDIRECT($C$4&amp;"!$H$1"),1,0,$C$5,1)=O19)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467.5</v>
      </c>
      <c r="W19" s="30">
        <f t="shared" ca="1" si="7"/>
        <v>0</v>
      </c>
      <c r="X19" s="31">
        <f t="shared" ca="1" si="8"/>
        <v>0</v>
      </c>
      <c r="Y19" s="32">
        <f t="shared" ca="1" si="9"/>
        <v>0</v>
      </c>
    </row>
    <row r="20" spans="2:25" ht="20.100000000000001" customHeight="1" x14ac:dyDescent="0.2">
      <c r="B20" s="23" t="s">
        <v>18</v>
      </c>
      <c r="C20" s="24">
        <f t="array" aca="1" ref="C20" ca="1">IF($C$3=FALSE,"-",SUM((OFFSET(INDIRECT($C$4&amp;"!$A$1"),1,0,$C$5,1)=B20)*IF($E$3=FALSE,1,(OFFSET(INDIRECT($C$4&amp;"!$B$1"),1,0,$C$5,1)&gt;=$E$4)*(OFFSET(INDIRECT($C$4&amp;"!$B$1"),1,0,$C$5,1)&lt;=$E$5))))</f>
        <v>9</v>
      </c>
      <c r="D20" s="25">
        <f t="array" aca="1" ref="D20" ca="1">IF($C$3=FALSE,"-",SUM((OFFSET(INDIRECT($C$4&amp;"!$A$1"),1,0,$C$5,1)=B20)*OFFSET(INDIRECT($C$4&amp;"!$C$1"),1,0,$C$5,1)*IF($E$3=FALSE,1,(OFFSET(INDIRECT($C$4&amp;"!$B$1"),1,0,$C$5,1)&gt;=$E$4)*(OFFSET(INDIRECT($C$4&amp;"!$B$1"),1,0,$C$5,1)&lt;=$E$5))))</f>
        <v>80.2</v>
      </c>
      <c r="E20" s="34">
        <f t="array" aca="1" ref="E20" ca="1">IF($C$3=FALSE,"-",SUM((OFFSET(INDIRECT($C$4&amp;"!$A$1"),1,0,$C$5,1)=B20)*OFFSET(INDIRECT($C$4&amp;"!$D$1"),1,0,$C$5,1)*IF($E$3=FALSE,1,(OFFSET(INDIRECT($C$4&amp;"!$B$1"),1,0,$C$5,1)&gt;=$E$4)*(OFFSET(INDIRECT($C$4&amp;"!$B$1"),1,0,$C$5,1)&lt;=$E$5))))</f>
        <v>0</v>
      </c>
      <c r="F20" s="26">
        <f t="shared" ca="1" si="0"/>
        <v>50</v>
      </c>
      <c r="G20" s="27">
        <f t="array" aca="1" ref="G20" ca="1">IF($C$3=FALSE,"-",SUM((OFFSET(INDIRECT($C$4&amp;"!$A$1"),1,0,$C$5,1)=B20)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4010</v>
      </c>
      <c r="H20" s="28">
        <f t="shared" ca="1" si="1"/>
        <v>50</v>
      </c>
      <c r="I20" s="29">
        <f t="array" aca="1" ref="I20" ca="1">IF($C$3=FALSE,"-",SUM((OFFSET(INDIRECT($C$4&amp;"!$A$1"),1,0,$C$5,1)=B20)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4010</v>
      </c>
      <c r="J20" s="30">
        <f t="shared" ca="1" si="2"/>
        <v>0</v>
      </c>
      <c r="K20" s="31">
        <f t="shared" ca="1" si="3"/>
        <v>0</v>
      </c>
      <c r="L20" s="32">
        <f t="shared" ca="1" si="4"/>
        <v>0</v>
      </c>
      <c r="O20" s="23" t="s">
        <v>25</v>
      </c>
      <c r="P20" s="24">
        <f t="array" aca="1" ref="P20" ca="1">IF($C$3=FALSE,"-",SUM((OFFSET(INDIRECT($C$4&amp;"!$H$1"),1,0,$C$5,1)=O20)*IF($E$3=FALSE,1,(OFFSET(INDIRECT($C$4&amp;"!$B$1"),1,0,$C$5,1)&gt;=$E$4)*(OFFSET(INDIRECT($C$4&amp;"!$B$1"),1,0,$C$5,1)&lt;=$E$5))))</f>
        <v>1</v>
      </c>
      <c r="Q20" s="25">
        <f t="array" aca="1" ref="Q20" ca="1">IF($C$3=FALSE,"-",SUM((OFFSET(INDIRECT($C$4&amp;"!$H$1"),1,0,$C$5,1)=O20)*OFFSET(INDIRECT($C$4&amp;"!$C$1"),1,0,$C$5,1)*IF($E$3=FALSE,1,(OFFSET(INDIRECT($C$4&amp;"!$B$1"),1,0,$C$5,1)&gt;=$E$4)*(OFFSET(INDIRECT($C$4&amp;"!$B$1"),1,0,$C$5,1)&lt;=$E$5))))</f>
        <v>11.5</v>
      </c>
      <c r="R20" s="34">
        <f t="array" aca="1" ref="R20" ca="1">IF($C$3=FALSE,"-",SUM((OFFSET(INDIRECT($C$4&amp;"!$H$1"),1,0,$C$5,1)=O20)*OFFSET(INDIRECT($C$4&amp;"!$D$1"),1,0,$C$5,1)*IF($E$3=FALSE,1,(OFFSET(INDIRECT($C$4&amp;"!$B$1"),1,0,$C$5,1)&gt;=$E$4)*(OFFSET(INDIRECT($C$4&amp;"!$B$1"),1,0,$C$5,1)&lt;=$E$5))))</f>
        <v>0</v>
      </c>
      <c r="S20" s="26">
        <f t="shared" ca="1" si="5"/>
        <v>25</v>
      </c>
      <c r="T20" s="27">
        <f t="array" aca="1" ref="T20" ca="1">IF($C$3=FALSE,"-",SUM((OFFSET(INDIRECT($C$4&amp;"!$H$1"),1,0,$C$5,1)=O20)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287.5</v>
      </c>
      <c r="U20" s="28">
        <f t="shared" ca="1" si="6"/>
        <v>27.5</v>
      </c>
      <c r="V20" s="29">
        <f t="array" aca="1" ref="V20" ca="1">IF($C$3=FALSE,"-",SUM((OFFSET(INDIRECT($C$4&amp;"!$H$1"),1,0,$C$5,1)=O20)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316.25</v>
      </c>
      <c r="W20" s="30">
        <f t="shared" ca="1" si="7"/>
        <v>28.75</v>
      </c>
      <c r="X20" s="31">
        <f t="shared" ca="1" si="8"/>
        <v>2.5</v>
      </c>
      <c r="Y20" s="32">
        <f t="shared" ca="1" si="9"/>
        <v>0</v>
      </c>
    </row>
    <row r="21" spans="2:25" ht="20.100000000000001" customHeight="1" x14ac:dyDescent="0.2">
      <c r="B21" s="23" t="s">
        <v>19</v>
      </c>
      <c r="C21" s="24">
        <f t="array" aca="1" ref="C21" ca="1">IF($C$3=FALSE,"-",SUM((OFFSET(INDIRECT($C$4&amp;"!$A$1"),1,0,$C$5,1)=B21)*IF($E$3=FALSE,1,(OFFSET(INDIRECT($C$4&amp;"!$B$1"),1,0,$C$5,1)&gt;=$E$4)*(OFFSET(INDIRECT($C$4&amp;"!$B$1"),1,0,$C$5,1)&lt;=$E$5))))</f>
        <v>8</v>
      </c>
      <c r="D21" s="25">
        <f t="array" aca="1" ref="D21" ca="1">IF($C$3=FALSE,"-",SUM((OFFSET(INDIRECT($C$4&amp;"!$A$1"),1,0,$C$5,1)=B21)*OFFSET(INDIRECT($C$4&amp;"!$C$1"),1,0,$C$5,1)*IF($E$3=FALSE,1,(OFFSET(INDIRECT($C$4&amp;"!$B$1"),1,0,$C$5,1)&gt;=$E$4)*(OFFSET(INDIRECT($C$4&amp;"!$B$1"),1,0,$C$5,1)&lt;=$E$5))))</f>
        <v>60.75</v>
      </c>
      <c r="E21" s="34">
        <f t="array" aca="1" ref="E21" ca="1">IF($C$3=FALSE,"-",SUM((OFFSET(INDIRECT($C$4&amp;"!$A$1"),1,0,$C$5,1)=B21)*OFFSET(INDIRECT($C$4&amp;"!$D$1"),1,0,$C$5,1)*IF($E$3=FALSE,1,(OFFSET(INDIRECT($C$4&amp;"!$B$1"),1,0,$C$5,1)&gt;=$E$4)*(OFFSET(INDIRECT($C$4&amp;"!$B$1"),1,0,$C$5,1)&lt;=$E$5))))</f>
        <v>0</v>
      </c>
      <c r="F21" s="26">
        <f t="shared" ca="1" si="0"/>
        <v>50</v>
      </c>
      <c r="G21" s="27">
        <f t="array" aca="1" ref="G21" ca="1">IF($C$3=FALSE,"-",SUM((OFFSET(INDIRECT($C$4&amp;"!$A$1"),1,0,$C$5,1)=B21)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3037.5</v>
      </c>
      <c r="H21" s="28">
        <f t="shared" ca="1" si="1"/>
        <v>50</v>
      </c>
      <c r="I21" s="29">
        <f t="array" aca="1" ref="I21" ca="1">IF($C$3=FALSE,"-",SUM((OFFSET(INDIRECT($C$4&amp;"!$A$1"),1,0,$C$5,1)=B21)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3037.5</v>
      </c>
      <c r="J21" s="30">
        <f t="shared" ca="1" si="2"/>
        <v>0</v>
      </c>
      <c r="K21" s="31">
        <f t="shared" ca="1" si="3"/>
        <v>0</v>
      </c>
      <c r="L21" s="32">
        <f t="shared" ca="1" si="4"/>
        <v>0</v>
      </c>
      <c r="O21" s="23" t="s">
        <v>29</v>
      </c>
      <c r="P21" s="24">
        <f t="array" aca="1" ref="P21" ca="1">IF($C$3=FALSE,"-",SUM((OFFSET(INDIRECT($C$4&amp;"!$H$1"),1,0,$C$5,1)=O21)*IF($E$3=FALSE,1,(OFFSET(INDIRECT($C$4&amp;"!$B$1"),1,0,$C$5,1)&gt;=$E$4)*(OFFSET(INDIRECT($C$4&amp;"!$B$1"),1,0,$C$5,1)&lt;=$E$5))))</f>
        <v>55</v>
      </c>
      <c r="Q21" s="25">
        <f t="array" aca="1" ref="Q21" ca="1">IF($C$3=FALSE,"-",SUM((OFFSET(INDIRECT($C$4&amp;"!$H$1"),1,0,$C$5,1)=O21)*OFFSET(INDIRECT($C$4&amp;"!$C$1"),1,0,$C$5,1)*IF($E$3=FALSE,1,(OFFSET(INDIRECT($C$4&amp;"!$B$1"),1,0,$C$5,1)&gt;=$E$4)*(OFFSET(INDIRECT($C$4&amp;"!$B$1"),1,0,$C$5,1)&lt;=$E$5))))</f>
        <v>513.25</v>
      </c>
      <c r="R21" s="34">
        <f t="array" aca="1" ref="R21" ca="1">IF($C$3=FALSE,"-",SUM((OFFSET(INDIRECT($C$4&amp;"!$H$1"),1,0,$C$5,1)=O21)*OFFSET(INDIRECT($C$4&amp;"!$D$1"),1,0,$C$5,1)*IF($E$3=FALSE,1,(OFFSET(INDIRECT($C$4&amp;"!$B$1"),1,0,$C$5,1)&gt;=$E$4)*(OFFSET(INDIRECT($C$4&amp;"!$B$1"),1,0,$C$5,1)&lt;=$E$5))))</f>
        <v>0</v>
      </c>
      <c r="S21" s="26">
        <f t="shared" ca="1" si="5"/>
        <v>25.63273258645884</v>
      </c>
      <c r="T21" s="27">
        <f t="array" aca="1" ref="T21" ca="1">IF($C$3=FALSE,"-",SUM((OFFSET(INDIRECT($C$4&amp;"!$H$1"),1,0,$C$5,1)=O21)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13156</v>
      </c>
      <c r="U21" s="28">
        <f t="shared" ca="1" si="6"/>
        <v>28.196005845104729</v>
      </c>
      <c r="V21" s="29">
        <f t="array" aca="1" ref="V21" ca="1">IF($C$3=FALSE,"-",SUM((OFFSET(INDIRECT($C$4&amp;"!$H$1"),1,0,$C$5,1)=O21)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14471.600000000002</v>
      </c>
      <c r="W21" s="30">
        <f t="shared" ca="1" si="7"/>
        <v>1315.6000000000022</v>
      </c>
      <c r="X21" s="31">
        <f t="shared" ca="1" si="8"/>
        <v>2.5632732586458884</v>
      </c>
      <c r="Y21" s="32">
        <f t="shared" ca="1" si="9"/>
        <v>8.8817841970012523E-16</v>
      </c>
    </row>
    <row r="22" spans="2:25" ht="20.100000000000001" customHeight="1" x14ac:dyDescent="0.2">
      <c r="B22" s="23" t="s">
        <v>20</v>
      </c>
      <c r="C22" s="24">
        <f t="array" aca="1" ref="C22" ca="1">IF($C$3=FALSE,"-",SUM((OFFSET(INDIRECT($C$4&amp;"!$A$1"),1,0,$C$5,1)=B22)*IF($E$3=FALSE,1,(OFFSET(INDIRECT($C$4&amp;"!$B$1"),1,0,$C$5,1)&gt;=$E$4)*(OFFSET(INDIRECT($C$4&amp;"!$B$1"),1,0,$C$5,1)&lt;=$E$5))))</f>
        <v>8</v>
      </c>
      <c r="D22" s="25">
        <f t="array" aca="1" ref="D22" ca="1">IF($C$3=FALSE,"-",SUM((OFFSET(INDIRECT($C$4&amp;"!$A$1"),1,0,$C$5,1)=B22)*OFFSET(INDIRECT($C$4&amp;"!$C$1"),1,0,$C$5,1)*IF($E$3=FALSE,1,(OFFSET(INDIRECT($C$4&amp;"!$B$1"),1,0,$C$5,1)&gt;=$E$4)*(OFFSET(INDIRECT($C$4&amp;"!$B$1"),1,0,$C$5,1)&lt;=$E$5))))</f>
        <v>54</v>
      </c>
      <c r="E22" s="34">
        <f t="array" aca="1" ref="E22" ca="1">IF($C$3=FALSE,"-",SUM((OFFSET(INDIRECT($C$4&amp;"!$A$1"),1,0,$C$5,1)=B22)*OFFSET(INDIRECT($C$4&amp;"!$D$1"),1,0,$C$5,1)*IF($E$3=FALSE,1,(OFFSET(INDIRECT($C$4&amp;"!$B$1"),1,0,$C$5,1)&gt;=$E$4)*(OFFSET(INDIRECT($C$4&amp;"!$B$1"),1,0,$C$5,1)&lt;=$E$5))))</f>
        <v>0</v>
      </c>
      <c r="F22" s="26">
        <f t="shared" ca="1" si="0"/>
        <v>40</v>
      </c>
      <c r="G22" s="27">
        <f t="array" aca="1" ref="G22" ca="1">IF($C$3=FALSE,"-",SUM((OFFSET(INDIRECT($C$4&amp;"!$A$1"),1,0,$C$5,1)=B22)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2160</v>
      </c>
      <c r="H22" s="28">
        <f t="shared" ca="1" si="1"/>
        <v>40</v>
      </c>
      <c r="I22" s="29">
        <f t="array" aca="1" ref="I22" ca="1">IF($C$3=FALSE,"-",SUM((OFFSET(INDIRECT($C$4&amp;"!$A$1"),1,0,$C$5,1)=B22)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2160</v>
      </c>
      <c r="J22" s="30">
        <f t="shared" ca="1" si="2"/>
        <v>0</v>
      </c>
      <c r="K22" s="31">
        <f t="shared" ca="1" si="3"/>
        <v>0</v>
      </c>
      <c r="L22" s="32">
        <f t="shared" ca="1" si="4"/>
        <v>0</v>
      </c>
      <c r="O22" s="23"/>
      <c r="P22" s="24">
        <f t="array" aca="1" ref="P22" ca="1">IF($C$3=FALSE,"-",SUM((OFFSET(INDIRECT($C$4&amp;"!$H$1"),1,0,$C$5,1)=O22)*IF($E$3=FALSE,1,(OFFSET(INDIRECT($C$4&amp;"!$B$1"),1,0,$C$5,1)&gt;=$E$4)*(OFFSET(INDIRECT($C$4&amp;"!$B$1"),1,0,$C$5,1)&lt;=$E$5))))</f>
        <v>43</v>
      </c>
      <c r="Q22" s="25">
        <f t="array" aca="1" ref="Q22" ca="1">IF($C$3=FALSE,"-",SUM((OFFSET(INDIRECT($C$4&amp;"!$H$1"),1,0,$C$5,1)=O22)*OFFSET(INDIRECT($C$4&amp;"!$C$1"),1,0,$C$5,1)*IF($E$3=FALSE,1,(OFFSET(INDIRECT($C$4&amp;"!$B$1"),1,0,$C$5,1)&gt;=$E$4)*(OFFSET(INDIRECT($C$4&amp;"!$B$1"),1,0,$C$5,1)&lt;=$E$5))))</f>
        <v>546</v>
      </c>
      <c r="R22" s="34">
        <f t="array" aca="1" ref="R22" ca="1">IF($C$3=FALSE,"-",SUM((OFFSET(INDIRECT($C$4&amp;"!$H$1"),1,0,$C$5,1)=O22)*OFFSET(INDIRECT($C$4&amp;"!$D$1"),1,0,$C$5,1)*IF($E$3=FALSE,1,(OFFSET(INDIRECT($C$4&amp;"!$B$1"),1,0,$C$5,1)&gt;=$E$4)*(OFFSET(INDIRECT($C$4&amp;"!$B$1"),1,0,$C$5,1)&lt;=$E$5))))</f>
        <v>0</v>
      </c>
      <c r="S22" s="26">
        <f t="shared" ca="1" si="5"/>
        <v>35.043040293040292</v>
      </c>
      <c r="T22" s="27">
        <f t="array" aca="1" ref="T22" ca="1">IF($C$3=FALSE,"-",SUM((OFFSET(INDIRECT($C$4&amp;"!$H$1"),1,0,$C$5,1)=O22)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19133.5</v>
      </c>
      <c r="U22" s="28">
        <f t="shared" ca="1" si="6"/>
        <v>35.822527472527469</v>
      </c>
      <c r="V22" s="29">
        <f t="array" aca="1" ref="V22" ca="1">IF($C$3=FALSE,"-",SUM((OFFSET(INDIRECT($C$4&amp;"!$H$1"),1,0,$C$5,1)=O22)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19559.099999999999</v>
      </c>
      <c r="W22" s="30">
        <f t="shared" ca="1" si="7"/>
        <v>425.59999999999854</v>
      </c>
      <c r="X22" s="31">
        <f t="shared" ca="1" si="8"/>
        <v>0.77948717948717683</v>
      </c>
      <c r="Y22" s="32">
        <f t="shared" ca="1" si="9"/>
        <v>-1.1102230246251565E-16</v>
      </c>
    </row>
    <row r="23" spans="2:25" ht="20.100000000000001" customHeight="1" x14ac:dyDescent="0.2">
      <c r="B23" s="23" t="s">
        <v>22</v>
      </c>
      <c r="C23" s="24">
        <f t="array" aca="1" ref="C23" ca="1">IF($C$3=FALSE,"-",SUM((OFFSET(INDIRECT($C$4&amp;"!$A$1"),1,0,$C$5,1)=B23)*IF($E$3=FALSE,1,(OFFSET(INDIRECT($C$4&amp;"!$B$1"),1,0,$C$5,1)&gt;=$E$4)*(OFFSET(INDIRECT($C$4&amp;"!$B$1"),1,0,$C$5,1)&lt;=$E$5))))</f>
        <v>4</v>
      </c>
      <c r="D23" s="25">
        <f t="array" aca="1" ref="D23" ca="1">IF($C$3=FALSE,"-",SUM((OFFSET(INDIRECT($C$4&amp;"!$A$1"),1,0,$C$5,1)=B23)*OFFSET(INDIRECT($C$4&amp;"!$C$1"),1,0,$C$5,1)*IF($E$3=FALSE,1,(OFFSET(INDIRECT($C$4&amp;"!$B$1"),1,0,$C$5,1)&gt;=$E$4)*(OFFSET(INDIRECT($C$4&amp;"!$B$1"),1,0,$C$5,1)&lt;=$E$5))))</f>
        <v>75.5</v>
      </c>
      <c r="E23" s="34">
        <f t="array" aca="1" ref="E23" ca="1">IF($C$3=FALSE,"-",SUM((OFFSET(INDIRECT($C$4&amp;"!$A$1"),1,0,$C$5,1)=B23)*OFFSET(INDIRECT($C$4&amp;"!$D$1"),1,0,$C$5,1)*IF($E$3=FALSE,1,(OFFSET(INDIRECT($C$4&amp;"!$B$1"),1,0,$C$5,1)&gt;=$E$4)*(OFFSET(INDIRECT($C$4&amp;"!$B$1"),1,0,$C$5,1)&lt;=$E$5))))</f>
        <v>0</v>
      </c>
      <c r="F23" s="26">
        <f t="shared" ca="1" si="0"/>
        <v>25</v>
      </c>
      <c r="G23" s="27">
        <f t="array" aca="1" ref="G23" ca="1">IF($C$3=FALSE,"-",SUM((OFFSET(INDIRECT($C$4&amp;"!$A$1"),1,0,$C$5,1)=B23)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1887.5</v>
      </c>
      <c r="H23" s="28">
        <f t="shared" ca="1" si="1"/>
        <v>27.5</v>
      </c>
      <c r="I23" s="29">
        <f t="array" aca="1" ref="I23" ca="1">IF($C$3=FALSE,"-",SUM((OFFSET(INDIRECT($C$4&amp;"!$A$1"),1,0,$C$5,1)=B23)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2076.25</v>
      </c>
      <c r="J23" s="30">
        <f t="shared" ca="1" si="2"/>
        <v>188.75</v>
      </c>
      <c r="K23" s="31">
        <f t="shared" ca="1" si="3"/>
        <v>2.5</v>
      </c>
      <c r="L23" s="32">
        <f t="shared" ca="1" si="4"/>
        <v>0</v>
      </c>
      <c r="O23" s="23" t="s">
        <v>32</v>
      </c>
      <c r="P23" s="24">
        <f t="array" aca="1" ref="P23" ca="1">IF($C$3=FALSE,"-",SUM((OFFSET(INDIRECT($C$4&amp;"!$H$1"),1,0,$C$5,1)=O23)*IF($E$3=FALSE,1,(OFFSET(INDIRECT($C$4&amp;"!$B$1"),1,0,$C$5,1)&gt;=$E$4)*(OFFSET(INDIRECT($C$4&amp;"!$B$1"),1,0,$C$5,1)&lt;=$E$5))))</f>
        <v>3</v>
      </c>
      <c r="Q23" s="25">
        <f t="array" aca="1" ref="Q23" ca="1">IF($C$3=FALSE,"-",SUM((OFFSET(INDIRECT($C$4&amp;"!$H$1"),1,0,$C$5,1)=O23)*OFFSET(INDIRECT($C$4&amp;"!$C$1"),1,0,$C$5,1)*IF($E$3=FALSE,1,(OFFSET(INDIRECT($C$4&amp;"!$B$1"),1,0,$C$5,1)&gt;=$E$4)*(OFFSET(INDIRECT($C$4&amp;"!$B$1"),1,0,$C$5,1)&lt;=$E$5))))</f>
        <v>9</v>
      </c>
      <c r="R23" s="34">
        <f t="array" aca="1" ref="R23" ca="1">IF($C$3=FALSE,"-",SUM((OFFSET(INDIRECT($C$4&amp;"!$H$1"),1,0,$C$5,1)=O23)*OFFSET(INDIRECT($C$4&amp;"!$D$1"),1,0,$C$5,1)*IF($E$3=FALSE,1,(OFFSET(INDIRECT($C$4&amp;"!$B$1"),1,0,$C$5,1)&gt;=$E$4)*(OFFSET(INDIRECT($C$4&amp;"!$B$1"),1,0,$C$5,1)&lt;=$E$5))))</f>
        <v>0</v>
      </c>
      <c r="S23" s="26">
        <f t="shared" ca="1" si="5"/>
        <v>26.666666666666668</v>
      </c>
      <c r="T23" s="27">
        <f t="array" aca="1" ref="T23" ca="1">IF($C$3=FALSE,"-",SUM((OFFSET(INDIRECT($C$4&amp;"!$H$1"),1,0,$C$5,1)=O23)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240</v>
      </c>
      <c r="U23" s="28">
        <f t="shared" ca="1" si="6"/>
        <v>29.333333333333339</v>
      </c>
      <c r="V23" s="29">
        <f t="array" aca="1" ref="V23" ca="1">IF($C$3=FALSE,"-",SUM((OFFSET(INDIRECT($C$4&amp;"!$H$1"),1,0,$C$5,1)=O23)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264.00000000000006</v>
      </c>
      <c r="W23" s="30">
        <f t="shared" ca="1" si="7"/>
        <v>24.000000000000057</v>
      </c>
      <c r="X23" s="31">
        <f t="shared" ca="1" si="8"/>
        <v>2.6666666666666732</v>
      </c>
      <c r="Y23" s="32">
        <f t="shared" ca="1" si="9"/>
        <v>-1.7763568394002505E-15</v>
      </c>
    </row>
    <row r="24" spans="2:25" ht="20.100000000000001" customHeight="1" x14ac:dyDescent="0.2">
      <c r="B24" s="23" t="s">
        <v>23</v>
      </c>
      <c r="C24" s="24">
        <f t="array" aca="1" ref="C24" ca="1">IF($C$3=FALSE,"-",SUM((OFFSET(INDIRECT($C$4&amp;"!$A$1"),1,0,$C$5,1)=B24)*IF($E$3=FALSE,1,(OFFSET(INDIRECT($C$4&amp;"!$B$1"),1,0,$C$5,1)&gt;=$E$4)*(OFFSET(INDIRECT($C$4&amp;"!$B$1"),1,0,$C$5,1)&lt;=$E$5))))</f>
        <v>16</v>
      </c>
      <c r="D24" s="25">
        <f t="array" aca="1" ref="D24" ca="1">IF($C$3=FALSE,"-",SUM((OFFSET(INDIRECT($C$4&amp;"!$A$1"),1,0,$C$5,1)=B24)*OFFSET(INDIRECT($C$4&amp;"!$C$1"),1,0,$C$5,1)*IF($E$3=FALSE,1,(OFFSET(INDIRECT($C$4&amp;"!$B$1"),1,0,$C$5,1)&gt;=$E$4)*(OFFSET(INDIRECT($C$4&amp;"!$B$1"),1,0,$C$5,1)&lt;=$E$5))))</f>
        <v>140.5</v>
      </c>
      <c r="E24" s="34">
        <f t="array" aca="1" ref="E24" ca="1">IF($C$3=FALSE,"-",SUM((OFFSET(INDIRECT($C$4&amp;"!$A$1"),1,0,$C$5,1)=B24)*OFFSET(INDIRECT($C$4&amp;"!$D$1"),1,0,$C$5,1)*IF($E$3=FALSE,1,(OFFSET(INDIRECT($C$4&amp;"!$B$1"),1,0,$C$5,1)&gt;=$E$4)*(OFFSET(INDIRECT($C$4&amp;"!$B$1"),1,0,$C$5,1)&lt;=$E$5))))</f>
        <v>0</v>
      </c>
      <c r="F24" s="26">
        <f t="shared" ca="1" si="0"/>
        <v>15</v>
      </c>
      <c r="G24" s="27">
        <f t="array" aca="1" ref="G24" ca="1">IF($C$3=FALSE,"-",SUM((OFFSET(INDIRECT($C$4&amp;"!$A$1"),1,0,$C$5,1)=B24)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2107.5</v>
      </c>
      <c r="H24" s="28">
        <f t="shared" ca="1" si="1"/>
        <v>16.5</v>
      </c>
      <c r="I24" s="29">
        <f t="array" aca="1" ref="I24" ca="1">IF($C$3=FALSE,"-",SUM((OFFSET(INDIRECT($C$4&amp;"!$A$1"),1,0,$C$5,1)=B24)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2318.25</v>
      </c>
      <c r="J24" s="30">
        <f t="shared" ca="1" si="2"/>
        <v>210.75</v>
      </c>
      <c r="K24" s="31">
        <f t="shared" ca="1" si="3"/>
        <v>1.5</v>
      </c>
      <c r="L24" s="32">
        <f t="shared" ca="1" si="4"/>
        <v>0</v>
      </c>
      <c r="O24" s="23" t="s">
        <v>34</v>
      </c>
      <c r="P24" s="24">
        <f t="array" aca="1" ref="P24" ca="1">IF($C$3=FALSE,"-",SUM((OFFSET(INDIRECT($C$4&amp;"!$H$1"),1,0,$C$5,1)=O24)*IF($E$3=FALSE,1,(OFFSET(INDIRECT($C$4&amp;"!$B$1"),1,0,$C$5,1)&gt;=$E$4)*(OFFSET(INDIRECT($C$4&amp;"!$B$1"),1,0,$C$5,1)&lt;=$E$5))))</f>
        <v>1</v>
      </c>
      <c r="Q24" s="25">
        <f t="array" aca="1" ref="Q24" ca="1">IF($C$3=FALSE,"-",SUM((OFFSET(INDIRECT($C$4&amp;"!$H$1"),1,0,$C$5,1)=O24)*OFFSET(INDIRECT($C$4&amp;"!$C$1"),1,0,$C$5,1)*IF($E$3=FALSE,1,(OFFSET(INDIRECT($C$4&amp;"!$B$1"),1,0,$C$5,1)&gt;=$E$4)*(OFFSET(INDIRECT($C$4&amp;"!$B$1"),1,0,$C$5,1)&lt;=$E$5))))</f>
        <v>20.25</v>
      </c>
      <c r="R24" s="34">
        <f t="array" aca="1" ref="R24" ca="1">IF($C$3=FALSE,"-",SUM((OFFSET(INDIRECT($C$4&amp;"!$H$1"),1,0,$C$5,1)=O24)*OFFSET(INDIRECT($C$4&amp;"!$D$1"),1,0,$C$5,1)*IF($E$3=FALSE,1,(OFFSET(INDIRECT($C$4&amp;"!$B$1"),1,0,$C$5,1)&gt;=$E$4)*(OFFSET(INDIRECT($C$4&amp;"!$B$1"),1,0,$C$5,1)&lt;=$E$5))))</f>
        <v>0</v>
      </c>
      <c r="S24" s="26">
        <f t="shared" ca="1" si="5"/>
        <v>35</v>
      </c>
      <c r="T24" s="27">
        <f t="array" aca="1" ref="T24" ca="1">IF($C$3=FALSE,"-",SUM((OFFSET(INDIRECT($C$4&amp;"!$H$1"),1,0,$C$5,1)=O24)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708.75</v>
      </c>
      <c r="U24" s="28">
        <f t="shared" ca="1" si="6"/>
        <v>35</v>
      </c>
      <c r="V24" s="29">
        <f t="array" aca="1" ref="V24" ca="1">IF($C$3=FALSE,"-",SUM((OFFSET(INDIRECT($C$4&amp;"!$H$1"),1,0,$C$5,1)=O24)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708.75</v>
      </c>
      <c r="W24" s="30">
        <f t="shared" ca="1" si="7"/>
        <v>0</v>
      </c>
      <c r="X24" s="31">
        <f t="shared" ca="1" si="8"/>
        <v>0</v>
      </c>
      <c r="Y24" s="32">
        <f t="shared" ca="1" si="9"/>
        <v>0</v>
      </c>
    </row>
    <row r="25" spans="2:25" ht="20.100000000000001" customHeight="1" x14ac:dyDescent="0.2">
      <c r="B25" s="23" t="s">
        <v>24</v>
      </c>
      <c r="C25" s="24">
        <f t="array" aca="1" ref="C25" ca="1">IF($C$3=FALSE,"-",SUM((OFFSET(INDIRECT($C$4&amp;"!$A$1"),1,0,$C$5,1)=B25)*IF($E$3=FALSE,1,(OFFSET(INDIRECT($C$4&amp;"!$B$1"),1,0,$C$5,1)&gt;=$E$4)*(OFFSET(INDIRECT($C$4&amp;"!$B$1"),1,0,$C$5,1)&lt;=$E$5))))</f>
        <v>1</v>
      </c>
      <c r="D25" s="25">
        <f t="array" aca="1" ref="D25" ca="1">IF($C$3=FALSE,"-",SUM((OFFSET(INDIRECT($C$4&amp;"!$A$1"),1,0,$C$5,1)=B25)*OFFSET(INDIRECT($C$4&amp;"!$C$1"),1,0,$C$5,1)*IF($E$3=FALSE,1,(OFFSET(INDIRECT($C$4&amp;"!$B$1"),1,0,$C$5,1)&gt;=$E$4)*(OFFSET(INDIRECT($C$4&amp;"!$B$1"),1,0,$C$5,1)&lt;=$E$5))))</f>
        <v>10</v>
      </c>
      <c r="E25" s="34">
        <f t="array" aca="1" ref="E25" ca="1">IF($C$3=FALSE,"-",SUM((OFFSET(INDIRECT($C$4&amp;"!$A$1"),1,0,$C$5,1)=B25)*OFFSET(INDIRECT($C$4&amp;"!$D$1"),1,0,$C$5,1)*IF($E$3=FALSE,1,(OFFSET(INDIRECT($C$4&amp;"!$B$1"),1,0,$C$5,1)&gt;=$E$4)*(OFFSET(INDIRECT($C$4&amp;"!$B$1"),1,0,$C$5,1)&lt;=$E$5))))</f>
        <v>0</v>
      </c>
      <c r="F25" s="26">
        <f t="shared" ca="1" si="0"/>
        <v>15</v>
      </c>
      <c r="G25" s="27">
        <f t="array" aca="1" ref="G25" ca="1">IF($C$3=FALSE,"-",SUM((OFFSET(INDIRECT($C$4&amp;"!$A$1"),1,0,$C$5,1)=B25)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150</v>
      </c>
      <c r="H25" s="28">
        <f t="shared" ca="1" si="1"/>
        <v>16.5</v>
      </c>
      <c r="I25" s="29">
        <f t="array" aca="1" ref="I25" ca="1">IF($C$3=FALSE,"-",SUM((OFFSET(INDIRECT($C$4&amp;"!$A$1"),1,0,$C$5,1)=B25)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165</v>
      </c>
      <c r="J25" s="30">
        <f t="shared" ca="1" si="2"/>
        <v>15</v>
      </c>
      <c r="K25" s="31">
        <f t="shared" ca="1" si="3"/>
        <v>1.5</v>
      </c>
      <c r="L25" s="32">
        <f t="shared" ca="1" si="4"/>
        <v>0</v>
      </c>
      <c r="O25" s="23" t="s">
        <v>38</v>
      </c>
      <c r="P25" s="24">
        <f t="array" aca="1" ref="P25" ca="1">IF($C$3=FALSE,"-",SUM((OFFSET(INDIRECT($C$4&amp;"!$H$1"),1,0,$C$5,1)=O25)*IF($E$3=FALSE,1,(OFFSET(INDIRECT($C$4&amp;"!$B$1"),1,0,$C$5,1)&gt;=$E$4)*(OFFSET(INDIRECT($C$4&amp;"!$B$1"),1,0,$C$5,1)&lt;=$E$5))))</f>
        <v>11</v>
      </c>
      <c r="Q25" s="25">
        <f t="array" aca="1" ref="Q25" ca="1">IF($C$3=FALSE,"-",SUM((OFFSET(INDIRECT($C$4&amp;"!$H$1"),1,0,$C$5,1)=O25)*OFFSET(INDIRECT($C$4&amp;"!$C$1"),1,0,$C$5,1)*IF($E$3=FALSE,1,(OFFSET(INDIRECT($C$4&amp;"!$B$1"),1,0,$C$5,1)&gt;=$E$4)*(OFFSET(INDIRECT($C$4&amp;"!$B$1"),1,0,$C$5,1)&lt;=$E$5))))</f>
        <v>98.75</v>
      </c>
      <c r="R25" s="34">
        <f t="array" aca="1" ref="R25" ca="1">IF($C$3=FALSE,"-",SUM((OFFSET(INDIRECT($C$4&amp;"!$H$1"),1,0,$C$5,1)=O25)*OFFSET(INDIRECT($C$4&amp;"!$D$1"),1,0,$C$5,1)*IF($E$3=FALSE,1,(OFFSET(INDIRECT($C$4&amp;"!$B$1"),1,0,$C$5,1)&gt;=$E$4)*(OFFSET(INDIRECT($C$4&amp;"!$B$1"),1,0,$C$5,1)&lt;=$E$5))))</f>
        <v>0</v>
      </c>
      <c r="S25" s="26">
        <f t="shared" ca="1" si="5"/>
        <v>28.253164556962027</v>
      </c>
      <c r="T25" s="27">
        <f t="array" aca="1" ref="T25" ca="1">IF($C$3=FALSE,"-",SUM((OFFSET(INDIRECT($C$4&amp;"!$H$1"),1,0,$C$5,1)=O25)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2790</v>
      </c>
      <c r="U25" s="28">
        <f t="shared" ca="1" si="6"/>
        <v>29.740506329113924</v>
      </c>
      <c r="V25" s="29">
        <f t="array" aca="1" ref="V25" ca="1">IF($C$3=FALSE,"-",SUM((OFFSET(INDIRECT($C$4&amp;"!$H$1"),1,0,$C$5,1)=O25)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2936.875</v>
      </c>
      <c r="W25" s="30">
        <f t="shared" ca="1" si="7"/>
        <v>146.875</v>
      </c>
      <c r="X25" s="31">
        <f t="shared" ca="1" si="8"/>
        <v>1.4873417721518987</v>
      </c>
      <c r="Y25" s="32">
        <f t="shared" ca="1" si="9"/>
        <v>-1.7763568394002505E-15</v>
      </c>
    </row>
    <row r="26" spans="2:25" ht="20.100000000000001" customHeight="1" x14ac:dyDescent="0.2">
      <c r="B26" s="23" t="s">
        <v>26</v>
      </c>
      <c r="C26" s="24">
        <f t="array" aca="1" ref="C26" ca="1">IF($C$3=FALSE,"-",SUM((OFFSET(INDIRECT($C$4&amp;"!$A$1"),1,0,$C$5,1)=B26)*IF($E$3=FALSE,1,(OFFSET(INDIRECT($C$4&amp;"!$B$1"),1,0,$C$5,1)&gt;=$E$4)*(OFFSET(INDIRECT($C$4&amp;"!$B$1"),1,0,$C$5,1)&lt;=$E$5))))</f>
        <v>9</v>
      </c>
      <c r="D26" s="25">
        <f t="array" aca="1" ref="D26" ca="1">IF($C$3=FALSE,"-",SUM((OFFSET(INDIRECT($C$4&amp;"!$A$1"),1,0,$C$5,1)=B26)*OFFSET(INDIRECT($C$4&amp;"!$C$1"),1,0,$C$5,1)*IF($E$3=FALSE,1,(OFFSET(INDIRECT($C$4&amp;"!$B$1"),1,0,$C$5,1)&gt;=$E$4)*(OFFSET(INDIRECT($C$4&amp;"!$B$1"),1,0,$C$5,1)&lt;=$E$5))))</f>
        <v>75</v>
      </c>
      <c r="E26" s="34">
        <f t="array" aca="1" ref="E26" ca="1">IF($C$3=FALSE,"-",SUM((OFFSET(INDIRECT($C$4&amp;"!$A$1"),1,0,$C$5,1)=B26)*OFFSET(INDIRECT($C$4&amp;"!$D$1"),1,0,$C$5,1)*IF($E$3=FALSE,1,(OFFSET(INDIRECT($C$4&amp;"!$B$1"),1,0,$C$5,1)&gt;=$E$4)*(OFFSET(INDIRECT($C$4&amp;"!$B$1"),1,0,$C$5,1)&lt;=$E$5))))</f>
        <v>0</v>
      </c>
      <c r="F26" s="26">
        <f t="shared" ca="1" si="0"/>
        <v>55</v>
      </c>
      <c r="G26" s="27">
        <f t="array" aca="1" ref="G26" ca="1">IF($C$3=FALSE,"-",SUM((OFFSET(INDIRECT($C$4&amp;"!$A$1"),1,0,$C$5,1)=B26)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4125</v>
      </c>
      <c r="H26" s="28">
        <f t="shared" ca="1" si="1"/>
        <v>55</v>
      </c>
      <c r="I26" s="29">
        <f t="array" aca="1" ref="I26" ca="1">IF($C$3=FALSE,"-",SUM((OFFSET(INDIRECT($C$4&amp;"!$A$1"),1,0,$C$5,1)=B26)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4125</v>
      </c>
      <c r="J26" s="30">
        <f t="shared" ca="1" si="2"/>
        <v>0</v>
      </c>
      <c r="K26" s="31">
        <f t="shared" ca="1" si="3"/>
        <v>0</v>
      </c>
      <c r="L26" s="32">
        <f t="shared" ca="1" si="4"/>
        <v>0</v>
      </c>
      <c r="O26" s="23" t="s">
        <v>39</v>
      </c>
      <c r="P26" s="24">
        <f t="array" aca="1" ref="P26" ca="1">IF($C$3=FALSE,"-",SUM((OFFSET(INDIRECT($C$4&amp;"!$H$1"),1,0,$C$5,1)=O26)*IF($E$3=FALSE,1,(OFFSET(INDIRECT($C$4&amp;"!$B$1"),1,0,$C$5,1)&gt;=$E$4)*(OFFSET(INDIRECT($C$4&amp;"!$B$1"),1,0,$C$5,1)&lt;=$E$5))))</f>
        <v>2</v>
      </c>
      <c r="Q26" s="25">
        <f t="array" aca="1" ref="Q26" ca="1">IF($C$3=FALSE,"-",SUM((OFFSET(INDIRECT($C$4&amp;"!$H$1"),1,0,$C$5,1)=O26)*OFFSET(INDIRECT($C$4&amp;"!$C$1"),1,0,$C$5,1)*IF($E$3=FALSE,1,(OFFSET(INDIRECT($C$4&amp;"!$B$1"),1,0,$C$5,1)&gt;=$E$4)*(OFFSET(INDIRECT($C$4&amp;"!$B$1"),1,0,$C$5,1)&lt;=$E$5))))</f>
        <v>18.5</v>
      </c>
      <c r="R26" s="34">
        <f t="array" aca="1" ref="R26" ca="1">IF($C$3=FALSE,"-",SUM((OFFSET(INDIRECT($C$4&amp;"!$H$1"),1,0,$C$5,1)=O26)*OFFSET(INDIRECT($C$4&amp;"!$D$1"),1,0,$C$5,1)*IF($E$3=FALSE,1,(OFFSET(INDIRECT($C$4&amp;"!$B$1"),1,0,$C$5,1)&gt;=$E$4)*(OFFSET(INDIRECT($C$4&amp;"!$B$1"),1,0,$C$5,1)&lt;=$E$5))))</f>
        <v>0</v>
      </c>
      <c r="S26" s="26">
        <f t="shared" ca="1" si="5"/>
        <v>23.5</v>
      </c>
      <c r="T26" s="27">
        <f t="array" aca="1" ref="T26" ca="1">IF($C$3=FALSE,"-",SUM((OFFSET(INDIRECT($C$4&amp;"!$H$1"),1,0,$C$5,1)=O26)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434.75</v>
      </c>
      <c r="U26" s="28">
        <f t="shared" ca="1" si="6"/>
        <v>25.85</v>
      </c>
      <c r="V26" s="29">
        <f t="array" aca="1" ref="V26" ca="1">IF($C$3=FALSE,"-",SUM((OFFSET(INDIRECT($C$4&amp;"!$H$1"),1,0,$C$5,1)=O26)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478.22500000000002</v>
      </c>
      <c r="W26" s="30">
        <f t="shared" ca="1" si="7"/>
        <v>43.475000000000023</v>
      </c>
      <c r="X26" s="31">
        <f t="shared" ca="1" si="8"/>
        <v>2.3500000000000014</v>
      </c>
      <c r="Y26" s="32">
        <f t="shared" ca="1" si="9"/>
        <v>0</v>
      </c>
    </row>
    <row r="27" spans="2:25" ht="20.100000000000001" customHeight="1" x14ac:dyDescent="0.2">
      <c r="B27" s="23" t="s">
        <v>27</v>
      </c>
      <c r="C27" s="24">
        <f t="array" aca="1" ref="C27" ca="1">IF($C$3=FALSE,"-",SUM((OFFSET(INDIRECT($C$4&amp;"!$A$1"),1,0,$C$5,1)=B27)*IF($E$3=FALSE,1,(OFFSET(INDIRECT($C$4&amp;"!$B$1"),1,0,$C$5,1)&gt;=$E$4)*(OFFSET(INDIRECT($C$4&amp;"!$B$1"),1,0,$C$5,1)&lt;=$E$5))))</f>
        <v>15</v>
      </c>
      <c r="D27" s="25">
        <f t="array" aca="1" ref="D27" ca="1">IF($C$3=FALSE,"-",SUM((OFFSET(INDIRECT($C$4&amp;"!$A$1"),1,0,$C$5,1)=B27)*OFFSET(INDIRECT($C$4&amp;"!$C$1"),1,0,$C$5,1)*IF($E$3=FALSE,1,(OFFSET(INDIRECT($C$4&amp;"!$B$1"),1,0,$C$5,1)&gt;=$E$4)*(OFFSET(INDIRECT($C$4&amp;"!$B$1"),1,0,$C$5,1)&lt;=$E$5))))</f>
        <v>133</v>
      </c>
      <c r="E27" s="34">
        <f t="array" aca="1" ref="E27" ca="1">IF($C$3=FALSE,"-",SUM((OFFSET(INDIRECT($C$4&amp;"!$A$1"),1,0,$C$5,1)=B27)*OFFSET(INDIRECT($C$4&amp;"!$D$1"),1,0,$C$5,1)*IF($E$3=FALSE,1,(OFFSET(INDIRECT($C$4&amp;"!$B$1"),1,0,$C$5,1)&gt;=$E$4)*(OFFSET(INDIRECT($C$4&amp;"!$B$1"),1,0,$C$5,1)&lt;=$E$5))))</f>
        <v>0</v>
      </c>
      <c r="F27" s="26">
        <f t="shared" ca="1" si="0"/>
        <v>15</v>
      </c>
      <c r="G27" s="27">
        <f t="array" aca="1" ref="G27" ca="1">IF($C$3=FALSE,"-",SUM((OFFSET(INDIRECT($C$4&amp;"!$A$1"),1,0,$C$5,1)=B27)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1995</v>
      </c>
      <c r="H27" s="28">
        <f t="shared" ca="1" si="1"/>
        <v>16.5</v>
      </c>
      <c r="I27" s="29">
        <f t="array" aca="1" ref="I27" ca="1">IF($C$3=FALSE,"-",SUM((OFFSET(INDIRECT($C$4&amp;"!$A$1"),1,0,$C$5,1)=B27)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2194.5</v>
      </c>
      <c r="J27" s="30">
        <f t="shared" ca="1" si="2"/>
        <v>199.5</v>
      </c>
      <c r="K27" s="31">
        <f t="shared" ca="1" si="3"/>
        <v>1.5</v>
      </c>
      <c r="L27" s="32">
        <f t="shared" ca="1" si="4"/>
        <v>0</v>
      </c>
      <c r="O27" s="23" t="s">
        <v>55</v>
      </c>
      <c r="P27" s="24">
        <f t="array" aca="1" ref="P27" ca="1">IF($C$3=FALSE,"-",SUM((OFFSET(INDIRECT($C$4&amp;"!$H$1"),1,0,$C$5,1)=O27)*IF($E$3=FALSE,1,(OFFSET(INDIRECT($C$4&amp;"!$B$1"),1,0,$C$5,1)&gt;=$E$4)*(OFFSET(INDIRECT($C$4&amp;"!$B$1"),1,0,$C$5,1)&lt;=$E$5))))</f>
        <v>1</v>
      </c>
      <c r="Q27" s="25">
        <f t="array" aca="1" ref="Q27" ca="1">IF($C$3=FALSE,"-",SUM((OFFSET(INDIRECT($C$4&amp;"!$H$1"),1,0,$C$5,1)=O27)*OFFSET(INDIRECT($C$4&amp;"!$C$1"),1,0,$C$5,1)*IF($E$3=FALSE,1,(OFFSET(INDIRECT($C$4&amp;"!$B$1"),1,0,$C$5,1)&gt;=$E$4)*(OFFSET(INDIRECT($C$4&amp;"!$B$1"),1,0,$C$5,1)&lt;=$E$5))))</f>
        <v>9.25</v>
      </c>
      <c r="R27" s="34">
        <f t="array" aca="1" ref="R27" ca="1">IF($C$3=FALSE,"-",SUM((OFFSET(INDIRECT($C$4&amp;"!$H$1"),1,0,$C$5,1)=O27)*OFFSET(INDIRECT($C$4&amp;"!$D$1"),1,0,$C$5,1)*IF($E$3=FALSE,1,(OFFSET(INDIRECT($C$4&amp;"!$B$1"),1,0,$C$5,1)&gt;=$E$4)*(OFFSET(INDIRECT($C$4&amp;"!$B$1"),1,0,$C$5,1)&lt;=$E$5))))</f>
        <v>0</v>
      </c>
      <c r="S27" s="26">
        <f t="shared" ca="1" si="5"/>
        <v>35</v>
      </c>
      <c r="T27" s="27">
        <f t="array" aca="1" ref="T27" ca="1">IF($C$3=FALSE,"-",SUM((OFFSET(INDIRECT($C$4&amp;"!$H$1"),1,0,$C$5,1)=O27)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323.75</v>
      </c>
      <c r="U27" s="28">
        <f t="shared" ca="1" si="6"/>
        <v>35</v>
      </c>
      <c r="V27" s="29">
        <f t="array" aca="1" ref="V27" ca="1">IF($C$3=FALSE,"-",SUM((OFFSET(INDIRECT($C$4&amp;"!$H$1"),1,0,$C$5,1)=O27)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323.75</v>
      </c>
      <c r="W27" s="30">
        <f t="shared" ca="1" si="7"/>
        <v>0</v>
      </c>
      <c r="X27" s="31">
        <f t="shared" ca="1" si="8"/>
        <v>0</v>
      </c>
      <c r="Y27" s="32">
        <f t="shared" ca="1" si="9"/>
        <v>0</v>
      </c>
    </row>
    <row r="28" spans="2:25" ht="20.100000000000001" customHeight="1" x14ac:dyDescent="0.2">
      <c r="B28" s="23" t="s">
        <v>28</v>
      </c>
      <c r="C28" s="24">
        <f t="array" aca="1" ref="C28" ca="1">IF($C$3=FALSE,"-",SUM((OFFSET(INDIRECT($C$4&amp;"!$A$1"),1,0,$C$5,1)=B28)*IF($E$3=FALSE,1,(OFFSET(INDIRECT($C$4&amp;"!$B$1"),1,0,$C$5,1)&gt;=$E$4)*(OFFSET(INDIRECT($C$4&amp;"!$B$1"),1,0,$C$5,1)&lt;=$E$5))))</f>
        <v>2</v>
      </c>
      <c r="D28" s="25">
        <f t="array" aca="1" ref="D28" ca="1">IF($C$3=FALSE,"-",SUM((OFFSET(INDIRECT($C$4&amp;"!$A$1"),1,0,$C$5,1)=B28)*OFFSET(INDIRECT($C$4&amp;"!$C$1"),1,0,$C$5,1)*IF($E$3=FALSE,1,(OFFSET(INDIRECT($C$4&amp;"!$B$1"),1,0,$C$5,1)&gt;=$E$4)*(OFFSET(INDIRECT($C$4&amp;"!$B$1"),1,0,$C$5,1)&lt;=$E$5))))</f>
        <v>15.5</v>
      </c>
      <c r="E28" s="34">
        <f t="array" aca="1" ref="E28" ca="1">IF($C$3=FALSE,"-",SUM((OFFSET(INDIRECT($C$4&amp;"!$A$1"),1,0,$C$5,1)=B28)*OFFSET(INDIRECT($C$4&amp;"!$D$1"),1,0,$C$5,1)*IF($E$3=FALSE,1,(OFFSET(INDIRECT($C$4&amp;"!$B$1"),1,0,$C$5,1)&gt;=$E$4)*(OFFSET(INDIRECT($C$4&amp;"!$B$1"),1,0,$C$5,1)&lt;=$E$5))))</f>
        <v>0</v>
      </c>
      <c r="F28" s="26">
        <f t="shared" ca="1" si="0"/>
        <v>42</v>
      </c>
      <c r="G28" s="27">
        <f t="array" aca="1" ref="G28" ca="1">IF($C$3=FALSE,"-",SUM((OFFSET(INDIRECT($C$4&amp;"!$A$1"),1,0,$C$5,1)=B28)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651</v>
      </c>
      <c r="H28" s="28">
        <f t="shared" ca="1" si="1"/>
        <v>46.20000000000001</v>
      </c>
      <c r="I28" s="29">
        <f t="array" aca="1" ref="I28" ca="1">IF($C$3=FALSE,"-",SUM((OFFSET(INDIRECT($C$4&amp;"!$A$1"),1,0,$C$5,1)=B28)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716.10000000000014</v>
      </c>
      <c r="J28" s="30">
        <f t="shared" ca="1" si="2"/>
        <v>65.100000000000136</v>
      </c>
      <c r="K28" s="31">
        <f t="shared" ca="1" si="3"/>
        <v>4.2000000000000091</v>
      </c>
      <c r="L28" s="32">
        <f t="shared" ca="1" si="4"/>
        <v>8.8817841970012523E-16</v>
      </c>
      <c r="O28"/>
    </row>
    <row r="29" spans="2:25" ht="20.100000000000001" customHeight="1" x14ac:dyDescent="0.2">
      <c r="B29" s="23" t="s">
        <v>30</v>
      </c>
      <c r="C29" s="24">
        <f t="array" aca="1" ref="C29" ca="1">IF($C$3=FALSE,"-",SUM((OFFSET(INDIRECT($C$4&amp;"!$A$1"),1,0,$C$5,1)=B29)*IF($E$3=FALSE,1,(OFFSET(INDIRECT($C$4&amp;"!$B$1"),1,0,$C$5,1)&gt;=$E$4)*(OFFSET(INDIRECT($C$4&amp;"!$B$1"),1,0,$C$5,1)&lt;=$E$5))))</f>
        <v>8</v>
      </c>
      <c r="D29" s="25">
        <f t="array" aca="1" ref="D29" ca="1">IF($C$3=FALSE,"-",SUM((OFFSET(INDIRECT($C$4&amp;"!$A$1"),1,0,$C$5,1)=B29)*OFFSET(INDIRECT($C$4&amp;"!$C$1"),1,0,$C$5,1)*IF($E$3=FALSE,1,(OFFSET(INDIRECT($C$4&amp;"!$B$1"),1,0,$C$5,1)&gt;=$E$4)*(OFFSET(INDIRECT($C$4&amp;"!$B$1"),1,0,$C$5,1)&lt;=$E$5))))</f>
        <v>104.5</v>
      </c>
      <c r="E29" s="34">
        <f t="array" aca="1" ref="E29" ca="1">IF($C$3=FALSE,"-",SUM((OFFSET(INDIRECT($C$4&amp;"!$A$1"),1,0,$C$5,1)=B29)*OFFSET(INDIRECT($C$4&amp;"!$D$1"),1,0,$C$5,1)*IF($E$3=FALSE,1,(OFFSET(INDIRECT($C$4&amp;"!$B$1"),1,0,$C$5,1)&gt;=$E$4)*(OFFSET(INDIRECT($C$4&amp;"!$B$1"),1,0,$C$5,1)&lt;=$E$5))))</f>
        <v>0</v>
      </c>
      <c r="F29" s="26">
        <f t="shared" ca="1" si="0"/>
        <v>50</v>
      </c>
      <c r="G29" s="27">
        <f t="array" aca="1" ref="G29" ca="1">IF($C$3=FALSE,"-",SUM((OFFSET(INDIRECT($C$4&amp;"!$A$1"),1,0,$C$5,1)=B29)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5225</v>
      </c>
      <c r="H29" s="28">
        <f t="shared" ca="1" si="1"/>
        <v>50</v>
      </c>
      <c r="I29" s="29">
        <f t="array" aca="1" ref="I29" ca="1">IF($C$3=FALSE,"-",SUM((OFFSET(INDIRECT($C$4&amp;"!$A$1"),1,0,$C$5,1)=B29)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5225</v>
      </c>
      <c r="J29" s="30">
        <f t="shared" ca="1" si="2"/>
        <v>0</v>
      </c>
      <c r="K29" s="31">
        <f t="shared" ca="1" si="3"/>
        <v>0</v>
      </c>
      <c r="L29" s="32">
        <f t="shared" ca="1" si="4"/>
        <v>0</v>
      </c>
      <c r="O29"/>
    </row>
    <row r="30" spans="2:25" ht="20.100000000000001" customHeight="1" x14ac:dyDescent="0.2">
      <c r="B30" s="23" t="s">
        <v>31</v>
      </c>
      <c r="C30" s="24">
        <f t="array" aca="1" ref="C30" ca="1">IF($C$3=FALSE,"-",SUM((OFFSET(INDIRECT($C$4&amp;"!$A$1"),1,0,$C$5,1)=B30)*IF($E$3=FALSE,1,(OFFSET(INDIRECT($C$4&amp;"!$B$1"),1,0,$C$5,1)&gt;=$E$4)*(OFFSET(INDIRECT($C$4&amp;"!$B$1"),1,0,$C$5,1)&lt;=$E$5))))</f>
        <v>12</v>
      </c>
      <c r="D30" s="25">
        <f t="array" aca="1" ref="D30" ca="1">IF($C$3=FALSE,"-",SUM((OFFSET(INDIRECT($C$4&amp;"!$A$1"),1,0,$C$5,1)=B30)*OFFSET(INDIRECT($C$4&amp;"!$C$1"),1,0,$C$5,1)*IF($E$3=FALSE,1,(OFFSET(INDIRECT($C$4&amp;"!$B$1"),1,0,$C$5,1)&gt;=$E$4)*(OFFSET(INDIRECT($C$4&amp;"!$B$1"),1,0,$C$5,1)&lt;=$E$5))))</f>
        <v>103</v>
      </c>
      <c r="E30" s="34">
        <f t="array" aca="1" ref="E30" ca="1">IF($C$3=FALSE,"-",SUM((OFFSET(INDIRECT($C$4&amp;"!$A$1"),1,0,$C$5,1)=B30)*OFFSET(INDIRECT($C$4&amp;"!$D$1"),1,0,$C$5,1)*IF($E$3=FALSE,1,(OFFSET(INDIRECT($C$4&amp;"!$B$1"),1,0,$C$5,1)&gt;=$E$4)*(OFFSET(INDIRECT($C$4&amp;"!$B$1"),1,0,$C$5,1)&lt;=$E$5))))</f>
        <v>0</v>
      </c>
      <c r="F30" s="26">
        <f t="shared" ca="1" si="0"/>
        <v>20</v>
      </c>
      <c r="G30" s="27">
        <f t="array" aca="1" ref="G30" ca="1">IF($C$3=FALSE,"-",SUM((OFFSET(INDIRECT($C$4&amp;"!$A$1"),1,0,$C$5,1)=B30)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2060</v>
      </c>
      <c r="H30" s="28">
        <f t="shared" ca="1" si="1"/>
        <v>22.000000000000004</v>
      </c>
      <c r="I30" s="29">
        <f t="array" aca="1" ref="I30" ca="1">IF($C$3=FALSE,"-",SUM((OFFSET(INDIRECT($C$4&amp;"!$A$1"),1,0,$C$5,1)=B30)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2266.0000000000005</v>
      </c>
      <c r="J30" s="30">
        <f t="shared" ca="1" si="2"/>
        <v>206.00000000000045</v>
      </c>
      <c r="K30" s="31">
        <f t="shared" ca="1" si="3"/>
        <v>2.0000000000000044</v>
      </c>
      <c r="L30" s="32">
        <f t="shared" ca="1" si="4"/>
        <v>-8.8817841970012523E-16</v>
      </c>
      <c r="O30"/>
    </row>
    <row r="31" spans="2:25" ht="20.100000000000001" customHeight="1" x14ac:dyDescent="0.2">
      <c r="B31" s="23" t="s">
        <v>35</v>
      </c>
      <c r="C31" s="24">
        <f t="array" aca="1" ref="C31" ca="1">IF($C$3=FALSE,"-",SUM((OFFSET(INDIRECT($C$4&amp;"!$A$1"),1,0,$C$5,1)=B31)*IF($E$3=FALSE,1,(OFFSET(INDIRECT($C$4&amp;"!$B$1"),1,0,$C$5,1)&gt;=$E$4)*(OFFSET(INDIRECT($C$4&amp;"!$B$1"),1,0,$C$5,1)&lt;=$E$5))))</f>
        <v>1</v>
      </c>
      <c r="D31" s="25">
        <f t="array" aca="1" ref="D31" ca="1">IF($C$3=FALSE,"-",SUM((OFFSET(INDIRECT($C$4&amp;"!$A$1"),1,0,$C$5,1)=B31)*OFFSET(INDIRECT($C$4&amp;"!$C$1"),1,0,$C$5,1)*IF($E$3=FALSE,1,(OFFSET(INDIRECT($C$4&amp;"!$B$1"),1,0,$C$5,1)&gt;=$E$4)*(OFFSET(INDIRECT($C$4&amp;"!$B$1"),1,0,$C$5,1)&lt;=$E$5))))</f>
        <v>17</v>
      </c>
      <c r="E31" s="34">
        <f t="array" aca="1" ref="E31" ca="1">IF($C$3=FALSE,"-",SUM((OFFSET(INDIRECT($C$4&amp;"!$A$1"),1,0,$C$5,1)=B31)*OFFSET(INDIRECT($C$4&amp;"!$D$1"),1,0,$C$5,1)*IF($E$3=FALSE,1,(OFFSET(INDIRECT($C$4&amp;"!$B$1"),1,0,$C$5,1)&gt;=$E$4)*(OFFSET(INDIRECT($C$4&amp;"!$B$1"),1,0,$C$5,1)&lt;=$E$5))))</f>
        <v>0</v>
      </c>
      <c r="F31" s="26">
        <f t="shared" ca="1" si="0"/>
        <v>50</v>
      </c>
      <c r="G31" s="27">
        <f t="array" aca="1" ref="G31" ca="1">IF($C$3=FALSE,"-",SUM((OFFSET(INDIRECT($C$4&amp;"!$A$1"),1,0,$C$5,1)=B31)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850</v>
      </c>
      <c r="H31" s="28">
        <f t="shared" ca="1" si="1"/>
        <v>50</v>
      </c>
      <c r="I31" s="29">
        <f t="array" aca="1" ref="I31" ca="1">IF($C$3=FALSE,"-",SUM((OFFSET(INDIRECT($C$4&amp;"!$A$1"),1,0,$C$5,1)=B31)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850</v>
      </c>
      <c r="J31" s="30">
        <f t="shared" ca="1" si="2"/>
        <v>0</v>
      </c>
      <c r="K31" s="31">
        <f t="shared" ca="1" si="3"/>
        <v>0</v>
      </c>
      <c r="L31" s="32">
        <f t="shared" ca="1" si="4"/>
        <v>0</v>
      </c>
      <c r="O31"/>
    </row>
    <row r="32" spans="2:25" ht="20.100000000000001" customHeight="1" x14ac:dyDescent="0.2">
      <c r="B32" s="23" t="s">
        <v>36</v>
      </c>
      <c r="C32" s="24">
        <f t="array" aca="1" ref="C32" ca="1">IF($C$3=FALSE,"-",SUM((OFFSET(INDIRECT($C$4&amp;"!$A$1"),1,0,$C$5,1)=B32)*IF($E$3=FALSE,1,(OFFSET(INDIRECT($C$4&amp;"!$B$1"),1,0,$C$5,1)&gt;=$E$4)*(OFFSET(INDIRECT($C$4&amp;"!$B$1"),1,0,$C$5,1)&lt;=$E$5))))</f>
        <v>12</v>
      </c>
      <c r="D32" s="25">
        <f t="array" aca="1" ref="D32" ca="1">IF($C$3=FALSE,"-",SUM((OFFSET(INDIRECT($C$4&amp;"!$A$1"),1,0,$C$5,1)=B32)*OFFSET(INDIRECT($C$4&amp;"!$C$1"),1,0,$C$5,1)*IF($E$3=FALSE,1,(OFFSET(INDIRECT($C$4&amp;"!$B$1"),1,0,$C$5,1)&gt;=$E$4)*(OFFSET(INDIRECT($C$4&amp;"!$B$1"),1,0,$C$5,1)&lt;=$E$5))))</f>
        <v>115.5</v>
      </c>
      <c r="E32" s="34">
        <f t="array" aca="1" ref="E32" ca="1">IF($C$3=FALSE,"-",SUM((OFFSET(INDIRECT($C$4&amp;"!$A$1"),1,0,$C$5,1)=B32)*OFFSET(INDIRECT($C$4&amp;"!$D$1"),1,0,$C$5,1)*IF($E$3=FALSE,1,(OFFSET(INDIRECT($C$4&amp;"!$B$1"),1,0,$C$5,1)&gt;=$E$4)*(OFFSET(INDIRECT($C$4&amp;"!$B$1"),1,0,$C$5,1)&lt;=$E$5))))</f>
        <v>0</v>
      </c>
      <c r="F32" s="26">
        <f t="shared" ca="1" si="0"/>
        <v>35</v>
      </c>
      <c r="G32" s="27">
        <f t="array" aca="1" ref="G32" ca="1">IF($C$3=FALSE,"-",SUM((OFFSET(INDIRECT($C$4&amp;"!$A$1"),1,0,$C$5,1)=B32)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4042.5</v>
      </c>
      <c r="H32" s="28">
        <f t="shared" ca="1" si="1"/>
        <v>35</v>
      </c>
      <c r="I32" s="29">
        <f t="array" aca="1" ref="I32" ca="1">IF($C$3=FALSE,"-",SUM((OFFSET(INDIRECT($C$4&amp;"!$A$1"),1,0,$C$5,1)=B32)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4042.5</v>
      </c>
      <c r="J32" s="30">
        <f t="shared" ca="1" si="2"/>
        <v>0</v>
      </c>
      <c r="K32" s="31">
        <f t="shared" ca="1" si="3"/>
        <v>0</v>
      </c>
      <c r="L32" s="32">
        <f t="shared" ca="1" si="4"/>
        <v>0</v>
      </c>
      <c r="O32"/>
    </row>
    <row r="33" spans="2:15" ht="20.100000000000001" customHeight="1" x14ac:dyDescent="0.2">
      <c r="B33" s="23" t="s">
        <v>37</v>
      </c>
      <c r="C33" s="24">
        <f t="array" aca="1" ref="C33" ca="1">IF($C$3=FALSE,"-",SUM((OFFSET(INDIRECT($C$4&amp;"!$A$1"),1,0,$C$5,1)=B33)*IF($E$3=FALSE,1,(OFFSET(INDIRECT($C$4&amp;"!$B$1"),1,0,$C$5,1)&gt;=$E$4)*(OFFSET(INDIRECT($C$4&amp;"!$B$1"),1,0,$C$5,1)&lt;=$E$5))))</f>
        <v>4</v>
      </c>
      <c r="D33" s="25">
        <f t="array" aca="1" ref="D33" ca="1">IF($C$3=FALSE,"-",SUM((OFFSET(INDIRECT($C$4&amp;"!$A$1"),1,0,$C$5,1)=B33)*OFFSET(INDIRECT($C$4&amp;"!$C$1"),1,0,$C$5,1)*IF($E$3=FALSE,1,(OFFSET(INDIRECT($C$4&amp;"!$B$1"),1,0,$C$5,1)&gt;=$E$4)*(OFFSET(INDIRECT($C$4&amp;"!$B$1"),1,0,$C$5,1)&lt;=$E$5))))</f>
        <v>152.5</v>
      </c>
      <c r="E33" s="34">
        <f t="array" aca="1" ref="E33" ca="1">IF($C$3=FALSE,"-",SUM((OFFSET(INDIRECT($C$4&amp;"!$A$1"),1,0,$C$5,1)=B33)*OFFSET(INDIRECT($C$4&amp;"!$D$1"),1,0,$C$5,1)*IF($E$3=FALSE,1,(OFFSET(INDIRECT($C$4&amp;"!$B$1"),1,0,$C$5,1)&gt;=$E$4)*(OFFSET(INDIRECT($C$4&amp;"!$B$1"),1,0,$C$5,1)&lt;=$E$5))))</f>
        <v>0</v>
      </c>
      <c r="F33" s="26">
        <f t="shared" ca="1" si="0"/>
        <v>42</v>
      </c>
      <c r="G33" s="27">
        <f t="array" aca="1" ref="G33" ca="1">IF($C$3=FALSE,"-",SUM((OFFSET(INDIRECT($C$4&amp;"!$A$1"),1,0,$C$5,1)=B33)*(OFFSET(INDIRECT($C$4&amp;"!$C$1"),1,0,$C$5,1)+OFFSET(INDIRECT($C$4&amp;"!$D$1"),1,0,$C$5,1))*OFFSET(INDIRECT($C$4&amp;"!$E$1"),1,0,$C$5,1)*IF($E$3=FALSE,1,(OFFSET(INDIRECT($C$4&amp;"!$B$1"),1,0,$C$5,1)&gt;=$E$4)*(OFFSET(INDIRECT($C$4&amp;"!$B$1"),1,0,$C$5,1)&lt;=$E$5))))</f>
        <v>6405</v>
      </c>
      <c r="H33" s="28">
        <f t="shared" ca="1" si="1"/>
        <v>42</v>
      </c>
      <c r="I33" s="29">
        <f t="array" aca="1" ref="I33" ca="1">IF($C$3=FALSE,"-",SUM((OFFSET(INDIRECT($C$4&amp;"!$A$1"),1,0,$C$5,1)=B33)*(OFFSET(INDIRECT($C$4&amp;"!$C$1"),1,0,$C$5,1)+OFFSET(INDIRECT($C$4&amp;"!$D$1"),1,0,$C$5,1))*OFFSET(INDIRECT($C$4&amp;"!$E$1"),1,0,$C$5,1)*OFFSET(INDIRECT($C$4&amp;"!$F$1"),1,0,$C$5,1)*IF($E$3=FALSE,1,(OFFSET(INDIRECT($C$4&amp;"!$B$1"),1,0,$C$5,1)&gt;=$E$4)*(OFFSET(INDIRECT($C$4&amp;"!$B$1"),1,0,$C$5,1)&lt;=$E$5))))</f>
        <v>6405</v>
      </c>
      <c r="J33" s="30">
        <f t="shared" ca="1" si="2"/>
        <v>0</v>
      </c>
      <c r="K33" s="31">
        <f t="shared" ca="1" si="3"/>
        <v>0</v>
      </c>
      <c r="L33" s="32">
        <f t="shared" ca="1" si="4"/>
        <v>0</v>
      </c>
      <c r="O33"/>
    </row>
    <row r="34" spans="2:15" ht="20.100000000000001" customHeight="1" x14ac:dyDescent="0.2">
      <c r="B34"/>
      <c r="O34"/>
    </row>
    <row r="35" spans="2:15" ht="20.100000000000001" customHeight="1" x14ac:dyDescent="0.2">
      <c r="B35"/>
      <c r="O35"/>
    </row>
    <row r="36" spans="2:15" ht="20.100000000000001" customHeight="1" x14ac:dyDescent="0.2">
      <c r="O36"/>
    </row>
    <row r="37" spans="2:15" ht="20.100000000000001" customHeight="1" x14ac:dyDescent="0.2">
      <c r="O37"/>
    </row>
    <row r="38" spans="2:15" ht="20.100000000000001" customHeight="1" x14ac:dyDescent="0.2">
      <c r="O38"/>
    </row>
    <row r="39" spans="2:15" ht="20.100000000000001" customHeight="1" x14ac:dyDescent="0.2">
      <c r="O39"/>
    </row>
    <row r="40" spans="2:15" ht="20.100000000000001" customHeight="1" x14ac:dyDescent="0.2">
      <c r="O40"/>
    </row>
    <row r="41" spans="2:15" ht="20.100000000000001" customHeight="1" x14ac:dyDescent="0.2">
      <c r="O41"/>
    </row>
    <row r="42" spans="2:15" ht="20.100000000000001" customHeight="1" x14ac:dyDescent="0.2">
      <c r="O42"/>
    </row>
    <row r="43" spans="2:15" ht="20.100000000000001" customHeight="1" x14ac:dyDescent="0.2">
      <c r="O43"/>
    </row>
    <row r="44" spans="2:15" ht="20.100000000000001" customHeight="1" x14ac:dyDescent="0.2">
      <c r="O44"/>
    </row>
    <row r="45" spans="2:15" ht="20.100000000000001" customHeight="1" x14ac:dyDescent="0.2">
      <c r="O45"/>
    </row>
    <row r="46" spans="2:15" ht="20.100000000000001" customHeight="1" x14ac:dyDescent="0.2">
      <c r="O46"/>
    </row>
    <row r="47" spans="2:15" ht="20.100000000000001" customHeight="1" x14ac:dyDescent="0.2">
      <c r="O47"/>
    </row>
    <row r="48" spans="2:15" ht="20.100000000000001" customHeight="1" x14ac:dyDescent="0.2">
      <c r="O48"/>
    </row>
    <row r="49" spans="2:15" ht="20.100000000000001" customHeight="1" x14ac:dyDescent="0.2">
      <c r="O49"/>
    </row>
    <row r="50" spans="2:15" ht="20.100000000000001" customHeight="1" x14ac:dyDescent="0.2">
      <c r="O50"/>
    </row>
    <row r="51" spans="2:15" ht="20.100000000000001" customHeight="1" x14ac:dyDescent="0.2">
      <c r="O51"/>
    </row>
    <row r="52" spans="2:15" ht="20.100000000000001" customHeight="1" x14ac:dyDescent="0.2">
      <c r="O52"/>
    </row>
    <row r="53" spans="2:15" ht="20.100000000000001" customHeight="1" x14ac:dyDescent="0.2">
      <c r="B53"/>
      <c r="O53"/>
    </row>
    <row r="54" spans="2:15" ht="20.100000000000001" customHeight="1" x14ac:dyDescent="0.2">
      <c r="B54"/>
      <c r="O54"/>
    </row>
    <row r="55" spans="2:15" ht="20.100000000000001" customHeight="1" x14ac:dyDescent="0.2">
      <c r="O55"/>
    </row>
    <row r="56" spans="2:15" ht="20.100000000000001" customHeight="1" x14ac:dyDescent="0.2">
      <c r="O56"/>
    </row>
    <row r="57" spans="2:15" ht="20.100000000000001" customHeight="1" x14ac:dyDescent="0.2">
      <c r="O57"/>
    </row>
    <row r="58" spans="2:15" ht="20.100000000000001" customHeight="1" x14ac:dyDescent="0.2">
      <c r="O58"/>
    </row>
    <row r="59" spans="2:15" ht="20.100000000000001" customHeight="1" x14ac:dyDescent="0.2">
      <c r="O59"/>
    </row>
    <row r="60" spans="2:15" ht="20.100000000000001" customHeight="1" x14ac:dyDescent="0.2">
      <c r="O60"/>
    </row>
    <row r="61" spans="2:15" ht="20.100000000000001" customHeight="1" x14ac:dyDescent="0.2">
      <c r="O61"/>
    </row>
    <row r="62" spans="2:15" ht="20.100000000000001" customHeight="1" x14ac:dyDescent="0.2">
      <c r="O62"/>
    </row>
    <row r="63" spans="2:15" ht="20.100000000000001" customHeight="1" x14ac:dyDescent="0.2">
      <c r="O63"/>
    </row>
    <row r="64" spans="2:15" ht="20.100000000000001" customHeight="1" x14ac:dyDescent="0.2">
      <c r="O64"/>
    </row>
    <row r="65" spans="15:15" ht="20.100000000000001" customHeight="1" x14ac:dyDescent="0.2">
      <c r="O65"/>
    </row>
    <row r="66" spans="15:15" ht="20.100000000000001" customHeight="1" x14ac:dyDescent="0.2">
      <c r="O66"/>
    </row>
    <row r="67" spans="15:15" ht="20.100000000000001" customHeight="1" x14ac:dyDescent="0.2">
      <c r="O67"/>
    </row>
    <row r="68" spans="15:15" ht="20.100000000000001" customHeight="1" x14ac:dyDescent="0.2">
      <c r="O68"/>
    </row>
    <row r="69" spans="15:15" ht="20.100000000000001" customHeight="1" x14ac:dyDescent="0.2">
      <c r="O69"/>
    </row>
    <row r="70" spans="15:15" ht="20.100000000000001" customHeight="1" x14ac:dyDescent="0.2">
      <c r="O70"/>
    </row>
    <row r="71" spans="15:15" ht="20.100000000000001" customHeight="1" x14ac:dyDescent="0.2">
      <c r="O71"/>
    </row>
    <row r="72" spans="15:15" ht="20.100000000000001" customHeight="1" x14ac:dyDescent="0.2">
      <c r="O72"/>
    </row>
    <row r="73" spans="15:15" ht="20.100000000000001" customHeight="1" x14ac:dyDescent="0.2">
      <c r="O73"/>
    </row>
    <row r="74" spans="15:15" ht="20.100000000000001" customHeight="1" x14ac:dyDescent="0.2">
      <c r="O74"/>
    </row>
    <row r="75" spans="15:15" ht="20.100000000000001" customHeight="1" x14ac:dyDescent="0.2">
      <c r="O75"/>
    </row>
    <row r="76" spans="15:15" ht="20.100000000000001" customHeight="1" x14ac:dyDescent="0.2">
      <c r="O76"/>
    </row>
    <row r="77" spans="15:15" ht="20.100000000000001" customHeight="1" x14ac:dyDescent="0.2">
      <c r="O77"/>
    </row>
    <row r="78" spans="15:15" ht="20.100000000000001" customHeight="1" x14ac:dyDescent="0.2">
      <c r="O78"/>
    </row>
    <row r="79" spans="15:15" ht="20.100000000000001" customHeight="1" x14ac:dyDescent="0.2">
      <c r="O79"/>
    </row>
    <row r="80" spans="15:15" ht="20.100000000000001" customHeight="1" x14ac:dyDescent="0.2">
      <c r="O80"/>
    </row>
    <row r="81" spans="15:15" ht="20.100000000000001" customHeight="1" x14ac:dyDescent="0.2">
      <c r="O81"/>
    </row>
    <row r="82" spans="15:15" ht="20.100000000000001" customHeight="1" x14ac:dyDescent="0.2">
      <c r="O82"/>
    </row>
    <row r="83" spans="15:15" ht="20.100000000000001" customHeight="1" x14ac:dyDescent="0.2">
      <c r="O83"/>
    </row>
    <row r="84" spans="15:15" ht="20.100000000000001" customHeight="1" x14ac:dyDescent="0.2">
      <c r="O84"/>
    </row>
    <row r="85" spans="15:15" ht="20.100000000000001" customHeight="1" x14ac:dyDescent="0.2">
      <c r="O85"/>
    </row>
    <row r="86" spans="15:15" ht="20.100000000000001" customHeight="1" x14ac:dyDescent="0.2">
      <c r="O86"/>
    </row>
    <row r="87" spans="15:15" ht="20.100000000000001" customHeight="1" x14ac:dyDescent="0.2">
      <c r="O87"/>
    </row>
    <row r="88" spans="15:15" ht="20.100000000000001" customHeight="1" x14ac:dyDescent="0.2">
      <c r="O88"/>
    </row>
    <row r="89" spans="15:15" ht="20.100000000000001" customHeight="1" x14ac:dyDescent="0.2">
      <c r="O89"/>
    </row>
    <row r="90" spans="15:15" ht="20.100000000000001" customHeight="1" x14ac:dyDescent="0.2">
      <c r="O90"/>
    </row>
    <row r="91" spans="15:15" ht="20.100000000000001" customHeight="1" x14ac:dyDescent="0.2">
      <c r="O91"/>
    </row>
    <row r="92" spans="15:15" ht="20.100000000000001" customHeight="1" x14ac:dyDescent="0.2">
      <c r="O92"/>
    </row>
    <row r="93" spans="15:15" ht="20.100000000000001" customHeight="1" x14ac:dyDescent="0.2">
      <c r="O93"/>
    </row>
    <row r="94" spans="15:15" ht="20.100000000000001" customHeight="1" x14ac:dyDescent="0.2">
      <c r="O94"/>
    </row>
    <row r="95" spans="15:15" ht="20.100000000000001" customHeight="1" x14ac:dyDescent="0.2">
      <c r="O95"/>
    </row>
    <row r="96" spans="15:15" ht="20.100000000000001" customHeight="1" x14ac:dyDescent="0.2">
      <c r="O96"/>
    </row>
    <row r="97" spans="15:15" ht="20.100000000000001" customHeight="1" x14ac:dyDescent="0.2">
      <c r="O97"/>
    </row>
    <row r="98" spans="15:15" ht="20.100000000000001" customHeight="1" x14ac:dyDescent="0.2">
      <c r="O98"/>
    </row>
    <row r="99" spans="15:15" ht="20.100000000000001" customHeight="1" x14ac:dyDescent="0.2">
      <c r="O99"/>
    </row>
    <row r="100" spans="15:15" ht="20.100000000000001" customHeight="1" x14ac:dyDescent="0.2">
      <c r="O100"/>
    </row>
    <row r="101" spans="15:15" ht="20.100000000000001" customHeight="1" x14ac:dyDescent="0.2">
      <c r="O101"/>
    </row>
    <row r="102" spans="15:15" ht="20.100000000000001" customHeight="1" x14ac:dyDescent="0.2">
      <c r="O102"/>
    </row>
    <row r="103" spans="15:15" ht="20.100000000000001" customHeight="1" x14ac:dyDescent="0.2">
      <c r="O103"/>
    </row>
    <row r="104" spans="15:15" ht="20.100000000000001" customHeight="1" x14ac:dyDescent="0.2">
      <c r="O104"/>
    </row>
    <row r="105" spans="15:15" ht="20.100000000000001" customHeight="1" x14ac:dyDescent="0.2">
      <c r="O105"/>
    </row>
    <row r="106" spans="15:15" ht="20.100000000000001" customHeight="1" x14ac:dyDescent="0.2">
      <c r="O106"/>
    </row>
    <row r="107" spans="15:15" ht="20.100000000000001" customHeight="1" x14ac:dyDescent="0.2">
      <c r="O107"/>
    </row>
    <row r="108" spans="15:15" ht="20.100000000000001" customHeight="1" x14ac:dyDescent="0.2">
      <c r="O108"/>
    </row>
    <row r="109" spans="15:15" ht="20.100000000000001" customHeight="1" x14ac:dyDescent="0.2">
      <c r="O109"/>
    </row>
    <row r="110" spans="15:15" ht="20.100000000000001" customHeight="1" x14ac:dyDescent="0.2">
      <c r="O110"/>
    </row>
    <row r="111" spans="15:15" ht="20.100000000000001" customHeight="1" x14ac:dyDescent="0.2">
      <c r="O111"/>
    </row>
    <row r="112" spans="15:15" ht="20.100000000000001" customHeight="1" x14ac:dyDescent="0.2">
      <c r="O112"/>
    </row>
    <row r="113" spans="15:15" ht="20.100000000000001" customHeight="1" x14ac:dyDescent="0.2">
      <c r="O113"/>
    </row>
    <row r="114" spans="15:15" ht="20.100000000000001" customHeight="1" x14ac:dyDescent="0.2">
      <c r="O114"/>
    </row>
    <row r="115" spans="15:15" ht="20.100000000000001" customHeight="1" x14ac:dyDescent="0.2">
      <c r="O115"/>
    </row>
    <row r="116" spans="15:15" ht="20.100000000000001" customHeight="1" x14ac:dyDescent="0.2">
      <c r="O116"/>
    </row>
    <row r="117" spans="15:15" ht="20.100000000000001" customHeight="1" x14ac:dyDescent="0.2">
      <c r="O117"/>
    </row>
    <row r="118" spans="15:15" ht="20.100000000000001" customHeight="1" x14ac:dyDescent="0.2">
      <c r="O118"/>
    </row>
    <row r="119" spans="15:15" ht="20.100000000000001" customHeight="1" x14ac:dyDescent="0.2">
      <c r="O119"/>
    </row>
    <row r="120" spans="15:15" ht="20.100000000000001" customHeight="1" x14ac:dyDescent="0.2">
      <c r="O120"/>
    </row>
    <row r="121" spans="15:15" ht="20.100000000000001" customHeight="1" x14ac:dyDescent="0.2">
      <c r="O121"/>
    </row>
    <row r="122" spans="15:15" ht="20.100000000000001" customHeight="1" x14ac:dyDescent="0.2">
      <c r="O122"/>
    </row>
    <row r="123" spans="15:15" ht="20.100000000000001" customHeight="1" x14ac:dyDescent="0.2">
      <c r="O123"/>
    </row>
    <row r="124" spans="15:15" ht="20.100000000000001" customHeight="1" x14ac:dyDescent="0.2">
      <c r="O124"/>
    </row>
    <row r="125" spans="15:15" ht="20.100000000000001" customHeight="1" x14ac:dyDescent="0.2">
      <c r="O125"/>
    </row>
    <row r="126" spans="15:15" ht="20.100000000000001" customHeight="1" x14ac:dyDescent="0.2">
      <c r="O126"/>
    </row>
    <row r="127" spans="15:15" ht="20.100000000000001" customHeight="1" x14ac:dyDescent="0.2">
      <c r="O127"/>
    </row>
    <row r="128" spans="15:15" ht="20.100000000000001" customHeight="1" x14ac:dyDescent="0.2">
      <c r="O128"/>
    </row>
    <row r="129" spans="15:15" ht="20.100000000000001" customHeight="1" x14ac:dyDescent="0.2">
      <c r="O129"/>
    </row>
    <row r="130" spans="15:15" ht="20.100000000000001" customHeight="1" x14ac:dyDescent="0.2">
      <c r="O130"/>
    </row>
    <row r="131" spans="15:15" ht="20.100000000000001" customHeight="1" x14ac:dyDescent="0.2">
      <c r="O131"/>
    </row>
    <row r="132" spans="15:15" ht="20.100000000000001" customHeight="1" x14ac:dyDescent="0.2">
      <c r="O132"/>
    </row>
    <row r="133" spans="15:15" ht="20.100000000000001" customHeight="1" x14ac:dyDescent="0.2">
      <c r="O133"/>
    </row>
    <row r="134" spans="15:15" ht="20.100000000000001" customHeight="1" x14ac:dyDescent="0.2">
      <c r="O134"/>
    </row>
    <row r="135" spans="15:15" ht="20.100000000000001" customHeight="1" x14ac:dyDescent="0.2">
      <c r="O135"/>
    </row>
    <row r="136" spans="15:15" ht="20.100000000000001" customHeight="1" x14ac:dyDescent="0.2">
      <c r="O136"/>
    </row>
    <row r="137" spans="15:15" ht="20.100000000000001" customHeight="1" x14ac:dyDescent="0.2">
      <c r="O137"/>
    </row>
    <row r="138" spans="15:15" ht="20.100000000000001" customHeight="1" x14ac:dyDescent="0.2">
      <c r="O138"/>
    </row>
    <row r="139" spans="15:15" ht="20.100000000000001" customHeight="1" x14ac:dyDescent="0.2">
      <c r="O139"/>
    </row>
    <row r="140" spans="15:15" ht="20.100000000000001" customHeight="1" x14ac:dyDescent="0.2">
      <c r="O140"/>
    </row>
    <row r="141" spans="15:15" ht="20.100000000000001" customHeight="1" x14ac:dyDescent="0.2">
      <c r="O141"/>
    </row>
    <row r="142" spans="15:15" ht="20.100000000000001" customHeight="1" x14ac:dyDescent="0.2">
      <c r="O142"/>
    </row>
    <row r="143" spans="15:15" ht="20.100000000000001" customHeight="1" x14ac:dyDescent="0.2">
      <c r="O143"/>
    </row>
    <row r="144" spans="15:15" ht="20.100000000000001" customHeight="1" x14ac:dyDescent="0.2">
      <c r="O144"/>
    </row>
    <row r="145" spans="15:15" ht="20.100000000000001" customHeight="1" x14ac:dyDescent="0.2">
      <c r="O145"/>
    </row>
    <row r="146" spans="15:15" ht="20.100000000000001" customHeight="1" x14ac:dyDescent="0.2">
      <c r="O146"/>
    </row>
    <row r="147" spans="15:15" ht="20.100000000000001" customHeight="1" x14ac:dyDescent="0.2">
      <c r="O147"/>
    </row>
    <row r="148" spans="15:15" ht="20.100000000000001" customHeight="1" x14ac:dyDescent="0.2">
      <c r="O148"/>
    </row>
    <row r="149" spans="15:15" ht="20.100000000000001" customHeight="1" x14ac:dyDescent="0.2">
      <c r="O149"/>
    </row>
    <row r="150" spans="15:15" ht="20.100000000000001" customHeight="1" x14ac:dyDescent="0.2">
      <c r="O150"/>
    </row>
    <row r="151" spans="15:15" ht="20.100000000000001" customHeight="1" x14ac:dyDescent="0.2">
      <c r="O151"/>
    </row>
    <row r="152" spans="15:15" ht="20.100000000000001" customHeight="1" x14ac:dyDescent="0.2">
      <c r="O152"/>
    </row>
    <row r="153" spans="15:15" ht="20.100000000000001" customHeight="1" x14ac:dyDescent="0.2">
      <c r="O153"/>
    </row>
    <row r="154" spans="15:15" ht="20.100000000000001" customHeight="1" x14ac:dyDescent="0.2">
      <c r="O154"/>
    </row>
    <row r="155" spans="15:15" ht="20.100000000000001" customHeight="1" x14ac:dyDescent="0.2">
      <c r="O155"/>
    </row>
    <row r="156" spans="15:15" ht="20.100000000000001" customHeight="1" x14ac:dyDescent="0.2">
      <c r="O156"/>
    </row>
    <row r="157" spans="15:15" ht="20.100000000000001" customHeight="1" x14ac:dyDescent="0.2">
      <c r="O157"/>
    </row>
    <row r="158" spans="15:15" ht="20.100000000000001" customHeight="1" x14ac:dyDescent="0.2">
      <c r="O158"/>
    </row>
    <row r="159" spans="15:15" ht="20.100000000000001" customHeight="1" x14ac:dyDescent="0.2">
      <c r="O159"/>
    </row>
    <row r="160" spans="15:15" ht="20.100000000000001" customHeight="1" x14ac:dyDescent="0.2">
      <c r="O160"/>
    </row>
    <row r="161" spans="15:15" ht="20.100000000000001" customHeight="1" x14ac:dyDescent="0.2">
      <c r="O161"/>
    </row>
    <row r="162" spans="15:15" ht="20.100000000000001" customHeight="1" x14ac:dyDescent="0.2">
      <c r="O162"/>
    </row>
    <row r="163" spans="15:15" ht="20.100000000000001" customHeight="1" x14ac:dyDescent="0.2">
      <c r="O163"/>
    </row>
    <row r="164" spans="15:15" ht="20.100000000000001" customHeight="1" x14ac:dyDescent="0.2">
      <c r="O164"/>
    </row>
    <row r="165" spans="15:15" ht="20.100000000000001" customHeight="1" x14ac:dyDescent="0.2">
      <c r="O165"/>
    </row>
    <row r="166" spans="15:15" ht="20.100000000000001" customHeight="1" x14ac:dyDescent="0.2">
      <c r="O166"/>
    </row>
    <row r="167" spans="15:15" ht="20.100000000000001" customHeight="1" x14ac:dyDescent="0.2">
      <c r="O167"/>
    </row>
    <row r="168" spans="15:15" ht="20.100000000000001" customHeight="1" x14ac:dyDescent="0.2">
      <c r="O168"/>
    </row>
    <row r="169" spans="15:15" ht="20.100000000000001" customHeight="1" x14ac:dyDescent="0.2">
      <c r="O169"/>
    </row>
    <row r="170" spans="15:15" ht="20.100000000000001" customHeight="1" x14ac:dyDescent="0.2">
      <c r="O170"/>
    </row>
    <row r="171" spans="15:15" ht="20.100000000000001" customHeight="1" x14ac:dyDescent="0.2">
      <c r="O171"/>
    </row>
    <row r="172" spans="15:15" ht="20.100000000000001" customHeight="1" x14ac:dyDescent="0.2">
      <c r="O172"/>
    </row>
    <row r="173" spans="15:15" ht="20.100000000000001" customHeight="1" x14ac:dyDescent="0.2">
      <c r="O173"/>
    </row>
    <row r="174" spans="15:15" ht="20.100000000000001" customHeight="1" x14ac:dyDescent="0.2">
      <c r="O174"/>
    </row>
    <row r="175" spans="15:15" ht="20.100000000000001" customHeight="1" x14ac:dyDescent="0.2">
      <c r="O175"/>
    </row>
    <row r="176" spans="15:15" ht="20.100000000000001" customHeight="1" x14ac:dyDescent="0.2">
      <c r="O176"/>
    </row>
    <row r="177" spans="15:15" ht="20.100000000000001" customHeight="1" x14ac:dyDescent="0.2">
      <c r="O177"/>
    </row>
    <row r="178" spans="15:15" ht="20.100000000000001" customHeight="1" x14ac:dyDescent="0.2">
      <c r="O178"/>
    </row>
    <row r="179" spans="15:15" ht="20.100000000000001" customHeight="1" x14ac:dyDescent="0.2">
      <c r="O179"/>
    </row>
    <row r="180" spans="15:15" ht="20.100000000000001" customHeight="1" x14ac:dyDescent="0.2">
      <c r="O180"/>
    </row>
    <row r="181" spans="15:15" ht="20.100000000000001" customHeight="1" x14ac:dyDescent="0.2">
      <c r="O181"/>
    </row>
    <row r="182" spans="15:15" ht="20.100000000000001" customHeight="1" x14ac:dyDescent="0.2">
      <c r="O182"/>
    </row>
    <row r="183" spans="15:15" ht="20.100000000000001" customHeight="1" x14ac:dyDescent="0.2">
      <c r="O183"/>
    </row>
    <row r="184" spans="15:15" ht="20.100000000000001" customHeight="1" x14ac:dyDescent="0.2">
      <c r="O184"/>
    </row>
    <row r="185" spans="15:15" ht="20.100000000000001" customHeight="1" x14ac:dyDescent="0.2">
      <c r="O185"/>
    </row>
    <row r="186" spans="15:15" ht="20.100000000000001" customHeight="1" x14ac:dyDescent="0.2">
      <c r="O186"/>
    </row>
    <row r="187" spans="15:15" ht="20.100000000000001" customHeight="1" x14ac:dyDescent="0.2">
      <c r="O187"/>
    </row>
    <row r="188" spans="15:15" ht="20.100000000000001" customHeight="1" x14ac:dyDescent="0.2">
      <c r="O188"/>
    </row>
    <row r="189" spans="15:15" ht="20.100000000000001" customHeight="1" x14ac:dyDescent="0.2">
      <c r="O189"/>
    </row>
    <row r="190" spans="15:15" ht="20.100000000000001" customHeight="1" x14ac:dyDescent="0.2">
      <c r="O190"/>
    </row>
    <row r="191" spans="15:15" ht="20.100000000000001" customHeight="1" x14ac:dyDescent="0.2">
      <c r="O191"/>
    </row>
    <row r="192" spans="15:15" ht="20.100000000000001" customHeight="1" x14ac:dyDescent="0.2">
      <c r="O192"/>
    </row>
    <row r="193" spans="15:15" ht="20.100000000000001" customHeight="1" x14ac:dyDescent="0.2">
      <c r="O193"/>
    </row>
    <row r="194" spans="15:15" ht="20.100000000000001" customHeight="1" x14ac:dyDescent="0.2">
      <c r="O194"/>
    </row>
    <row r="195" spans="15:15" ht="20.100000000000001" customHeight="1" x14ac:dyDescent="0.2">
      <c r="O195"/>
    </row>
    <row r="196" spans="15:15" ht="20.100000000000001" customHeight="1" x14ac:dyDescent="0.2">
      <c r="O196"/>
    </row>
    <row r="197" spans="15:15" ht="20.100000000000001" customHeight="1" x14ac:dyDescent="0.2">
      <c r="O197"/>
    </row>
    <row r="198" spans="15:15" ht="20.100000000000001" customHeight="1" x14ac:dyDescent="0.2">
      <c r="O198"/>
    </row>
    <row r="199" spans="15:15" ht="20.100000000000001" customHeight="1" x14ac:dyDescent="0.2">
      <c r="O199"/>
    </row>
    <row r="200" spans="15:15" ht="20.100000000000001" customHeight="1" x14ac:dyDescent="0.2">
      <c r="O200"/>
    </row>
    <row r="201" spans="15:15" ht="20.100000000000001" customHeight="1" x14ac:dyDescent="0.2">
      <c r="O201"/>
    </row>
    <row r="202" spans="15:15" ht="20.100000000000001" customHeight="1" x14ac:dyDescent="0.2">
      <c r="O202"/>
    </row>
    <row r="203" spans="15:15" ht="20.100000000000001" customHeight="1" x14ac:dyDescent="0.2">
      <c r="O203"/>
    </row>
    <row r="204" spans="15:15" ht="20.100000000000001" customHeight="1" x14ac:dyDescent="0.2">
      <c r="O204"/>
    </row>
    <row r="205" spans="15:15" ht="20.100000000000001" customHeight="1" x14ac:dyDescent="0.2">
      <c r="O205"/>
    </row>
    <row r="206" spans="15:15" ht="20.100000000000001" customHeight="1" x14ac:dyDescent="0.2">
      <c r="O206"/>
    </row>
    <row r="207" spans="15:15" ht="20.100000000000001" customHeight="1" x14ac:dyDescent="0.2">
      <c r="O207"/>
    </row>
    <row r="208" spans="15:15" ht="20.100000000000001" customHeight="1" x14ac:dyDescent="0.2">
      <c r="O208"/>
    </row>
    <row r="209" spans="15:15" ht="20.100000000000001" customHeight="1" x14ac:dyDescent="0.2">
      <c r="O209"/>
    </row>
    <row r="210" spans="15:15" ht="20.100000000000001" customHeight="1" x14ac:dyDescent="0.2">
      <c r="O210"/>
    </row>
    <row r="211" spans="15:15" ht="20.100000000000001" customHeight="1" x14ac:dyDescent="0.2">
      <c r="O211"/>
    </row>
    <row r="212" spans="15:15" ht="20.100000000000001" customHeight="1" x14ac:dyDescent="0.2">
      <c r="O212"/>
    </row>
    <row r="213" spans="15:15" ht="20.100000000000001" customHeight="1" x14ac:dyDescent="0.2">
      <c r="O213"/>
    </row>
    <row r="214" spans="15:15" ht="20.100000000000001" customHeight="1" x14ac:dyDescent="0.2">
      <c r="O214"/>
    </row>
    <row r="215" spans="15:15" ht="20.100000000000001" customHeight="1" x14ac:dyDescent="0.2">
      <c r="O215"/>
    </row>
    <row r="216" spans="15:15" ht="20.100000000000001" customHeight="1" x14ac:dyDescent="0.2">
      <c r="O216"/>
    </row>
    <row r="217" spans="15:15" ht="20.100000000000001" customHeight="1" x14ac:dyDescent="0.2">
      <c r="O217"/>
    </row>
    <row r="218" spans="15:15" ht="20.100000000000001" customHeight="1" x14ac:dyDescent="0.2">
      <c r="O218"/>
    </row>
    <row r="219" spans="15:15" ht="20.100000000000001" customHeight="1" x14ac:dyDescent="0.2">
      <c r="O219"/>
    </row>
    <row r="220" spans="15:15" ht="20.100000000000001" customHeight="1" x14ac:dyDescent="0.2">
      <c r="O220"/>
    </row>
    <row r="221" spans="15:15" ht="20.100000000000001" customHeight="1" x14ac:dyDescent="0.2">
      <c r="O221"/>
    </row>
    <row r="222" spans="15:15" ht="20.100000000000001" customHeight="1" x14ac:dyDescent="0.2">
      <c r="O222"/>
    </row>
    <row r="223" spans="15:15" ht="20.100000000000001" customHeight="1" x14ac:dyDescent="0.2">
      <c r="O223"/>
    </row>
    <row r="224" spans="15:15" ht="20.100000000000001" customHeight="1" x14ac:dyDescent="0.2">
      <c r="O224"/>
    </row>
    <row r="225" spans="15:15" ht="20.100000000000001" customHeight="1" x14ac:dyDescent="0.2">
      <c r="O225"/>
    </row>
    <row r="226" spans="15:15" ht="20.100000000000001" customHeight="1" x14ac:dyDescent="0.2">
      <c r="O226"/>
    </row>
    <row r="227" spans="15:15" ht="20.100000000000001" customHeight="1" x14ac:dyDescent="0.2">
      <c r="O227"/>
    </row>
    <row r="228" spans="15:15" ht="20.100000000000001" customHeight="1" x14ac:dyDescent="0.2">
      <c r="O228"/>
    </row>
    <row r="229" spans="15:15" ht="20.100000000000001" customHeight="1" x14ac:dyDescent="0.2">
      <c r="O229"/>
    </row>
    <row r="230" spans="15:15" ht="20.100000000000001" customHeight="1" x14ac:dyDescent="0.2">
      <c r="O230"/>
    </row>
    <row r="231" spans="15:15" ht="20.100000000000001" customHeight="1" x14ac:dyDescent="0.2">
      <c r="O231"/>
    </row>
    <row r="232" spans="15:15" ht="20.100000000000001" customHeight="1" x14ac:dyDescent="0.2">
      <c r="O232"/>
    </row>
    <row r="233" spans="15:15" ht="20.100000000000001" customHeight="1" x14ac:dyDescent="0.2">
      <c r="O233"/>
    </row>
    <row r="234" spans="15:15" ht="20.100000000000001" customHeight="1" x14ac:dyDescent="0.2">
      <c r="O234"/>
    </row>
    <row r="235" spans="15:15" ht="20.100000000000001" customHeight="1" x14ac:dyDescent="0.2">
      <c r="O235"/>
    </row>
    <row r="236" spans="15:15" ht="20.100000000000001" customHeight="1" x14ac:dyDescent="0.2">
      <c r="O236"/>
    </row>
    <row r="237" spans="15:15" ht="20.100000000000001" customHeight="1" x14ac:dyDescent="0.2">
      <c r="O237"/>
    </row>
    <row r="238" spans="15:15" ht="20.100000000000001" customHeight="1" x14ac:dyDescent="0.2">
      <c r="O238"/>
    </row>
    <row r="239" spans="15:15" ht="20.100000000000001" customHeight="1" x14ac:dyDescent="0.2">
      <c r="O239"/>
    </row>
    <row r="240" spans="15:15" ht="20.100000000000001" customHeight="1" x14ac:dyDescent="0.2">
      <c r="O240"/>
    </row>
    <row r="241" spans="15:15" ht="20.100000000000001" customHeight="1" x14ac:dyDescent="0.2">
      <c r="O241"/>
    </row>
    <row r="242" spans="15:15" ht="20.100000000000001" customHeight="1" x14ac:dyDescent="0.2">
      <c r="O242"/>
    </row>
    <row r="243" spans="15:15" ht="20.100000000000001" customHeight="1" x14ac:dyDescent="0.2">
      <c r="O243"/>
    </row>
    <row r="244" spans="15:15" ht="20.100000000000001" customHeight="1" x14ac:dyDescent="0.2">
      <c r="O244"/>
    </row>
    <row r="245" spans="15:15" ht="20.100000000000001" customHeight="1" x14ac:dyDescent="0.2">
      <c r="O245"/>
    </row>
    <row r="246" spans="15:15" ht="20.100000000000001" customHeight="1" x14ac:dyDescent="0.2">
      <c r="O246"/>
    </row>
    <row r="247" spans="15:15" ht="20.100000000000001" customHeight="1" x14ac:dyDescent="0.2">
      <c r="O247"/>
    </row>
    <row r="248" spans="15:15" ht="20.100000000000001" customHeight="1" x14ac:dyDescent="0.2">
      <c r="O248"/>
    </row>
    <row r="249" spans="15:15" ht="20.100000000000001" customHeight="1" x14ac:dyDescent="0.2">
      <c r="O249"/>
    </row>
    <row r="250" spans="15:15" ht="20.100000000000001" customHeight="1" x14ac:dyDescent="0.2">
      <c r="O250"/>
    </row>
    <row r="251" spans="15:15" ht="20.100000000000001" customHeight="1" x14ac:dyDescent="0.2">
      <c r="O251"/>
    </row>
    <row r="252" spans="15:15" ht="20.100000000000001" customHeight="1" x14ac:dyDescent="0.2">
      <c r="O252"/>
    </row>
    <row r="253" spans="15:15" ht="20.100000000000001" customHeight="1" x14ac:dyDescent="0.2">
      <c r="O253"/>
    </row>
    <row r="254" spans="15:15" ht="20.100000000000001" customHeight="1" x14ac:dyDescent="0.2">
      <c r="O254"/>
    </row>
    <row r="255" spans="15:15" ht="20.100000000000001" customHeight="1" x14ac:dyDescent="0.2">
      <c r="O255"/>
    </row>
    <row r="256" spans="15:15" ht="20.100000000000001" customHeight="1" x14ac:dyDescent="0.2">
      <c r="O256"/>
    </row>
    <row r="257" spans="15:15" ht="20.100000000000001" customHeight="1" x14ac:dyDescent="0.2">
      <c r="O257"/>
    </row>
    <row r="258" spans="15:15" ht="20.100000000000001" customHeight="1" x14ac:dyDescent="0.2">
      <c r="O258"/>
    </row>
    <row r="259" spans="15:15" ht="20.100000000000001" customHeight="1" x14ac:dyDescent="0.2">
      <c r="O259"/>
    </row>
    <row r="260" spans="15:15" ht="20.100000000000001" customHeight="1" x14ac:dyDescent="0.2">
      <c r="O260"/>
    </row>
    <row r="261" spans="15:15" ht="20.100000000000001" customHeight="1" x14ac:dyDescent="0.2">
      <c r="O261"/>
    </row>
    <row r="262" spans="15:15" ht="20.100000000000001" customHeight="1" x14ac:dyDescent="0.2">
      <c r="O262"/>
    </row>
    <row r="263" spans="15:15" ht="20.100000000000001" customHeight="1" x14ac:dyDescent="0.2">
      <c r="O263"/>
    </row>
    <row r="264" spans="15:15" ht="20.100000000000001" customHeight="1" x14ac:dyDescent="0.2">
      <c r="O264"/>
    </row>
    <row r="265" spans="15:15" ht="20.100000000000001" customHeight="1" x14ac:dyDescent="0.2">
      <c r="O265"/>
    </row>
    <row r="266" spans="15:15" ht="20.100000000000001" customHeight="1" x14ac:dyDescent="0.2">
      <c r="O266"/>
    </row>
    <row r="267" spans="15:15" ht="20.100000000000001" customHeight="1" x14ac:dyDescent="0.2">
      <c r="O267"/>
    </row>
    <row r="268" spans="15:15" ht="20.100000000000001" customHeight="1" x14ac:dyDescent="0.2">
      <c r="O268"/>
    </row>
    <row r="269" spans="15:15" ht="20.100000000000001" customHeight="1" x14ac:dyDescent="0.2">
      <c r="O269"/>
    </row>
    <row r="270" spans="15:15" ht="20.100000000000001" customHeight="1" x14ac:dyDescent="0.2">
      <c r="O270"/>
    </row>
    <row r="271" spans="15:15" ht="20.100000000000001" customHeight="1" x14ac:dyDescent="0.2">
      <c r="O271"/>
    </row>
    <row r="272" spans="15:15" ht="20.100000000000001" customHeight="1" x14ac:dyDescent="0.2">
      <c r="O272"/>
    </row>
    <row r="273" spans="15:15" ht="20.100000000000001" customHeight="1" x14ac:dyDescent="0.2">
      <c r="O273"/>
    </row>
    <row r="274" spans="15:15" ht="20.100000000000001" customHeight="1" x14ac:dyDescent="0.2">
      <c r="O274"/>
    </row>
    <row r="275" spans="15:15" ht="20.100000000000001" customHeight="1" x14ac:dyDescent="0.2">
      <c r="O275"/>
    </row>
    <row r="276" spans="15:15" ht="20.100000000000001" customHeight="1" x14ac:dyDescent="0.2">
      <c r="O276"/>
    </row>
    <row r="277" spans="15:15" ht="20.100000000000001" customHeight="1" x14ac:dyDescent="0.2">
      <c r="O277"/>
    </row>
    <row r="278" spans="15:15" ht="20.100000000000001" customHeight="1" x14ac:dyDescent="0.2">
      <c r="O278"/>
    </row>
    <row r="279" spans="15:15" ht="20.100000000000001" customHeight="1" x14ac:dyDescent="0.2">
      <c r="O279"/>
    </row>
    <row r="280" spans="15:15" ht="20.100000000000001" customHeight="1" x14ac:dyDescent="0.2">
      <c r="O280"/>
    </row>
    <row r="281" spans="15:15" ht="20.100000000000001" customHeight="1" x14ac:dyDescent="0.2">
      <c r="O281"/>
    </row>
  </sheetData>
  <dataValidations count="1">
    <dataValidation type="list" allowBlank="1" showInputMessage="1" showErrorMessage="1" sqref="E3 C3">
      <formula1>"TRUE, FALSE"</formula1>
    </dataValidation>
  </dataValidations>
  <pageMargins left="0.75" right="0.75" top="1" bottom="1" header="0.5" footer="0.5"/>
  <pageSetup scale="18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>
    <tabColor rgb="FFFF0000"/>
    <pageSetUpPr fitToPage="1"/>
  </sheetPr>
  <dimension ref="A1:I251"/>
  <sheetViews>
    <sheetView workbookViewId="0">
      <selection activeCell="D25" sqref="D25"/>
    </sheetView>
  </sheetViews>
  <sheetFormatPr defaultColWidth="15.85546875" defaultRowHeight="20.100000000000001" customHeight="1" x14ac:dyDescent="0.2"/>
  <cols>
    <col min="1" max="1" width="15.85546875" style="1"/>
    <col min="2" max="2" width="21.140625" style="1" bestFit="1" customWidth="1"/>
    <col min="3" max="16384" width="15.85546875" style="1"/>
  </cols>
  <sheetData>
    <row r="1" spans="1:9" ht="20.100000000000001" customHeight="1" x14ac:dyDescent="0.2">
      <c r="A1" s="2" t="s">
        <v>2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" t="s">
        <v>53</v>
      </c>
    </row>
    <row r="2" spans="1:9" s="5" customFormat="1" ht="20.100000000000001" customHeight="1" x14ac:dyDescent="0.2">
      <c r="A2" s="41" t="s">
        <v>9</v>
      </c>
      <c r="B2" s="42">
        <f>DATE(2013,5,13)</f>
        <v>41407</v>
      </c>
      <c r="C2" s="41">
        <v>4.75</v>
      </c>
      <c r="D2" s="41"/>
      <c r="E2" s="41">
        <v>35</v>
      </c>
      <c r="F2" s="41">
        <v>1</v>
      </c>
      <c r="G2" s="41">
        <f>((C2+D2)*E2)*F2</f>
        <v>166.25</v>
      </c>
      <c r="H2" s="41" t="s">
        <v>10</v>
      </c>
      <c r="I2" s="5" t="s">
        <v>53</v>
      </c>
    </row>
    <row r="3" spans="1:9" s="5" customFormat="1" ht="20.100000000000001" customHeight="1" x14ac:dyDescent="0.2">
      <c r="A3" s="41" t="s">
        <v>11</v>
      </c>
      <c r="B3" s="42">
        <f>DATE(2013,5,13)</f>
        <v>41407</v>
      </c>
      <c r="C3" s="41">
        <v>4.75</v>
      </c>
      <c r="D3" s="41"/>
      <c r="E3" s="41">
        <v>25</v>
      </c>
      <c r="F3" s="41">
        <v>1.1000000000000001</v>
      </c>
      <c r="G3" s="41">
        <f t="shared" ref="G3:G66" si="0">((C3+D3)*E3)*F3</f>
        <v>130.625</v>
      </c>
      <c r="H3" s="41" t="str">
        <f>H2</f>
        <v>Move Panels</v>
      </c>
      <c r="I3" s="5" t="s">
        <v>53</v>
      </c>
    </row>
    <row r="4" spans="1:9" s="5" customFormat="1" ht="20.100000000000001" customHeight="1" x14ac:dyDescent="0.2">
      <c r="A4" s="41" t="s">
        <v>12</v>
      </c>
      <c r="B4" s="42">
        <f>DATE(2013,5,14)</f>
        <v>41408</v>
      </c>
      <c r="C4" s="41">
        <v>7.5</v>
      </c>
      <c r="D4" s="41"/>
      <c r="E4" s="41">
        <v>22</v>
      </c>
      <c r="F4" s="41">
        <v>1.1000000000000001</v>
      </c>
      <c r="G4" s="41">
        <f t="shared" si="0"/>
        <v>181.50000000000003</v>
      </c>
      <c r="H4" s="41" t="s">
        <v>10</v>
      </c>
      <c r="I4" s="5" t="s">
        <v>53</v>
      </c>
    </row>
    <row r="5" spans="1:9" s="5" customFormat="1" ht="20.100000000000001" customHeight="1" x14ac:dyDescent="0.2">
      <c r="A5" s="41" t="s">
        <v>13</v>
      </c>
      <c r="B5" s="42">
        <f>DATE(2013,5,14)</f>
        <v>41408</v>
      </c>
      <c r="C5" s="41">
        <v>4</v>
      </c>
      <c r="D5" s="41">
        <v>1</v>
      </c>
      <c r="E5" s="41">
        <v>42</v>
      </c>
      <c r="F5" s="41">
        <v>1.1000000000000001</v>
      </c>
      <c r="G5" s="41">
        <f t="shared" si="0"/>
        <v>231.00000000000003</v>
      </c>
      <c r="H5" s="41" t="str">
        <f>H4</f>
        <v>Move Panels</v>
      </c>
      <c r="I5" s="5" t="s">
        <v>53</v>
      </c>
    </row>
    <row r="6" spans="1:9" s="5" customFormat="1" ht="20.100000000000001" customHeight="1" x14ac:dyDescent="0.2">
      <c r="A6" s="41" t="s">
        <v>14</v>
      </c>
      <c r="B6" s="42">
        <f>DATE(2013,5,14)</f>
        <v>41408</v>
      </c>
      <c r="C6" s="41">
        <v>8</v>
      </c>
      <c r="D6" s="41"/>
      <c r="E6" s="41">
        <v>23</v>
      </c>
      <c r="F6" s="41">
        <v>1.1000000000000001</v>
      </c>
      <c r="G6" s="41">
        <f t="shared" si="0"/>
        <v>202.4</v>
      </c>
      <c r="H6" s="41" t="s">
        <v>10</v>
      </c>
      <c r="I6" s="5" t="s">
        <v>53</v>
      </c>
    </row>
    <row r="7" spans="1:9" s="5" customFormat="1" ht="20.100000000000001" customHeight="1" x14ac:dyDescent="0.2">
      <c r="A7" s="41" t="s">
        <v>9</v>
      </c>
      <c r="B7" s="42">
        <f>DATE(2013,5,14)</f>
        <v>41408</v>
      </c>
      <c r="C7" s="41">
        <v>8.5</v>
      </c>
      <c r="D7" s="41"/>
      <c r="E7" s="41">
        <v>35</v>
      </c>
      <c r="F7" s="41">
        <v>1</v>
      </c>
      <c r="G7" s="41">
        <f t="shared" si="0"/>
        <v>297.5</v>
      </c>
      <c r="H7" s="41" t="s">
        <v>10</v>
      </c>
      <c r="I7" s="5" t="s">
        <v>53</v>
      </c>
    </row>
    <row r="8" spans="1:9" s="5" customFormat="1" ht="20.100000000000001" customHeight="1" x14ac:dyDescent="0.2">
      <c r="A8" s="41" t="s">
        <v>11</v>
      </c>
      <c r="B8" s="42">
        <f>DATE(2013,5,14)</f>
        <v>41408</v>
      </c>
      <c r="C8" s="41">
        <v>8.5</v>
      </c>
      <c r="D8" s="41"/>
      <c r="E8" s="41">
        <v>25</v>
      </c>
      <c r="F8" s="41">
        <v>1.1000000000000001</v>
      </c>
      <c r="G8" s="41">
        <f t="shared" si="0"/>
        <v>233.75000000000003</v>
      </c>
      <c r="H8" s="41" t="str">
        <f>H7</f>
        <v>Move Panels</v>
      </c>
      <c r="I8" s="5" t="s">
        <v>53</v>
      </c>
    </row>
    <row r="9" spans="1:9" s="5" customFormat="1" ht="20.100000000000001" customHeight="1" x14ac:dyDescent="0.2">
      <c r="A9" s="41" t="s">
        <v>14</v>
      </c>
      <c r="B9" s="42">
        <f t="shared" ref="B9:B14" si="1">DATE(2013,5,15)</f>
        <v>41409</v>
      </c>
      <c r="C9" s="41">
        <v>7.5</v>
      </c>
      <c r="D9" s="41"/>
      <c r="E9" s="41">
        <v>23</v>
      </c>
      <c r="F9" s="41">
        <v>1.1000000000000001</v>
      </c>
      <c r="G9" s="41">
        <f t="shared" si="0"/>
        <v>189.75000000000003</v>
      </c>
      <c r="H9" s="41" t="s">
        <v>10</v>
      </c>
      <c r="I9" s="5" t="s">
        <v>53</v>
      </c>
    </row>
    <row r="10" spans="1:9" s="5" customFormat="1" ht="20.100000000000001" customHeight="1" x14ac:dyDescent="0.2">
      <c r="A10" s="41" t="s">
        <v>14</v>
      </c>
      <c r="B10" s="42">
        <f t="shared" si="1"/>
        <v>41409</v>
      </c>
      <c r="C10" s="41">
        <v>2.5</v>
      </c>
      <c r="D10" s="41"/>
      <c r="E10" s="41">
        <v>23</v>
      </c>
      <c r="F10" s="41">
        <v>1.1000000000000001</v>
      </c>
      <c r="G10" s="41">
        <f t="shared" si="0"/>
        <v>63.250000000000007</v>
      </c>
      <c r="H10" s="41" t="s">
        <v>15</v>
      </c>
      <c r="I10" s="5" t="s">
        <v>53</v>
      </c>
    </row>
    <row r="11" spans="1:9" s="5" customFormat="1" ht="20.100000000000001" customHeight="1" x14ac:dyDescent="0.2">
      <c r="A11" s="41" t="s">
        <v>11</v>
      </c>
      <c r="B11" s="42">
        <f t="shared" si="1"/>
        <v>41409</v>
      </c>
      <c r="C11" s="41">
        <v>7.5</v>
      </c>
      <c r="D11" s="41"/>
      <c r="E11" s="41">
        <v>25</v>
      </c>
      <c r="F11" s="41">
        <v>1.1000000000000001</v>
      </c>
      <c r="G11" s="41">
        <f t="shared" si="0"/>
        <v>206.25000000000003</v>
      </c>
      <c r="H11" s="41" t="str">
        <f>H5</f>
        <v>Move Panels</v>
      </c>
      <c r="I11" s="5" t="s">
        <v>53</v>
      </c>
    </row>
    <row r="12" spans="1:9" s="5" customFormat="1" ht="20.100000000000001" customHeight="1" x14ac:dyDescent="0.2">
      <c r="A12" s="41" t="s">
        <v>11</v>
      </c>
      <c r="B12" s="42">
        <f t="shared" si="1"/>
        <v>41409</v>
      </c>
      <c r="C12" s="41">
        <v>2.5</v>
      </c>
      <c r="D12" s="41"/>
      <c r="E12" s="41">
        <v>25</v>
      </c>
      <c r="F12" s="41">
        <v>1.1000000000000001</v>
      </c>
      <c r="G12" s="41">
        <f t="shared" si="0"/>
        <v>68.75</v>
      </c>
      <c r="H12" s="41" t="s">
        <v>15</v>
      </c>
      <c r="I12" s="5" t="s">
        <v>53</v>
      </c>
    </row>
    <row r="13" spans="1:9" s="5" customFormat="1" ht="20.100000000000001" customHeight="1" x14ac:dyDescent="0.2">
      <c r="A13" s="41" t="s">
        <v>9</v>
      </c>
      <c r="B13" s="42">
        <f t="shared" si="1"/>
        <v>41409</v>
      </c>
      <c r="C13" s="41">
        <v>7.5</v>
      </c>
      <c r="D13" s="41"/>
      <c r="E13" s="41">
        <v>35</v>
      </c>
      <c r="F13" s="41">
        <v>1</v>
      </c>
      <c r="G13" s="41">
        <f t="shared" si="0"/>
        <v>262.5</v>
      </c>
      <c r="H13" s="41" t="str">
        <f>H7</f>
        <v>Move Panels</v>
      </c>
      <c r="I13" s="5" t="s">
        <v>53</v>
      </c>
    </row>
    <row r="14" spans="1:9" s="5" customFormat="1" ht="20.100000000000001" customHeight="1" x14ac:dyDescent="0.2">
      <c r="A14" s="41" t="s">
        <v>9</v>
      </c>
      <c r="B14" s="42">
        <f t="shared" si="1"/>
        <v>41409</v>
      </c>
      <c r="C14" s="41">
        <v>2.5</v>
      </c>
      <c r="D14" s="41"/>
      <c r="E14" s="41">
        <v>35</v>
      </c>
      <c r="F14" s="41">
        <v>1</v>
      </c>
      <c r="G14" s="41">
        <f t="shared" si="0"/>
        <v>87.5</v>
      </c>
      <c r="H14" s="41" t="s">
        <v>15</v>
      </c>
      <c r="I14" s="5" t="s">
        <v>53</v>
      </c>
    </row>
    <row r="15" spans="1:9" s="5" customFormat="1" ht="20.100000000000001" customHeight="1" x14ac:dyDescent="0.2">
      <c r="A15" s="41" t="s">
        <v>14</v>
      </c>
      <c r="B15" s="42">
        <f t="shared" ref="B15:B21" si="2">DATE(2013,5,16)</f>
        <v>41410</v>
      </c>
      <c r="C15" s="41">
        <v>3</v>
      </c>
      <c r="D15" s="41"/>
      <c r="E15" s="41">
        <v>23</v>
      </c>
      <c r="F15" s="41">
        <v>1.1000000000000001</v>
      </c>
      <c r="G15" s="41">
        <f t="shared" si="0"/>
        <v>75.900000000000006</v>
      </c>
      <c r="H15" s="41" t="str">
        <f>H8</f>
        <v>Move Panels</v>
      </c>
      <c r="I15" s="5" t="s">
        <v>53</v>
      </c>
    </row>
    <row r="16" spans="1:9" s="5" customFormat="1" ht="20.100000000000001" customHeight="1" x14ac:dyDescent="0.2">
      <c r="A16" s="41" t="s">
        <v>14</v>
      </c>
      <c r="B16" s="42">
        <f t="shared" si="2"/>
        <v>41410</v>
      </c>
      <c r="C16" s="41">
        <v>3.5</v>
      </c>
      <c r="D16" s="41"/>
      <c r="E16" s="41">
        <v>23</v>
      </c>
      <c r="F16" s="41">
        <v>1.1000000000000001</v>
      </c>
      <c r="G16" s="41">
        <f t="shared" si="0"/>
        <v>88.550000000000011</v>
      </c>
      <c r="H16" s="41" t="s">
        <v>15</v>
      </c>
      <c r="I16" s="5" t="s">
        <v>53</v>
      </c>
    </row>
    <row r="17" spans="1:9" s="5" customFormat="1" ht="20.100000000000001" customHeight="1" x14ac:dyDescent="0.2">
      <c r="A17" s="41" t="s">
        <v>14</v>
      </c>
      <c r="B17" s="42">
        <f t="shared" si="2"/>
        <v>41410</v>
      </c>
      <c r="C17" s="41">
        <v>3</v>
      </c>
      <c r="D17" s="41"/>
      <c r="E17" s="41">
        <v>23</v>
      </c>
      <c r="F17" s="41">
        <v>1.1000000000000001</v>
      </c>
      <c r="G17" s="41">
        <f t="shared" si="0"/>
        <v>75.900000000000006</v>
      </c>
      <c r="H17" s="41" t="s">
        <v>16</v>
      </c>
      <c r="I17" s="5" t="s">
        <v>53</v>
      </c>
    </row>
    <row r="18" spans="1:9" s="5" customFormat="1" ht="20.100000000000001" customHeight="1" x14ac:dyDescent="0.2">
      <c r="A18" s="41" t="s">
        <v>11</v>
      </c>
      <c r="B18" s="42">
        <f t="shared" si="2"/>
        <v>41410</v>
      </c>
      <c r="C18" s="41">
        <v>10</v>
      </c>
      <c r="D18" s="41"/>
      <c r="E18" s="41">
        <v>25</v>
      </c>
      <c r="F18" s="41">
        <v>1.1000000000000001</v>
      </c>
      <c r="G18" s="41">
        <f t="shared" si="0"/>
        <v>275</v>
      </c>
      <c r="H18" s="41" t="s">
        <v>10</v>
      </c>
      <c r="I18" s="5" t="s">
        <v>53</v>
      </c>
    </row>
    <row r="19" spans="1:9" s="5" customFormat="1" ht="20.100000000000001" customHeight="1" x14ac:dyDescent="0.2">
      <c r="A19" s="41" t="s">
        <v>9</v>
      </c>
      <c r="B19" s="42">
        <f t="shared" si="2"/>
        <v>41410</v>
      </c>
      <c r="C19" s="41">
        <v>3</v>
      </c>
      <c r="D19" s="41"/>
      <c r="E19" s="41">
        <v>35</v>
      </c>
      <c r="F19" s="41">
        <v>1</v>
      </c>
      <c r="G19" s="41">
        <f t="shared" si="0"/>
        <v>105</v>
      </c>
      <c r="H19" s="41" t="str">
        <f>H13</f>
        <v>Move Panels</v>
      </c>
      <c r="I19" s="5" t="s">
        <v>53</v>
      </c>
    </row>
    <row r="20" spans="1:9" s="5" customFormat="1" ht="20.100000000000001" customHeight="1" x14ac:dyDescent="0.2">
      <c r="A20" s="41" t="s">
        <v>9</v>
      </c>
      <c r="B20" s="42">
        <f t="shared" si="2"/>
        <v>41410</v>
      </c>
      <c r="C20" s="41">
        <v>3.5</v>
      </c>
      <c r="D20" s="41"/>
      <c r="E20" s="41">
        <v>35</v>
      </c>
      <c r="F20" s="41">
        <v>1</v>
      </c>
      <c r="G20" s="41">
        <f t="shared" si="0"/>
        <v>122.5</v>
      </c>
      <c r="H20" s="41" t="s">
        <v>15</v>
      </c>
      <c r="I20" s="5" t="s">
        <v>53</v>
      </c>
    </row>
    <row r="21" spans="1:9" s="5" customFormat="1" ht="20.100000000000001" customHeight="1" x14ac:dyDescent="0.2">
      <c r="A21" s="41" t="s">
        <v>9</v>
      </c>
      <c r="B21" s="42">
        <f t="shared" si="2"/>
        <v>41410</v>
      </c>
      <c r="C21" s="41">
        <v>3</v>
      </c>
      <c r="D21" s="41"/>
      <c r="E21" s="41">
        <v>35</v>
      </c>
      <c r="F21" s="41">
        <v>1</v>
      </c>
      <c r="G21" s="41">
        <f t="shared" si="0"/>
        <v>105</v>
      </c>
      <c r="H21" s="41" t="s">
        <v>16</v>
      </c>
      <c r="I21" s="5" t="s">
        <v>53</v>
      </c>
    </row>
    <row r="22" spans="1:9" s="5" customFormat="1" ht="20.100000000000001" customHeight="1" x14ac:dyDescent="0.2">
      <c r="A22" s="41" t="s">
        <v>14</v>
      </c>
      <c r="B22" s="42">
        <f>DATE(2013,5,17)</f>
        <v>41411</v>
      </c>
      <c r="C22" s="41">
        <v>11.5</v>
      </c>
      <c r="D22" s="41"/>
      <c r="E22" s="41">
        <v>23</v>
      </c>
      <c r="F22" s="41">
        <v>1.1000000000000001</v>
      </c>
      <c r="G22" s="41">
        <f t="shared" si="0"/>
        <v>290.95000000000005</v>
      </c>
      <c r="H22" s="41" t="s">
        <v>10</v>
      </c>
      <c r="I22" s="5" t="s">
        <v>53</v>
      </c>
    </row>
    <row r="23" spans="1:9" s="5" customFormat="1" ht="20.100000000000001" customHeight="1" x14ac:dyDescent="0.2">
      <c r="A23" s="41" t="s">
        <v>11</v>
      </c>
      <c r="B23" s="42">
        <f>DATE(2013,5,17)</f>
        <v>41411</v>
      </c>
      <c r="C23" s="41">
        <v>11.5</v>
      </c>
      <c r="D23" s="41"/>
      <c r="E23" s="41">
        <v>25</v>
      </c>
      <c r="F23" s="41">
        <v>1.1000000000000001</v>
      </c>
      <c r="G23" s="41">
        <f t="shared" si="0"/>
        <v>316.25</v>
      </c>
      <c r="H23" s="41" t="str">
        <f>H24</f>
        <v>Move Panels</v>
      </c>
      <c r="I23" s="5" t="s">
        <v>53</v>
      </c>
    </row>
    <row r="24" spans="1:9" s="5" customFormat="1" ht="20.100000000000001" customHeight="1" x14ac:dyDescent="0.2">
      <c r="A24" s="41" t="s">
        <v>9</v>
      </c>
      <c r="B24" s="42">
        <f>DATE(2013,5,17)</f>
        <v>41411</v>
      </c>
      <c r="C24" s="41">
        <v>2</v>
      </c>
      <c r="D24" s="41"/>
      <c r="E24" s="41">
        <v>35</v>
      </c>
      <c r="F24" s="41">
        <v>1</v>
      </c>
      <c r="G24" s="41">
        <f t="shared" si="0"/>
        <v>70</v>
      </c>
      <c r="H24" s="41" t="str">
        <f>H19</f>
        <v>Move Panels</v>
      </c>
      <c r="I24" s="5" t="s">
        <v>53</v>
      </c>
    </row>
    <row r="25" spans="1:9" s="5" customFormat="1" ht="20.100000000000001" customHeight="1" x14ac:dyDescent="0.2">
      <c r="A25" s="41" t="s">
        <v>9</v>
      </c>
      <c r="B25" s="42">
        <f>DATE(2013,5,17)</f>
        <v>41411</v>
      </c>
      <c r="C25" s="41">
        <v>9.5</v>
      </c>
      <c r="D25" s="41"/>
      <c r="E25" s="41">
        <v>35</v>
      </c>
      <c r="F25" s="41">
        <v>1</v>
      </c>
      <c r="G25" s="41">
        <f t="shared" si="0"/>
        <v>332.5</v>
      </c>
      <c r="H25" s="41" t="s">
        <v>17</v>
      </c>
      <c r="I25" s="5" t="s">
        <v>53</v>
      </c>
    </row>
    <row r="26" spans="1:9" s="5" customFormat="1" ht="20.100000000000001" customHeight="1" x14ac:dyDescent="0.2">
      <c r="A26" s="41" t="s">
        <v>9</v>
      </c>
      <c r="B26" s="42">
        <f>DATE(2013,5,21)</f>
        <v>41415</v>
      </c>
      <c r="C26" s="41">
        <v>7</v>
      </c>
      <c r="D26" s="41"/>
      <c r="E26" s="41">
        <v>35</v>
      </c>
      <c r="F26" s="41">
        <v>1</v>
      </c>
      <c r="G26" s="41">
        <f t="shared" si="0"/>
        <v>245</v>
      </c>
      <c r="H26" s="41" t="str">
        <f>H13</f>
        <v>Move Panels</v>
      </c>
      <c r="I26" s="5" t="s">
        <v>53</v>
      </c>
    </row>
    <row r="27" spans="1:9" s="5" customFormat="1" ht="20.100000000000001" customHeight="1" x14ac:dyDescent="0.2">
      <c r="A27" s="41" t="s">
        <v>9</v>
      </c>
      <c r="B27" s="42">
        <f>DATE(2013,5,21)</f>
        <v>41415</v>
      </c>
      <c r="C27" s="41">
        <v>5</v>
      </c>
      <c r="D27" s="41"/>
      <c r="E27" s="41">
        <v>35</v>
      </c>
      <c r="F27" s="41">
        <v>1</v>
      </c>
      <c r="G27" s="41">
        <f t="shared" si="0"/>
        <v>175</v>
      </c>
      <c r="H27" s="41" t="s">
        <v>15</v>
      </c>
      <c r="I27" s="5" t="s">
        <v>53</v>
      </c>
    </row>
    <row r="28" spans="1:9" s="5" customFormat="1" ht="20.100000000000001" customHeight="1" x14ac:dyDescent="0.2">
      <c r="A28" s="41" t="s">
        <v>11</v>
      </c>
      <c r="B28" s="42">
        <f>DATE(2013,5,22)</f>
        <v>41416</v>
      </c>
      <c r="C28" s="41">
        <v>1.5</v>
      </c>
      <c r="D28" s="41"/>
      <c r="E28" s="41">
        <v>25</v>
      </c>
      <c r="F28" s="41">
        <v>1.1000000000000001</v>
      </c>
      <c r="G28" s="41">
        <f t="shared" si="0"/>
        <v>41.25</v>
      </c>
      <c r="H28" s="41" t="s">
        <v>10</v>
      </c>
      <c r="I28" s="5" t="s">
        <v>53</v>
      </c>
    </row>
    <row r="29" spans="1:9" s="5" customFormat="1" ht="20.100000000000001" customHeight="1" x14ac:dyDescent="0.2">
      <c r="A29" s="41" t="s">
        <v>11</v>
      </c>
      <c r="B29" s="42">
        <f>DATE(2013,5,22)</f>
        <v>41416</v>
      </c>
      <c r="C29" s="41">
        <v>3.5</v>
      </c>
      <c r="D29" s="41"/>
      <c r="E29" s="41">
        <v>25</v>
      </c>
      <c r="F29" s="41">
        <v>1.1000000000000001</v>
      </c>
      <c r="G29" s="41">
        <f t="shared" si="0"/>
        <v>96.250000000000014</v>
      </c>
      <c r="H29" s="41" t="s">
        <v>15</v>
      </c>
      <c r="I29" s="5" t="s">
        <v>53</v>
      </c>
    </row>
    <row r="30" spans="1:9" s="5" customFormat="1" ht="20.100000000000001" customHeight="1" x14ac:dyDescent="0.2">
      <c r="A30" s="41" t="s">
        <v>9</v>
      </c>
      <c r="B30" s="42">
        <f>DATE(2013,5,22)</f>
        <v>41416</v>
      </c>
      <c r="C30" s="41">
        <v>1.5</v>
      </c>
      <c r="D30" s="41"/>
      <c r="E30" s="41">
        <v>35</v>
      </c>
      <c r="F30" s="41">
        <v>1</v>
      </c>
      <c r="G30" s="41">
        <f t="shared" si="0"/>
        <v>52.5</v>
      </c>
      <c r="H30" s="41" t="s">
        <v>10</v>
      </c>
      <c r="I30" s="5" t="s">
        <v>53</v>
      </c>
    </row>
    <row r="31" spans="1:9" s="5" customFormat="1" ht="20.100000000000001" customHeight="1" x14ac:dyDescent="0.2">
      <c r="A31" s="41" t="s">
        <v>9</v>
      </c>
      <c r="B31" s="42">
        <f>DATE(2013,5,22)</f>
        <v>41416</v>
      </c>
      <c r="C31" s="41">
        <v>9</v>
      </c>
      <c r="D31" s="41"/>
      <c r="E31" s="41">
        <v>35</v>
      </c>
      <c r="F31" s="41">
        <v>1</v>
      </c>
      <c r="G31" s="41">
        <f t="shared" si="0"/>
        <v>315</v>
      </c>
      <c r="H31" s="41" t="str">
        <f>H28</f>
        <v>Move Panels</v>
      </c>
      <c r="I31" s="5" t="s">
        <v>53</v>
      </c>
    </row>
    <row r="32" spans="1:9" s="5" customFormat="1" ht="20.100000000000001" customHeight="1" x14ac:dyDescent="0.2">
      <c r="A32" s="41" t="s">
        <v>14</v>
      </c>
      <c r="B32" s="42">
        <f>DATE(2013,5,22)</f>
        <v>41416</v>
      </c>
      <c r="C32" s="41">
        <v>5</v>
      </c>
      <c r="D32" s="41"/>
      <c r="E32" s="41">
        <v>23</v>
      </c>
      <c r="F32" s="41">
        <v>1.1000000000000001</v>
      </c>
      <c r="G32" s="41">
        <f t="shared" si="0"/>
        <v>126.50000000000001</v>
      </c>
      <c r="H32" s="41" t="s">
        <v>15</v>
      </c>
      <c r="I32" s="5" t="s">
        <v>53</v>
      </c>
    </row>
    <row r="33" spans="1:9" s="5" customFormat="1" ht="20.100000000000001" customHeight="1" x14ac:dyDescent="0.2">
      <c r="A33" s="41" t="s">
        <v>9</v>
      </c>
      <c r="B33" s="42">
        <f>DATE(2013,5,23)</f>
        <v>41417</v>
      </c>
      <c r="C33" s="41">
        <v>11</v>
      </c>
      <c r="D33" s="41"/>
      <c r="E33" s="41">
        <v>35</v>
      </c>
      <c r="F33" s="41">
        <v>1</v>
      </c>
      <c r="G33" s="41">
        <f t="shared" si="0"/>
        <v>385</v>
      </c>
      <c r="H33" s="41" t="s">
        <v>15</v>
      </c>
      <c r="I33" s="5" t="s">
        <v>53</v>
      </c>
    </row>
    <row r="34" spans="1:9" s="5" customFormat="1" ht="20.100000000000001" customHeight="1" x14ac:dyDescent="0.2">
      <c r="A34" s="41" t="s">
        <v>18</v>
      </c>
      <c r="B34" s="42">
        <f>DATE(2013,5,23)</f>
        <v>41417</v>
      </c>
      <c r="C34" s="41">
        <v>9.5</v>
      </c>
      <c r="D34" s="41"/>
      <c r="E34" s="41">
        <v>50</v>
      </c>
      <c r="F34" s="41">
        <v>1</v>
      </c>
      <c r="G34" s="41">
        <f t="shared" si="0"/>
        <v>475</v>
      </c>
      <c r="H34" s="41" t="s">
        <v>15</v>
      </c>
      <c r="I34" s="5" t="s">
        <v>53</v>
      </c>
    </row>
    <row r="35" spans="1:9" s="5" customFormat="1" ht="20.100000000000001" customHeight="1" x14ac:dyDescent="0.2">
      <c r="A35" s="41" t="s">
        <v>19</v>
      </c>
      <c r="B35" s="42">
        <f>DATE(2013,5,23)</f>
        <v>41417</v>
      </c>
      <c r="C35" s="41">
        <v>9.5</v>
      </c>
      <c r="D35" s="41"/>
      <c r="E35" s="41">
        <v>50</v>
      </c>
      <c r="F35" s="41">
        <v>1</v>
      </c>
      <c r="G35" s="41">
        <f t="shared" si="0"/>
        <v>475</v>
      </c>
      <c r="H35" s="41" t="s">
        <v>15</v>
      </c>
      <c r="I35" s="5" t="s">
        <v>53</v>
      </c>
    </row>
    <row r="36" spans="1:9" s="5" customFormat="1" ht="20.100000000000001" customHeight="1" x14ac:dyDescent="0.2">
      <c r="A36" s="41" t="s">
        <v>20</v>
      </c>
      <c r="B36" s="42">
        <f>DATE(2013,5,23)</f>
        <v>41417</v>
      </c>
      <c r="C36" s="41">
        <v>9.5</v>
      </c>
      <c r="D36" s="41"/>
      <c r="E36" s="41">
        <v>40</v>
      </c>
      <c r="F36" s="41">
        <v>1</v>
      </c>
      <c r="G36" s="41">
        <f t="shared" si="0"/>
        <v>380</v>
      </c>
      <c r="H36" s="41" t="s">
        <v>15</v>
      </c>
      <c r="I36" s="5" t="s">
        <v>53</v>
      </c>
    </row>
    <row r="37" spans="1:9" s="5" customFormat="1" ht="20.100000000000001" customHeight="1" x14ac:dyDescent="0.2">
      <c r="A37" s="41" t="s">
        <v>9</v>
      </c>
      <c r="B37" s="42">
        <f>DATE(2013,5,24)</f>
        <v>41418</v>
      </c>
      <c r="C37" s="41">
        <v>3.5</v>
      </c>
      <c r="D37" s="41"/>
      <c r="E37" s="41">
        <v>35</v>
      </c>
      <c r="F37" s="41">
        <v>1</v>
      </c>
      <c r="G37" s="41">
        <f t="shared" si="0"/>
        <v>122.5</v>
      </c>
      <c r="H37" s="41" t="str">
        <f>H29</f>
        <v>Underfloor Insulation</v>
      </c>
      <c r="I37" s="5" t="s">
        <v>53</v>
      </c>
    </row>
    <row r="38" spans="1:9" s="5" customFormat="1" ht="20.100000000000001" customHeight="1" x14ac:dyDescent="0.2">
      <c r="A38" s="41" t="s">
        <v>9</v>
      </c>
      <c r="B38" s="42">
        <f t="shared" ref="B38:B44" si="3">DATE(2013,5,24)</f>
        <v>41418</v>
      </c>
      <c r="C38" s="41">
        <v>7</v>
      </c>
      <c r="D38" s="41"/>
      <c r="E38" s="41">
        <v>35</v>
      </c>
      <c r="F38" s="41">
        <v>1</v>
      </c>
      <c r="G38" s="41">
        <f t="shared" si="0"/>
        <v>245</v>
      </c>
      <c r="H38" s="41" t="str">
        <f>H33</f>
        <v>Underfloor Insulation</v>
      </c>
      <c r="I38" s="5" t="s">
        <v>53</v>
      </c>
    </row>
    <row r="39" spans="1:9" s="5" customFormat="1" ht="20.100000000000001" customHeight="1" x14ac:dyDescent="0.2">
      <c r="A39" s="41" t="s">
        <v>18</v>
      </c>
      <c r="B39" s="42">
        <f t="shared" si="3"/>
        <v>41418</v>
      </c>
      <c r="C39" s="41">
        <v>3.5</v>
      </c>
      <c r="D39" s="41"/>
      <c r="E39" s="41">
        <v>50</v>
      </c>
      <c r="F39" s="41">
        <v>1</v>
      </c>
      <c r="G39" s="41">
        <f t="shared" si="0"/>
        <v>175</v>
      </c>
      <c r="H39" s="41" t="s">
        <v>10</v>
      </c>
      <c r="I39" s="5" t="s">
        <v>53</v>
      </c>
    </row>
    <row r="40" spans="1:9" s="5" customFormat="1" ht="20.100000000000001" customHeight="1" x14ac:dyDescent="0.2">
      <c r="A40" s="41" t="s">
        <v>18</v>
      </c>
      <c r="B40" s="42">
        <f t="shared" si="3"/>
        <v>41418</v>
      </c>
      <c r="C40" s="41">
        <v>5.25</v>
      </c>
      <c r="D40" s="41"/>
      <c r="E40" s="41">
        <v>50</v>
      </c>
      <c r="F40" s="41">
        <v>1</v>
      </c>
      <c r="G40" s="41">
        <f t="shared" si="0"/>
        <v>262.5</v>
      </c>
      <c r="H40" s="41" t="str">
        <f>H35</f>
        <v>Underfloor Insulation</v>
      </c>
      <c r="I40" s="5" t="s">
        <v>53</v>
      </c>
    </row>
    <row r="41" spans="1:9" s="5" customFormat="1" ht="20.100000000000001" customHeight="1" x14ac:dyDescent="0.2">
      <c r="A41" s="41" t="s">
        <v>19</v>
      </c>
      <c r="B41" s="42">
        <f t="shared" si="3"/>
        <v>41418</v>
      </c>
      <c r="C41" s="41">
        <v>3.5</v>
      </c>
      <c r="D41" s="41"/>
      <c r="E41" s="41">
        <v>50</v>
      </c>
      <c r="F41" s="41">
        <v>1</v>
      </c>
      <c r="G41" s="41">
        <f t="shared" si="0"/>
        <v>175</v>
      </c>
      <c r="H41" s="41" t="s">
        <v>10</v>
      </c>
      <c r="I41" s="5" t="s">
        <v>53</v>
      </c>
    </row>
    <row r="42" spans="1:9" s="5" customFormat="1" ht="20.100000000000001" customHeight="1" x14ac:dyDescent="0.2">
      <c r="A42" s="41" t="s">
        <v>19</v>
      </c>
      <c r="B42" s="42">
        <f t="shared" si="3"/>
        <v>41418</v>
      </c>
      <c r="C42" s="41">
        <v>5.25</v>
      </c>
      <c r="D42" s="41"/>
      <c r="E42" s="41">
        <v>50</v>
      </c>
      <c r="F42" s="41">
        <v>1</v>
      </c>
      <c r="G42" s="41">
        <f t="shared" si="0"/>
        <v>262.5</v>
      </c>
      <c r="H42" s="41" t="s">
        <v>15</v>
      </c>
      <c r="I42" s="5" t="s">
        <v>53</v>
      </c>
    </row>
    <row r="43" spans="1:9" s="5" customFormat="1" ht="20.100000000000001" customHeight="1" x14ac:dyDescent="0.2">
      <c r="A43" s="41" t="s">
        <v>20</v>
      </c>
      <c r="B43" s="42">
        <f t="shared" si="3"/>
        <v>41418</v>
      </c>
      <c r="C43" s="41">
        <v>3.5</v>
      </c>
      <c r="D43" s="41"/>
      <c r="E43" s="41">
        <v>40</v>
      </c>
      <c r="F43" s="41">
        <v>1</v>
      </c>
      <c r="G43" s="41">
        <f t="shared" si="0"/>
        <v>140</v>
      </c>
      <c r="H43" s="41" t="s">
        <v>10</v>
      </c>
      <c r="I43" s="5" t="s">
        <v>53</v>
      </c>
    </row>
    <row r="44" spans="1:9" s="5" customFormat="1" ht="20.100000000000001" customHeight="1" x14ac:dyDescent="0.2">
      <c r="A44" s="41" t="s">
        <v>20</v>
      </c>
      <c r="B44" s="42">
        <f t="shared" si="3"/>
        <v>41418</v>
      </c>
      <c r="C44" s="41">
        <v>5.25</v>
      </c>
      <c r="D44" s="41"/>
      <c r="E44" s="41">
        <v>40</v>
      </c>
      <c r="F44" s="41">
        <v>1</v>
      </c>
      <c r="G44" s="41">
        <f t="shared" si="0"/>
        <v>210</v>
      </c>
      <c r="H44" s="41" t="s">
        <v>15</v>
      </c>
      <c r="I44" s="5" t="s">
        <v>53</v>
      </c>
    </row>
    <row r="45" spans="1:9" s="5" customFormat="1" ht="20.100000000000001" customHeight="1" x14ac:dyDescent="0.2">
      <c r="A45" s="41" t="s">
        <v>9</v>
      </c>
      <c r="B45" s="42">
        <f t="shared" ref="B45:B50" si="4">DATE(2013,5,27)</f>
        <v>41421</v>
      </c>
      <c r="C45" s="41">
        <v>4.5</v>
      </c>
      <c r="D45" s="41">
        <v>2</v>
      </c>
      <c r="E45" s="41">
        <v>35</v>
      </c>
      <c r="F45" s="41">
        <v>1</v>
      </c>
      <c r="G45" s="41">
        <f t="shared" si="0"/>
        <v>227.5</v>
      </c>
      <c r="H45" s="41" t="s">
        <v>15</v>
      </c>
      <c r="I45" s="5" t="s">
        <v>53</v>
      </c>
    </row>
    <row r="46" spans="1:9" s="5" customFormat="1" ht="20.100000000000001" customHeight="1" x14ac:dyDescent="0.2">
      <c r="A46" s="41" t="s">
        <v>9</v>
      </c>
      <c r="B46" s="42">
        <f t="shared" si="4"/>
        <v>41421</v>
      </c>
      <c r="C46" s="41">
        <v>5.5</v>
      </c>
      <c r="D46" s="41"/>
      <c r="E46" s="41">
        <v>35</v>
      </c>
      <c r="F46" s="41">
        <v>1</v>
      </c>
      <c r="G46" s="41">
        <f t="shared" si="0"/>
        <v>192.5</v>
      </c>
      <c r="H46" s="41" t="s">
        <v>21</v>
      </c>
      <c r="I46" s="5" t="s">
        <v>53</v>
      </c>
    </row>
    <row r="47" spans="1:9" s="5" customFormat="1" ht="20.100000000000001" customHeight="1" x14ac:dyDescent="0.2">
      <c r="A47" s="41" t="s">
        <v>18</v>
      </c>
      <c r="B47" s="42">
        <f t="shared" si="4"/>
        <v>41421</v>
      </c>
      <c r="C47" s="41">
        <v>5.5</v>
      </c>
      <c r="D47" s="41"/>
      <c r="E47" s="41">
        <v>50</v>
      </c>
      <c r="F47" s="41">
        <v>1</v>
      </c>
      <c r="G47" s="41">
        <f t="shared" si="0"/>
        <v>275</v>
      </c>
      <c r="H47" s="41" t="s">
        <v>21</v>
      </c>
      <c r="I47" s="5" t="s">
        <v>53</v>
      </c>
    </row>
    <row r="48" spans="1:9" s="5" customFormat="1" ht="20.100000000000001" customHeight="1" x14ac:dyDescent="0.2">
      <c r="A48" s="41" t="s">
        <v>18</v>
      </c>
      <c r="B48" s="42">
        <f t="shared" si="4"/>
        <v>41421</v>
      </c>
      <c r="C48" s="41">
        <v>3.75</v>
      </c>
      <c r="D48" s="41"/>
      <c r="E48" s="41">
        <v>50</v>
      </c>
      <c r="F48" s="41">
        <v>1</v>
      </c>
      <c r="G48" s="41">
        <f t="shared" si="0"/>
        <v>187.5</v>
      </c>
      <c r="H48" s="41" t="str">
        <f>H36</f>
        <v>Underfloor Insulation</v>
      </c>
      <c r="I48" s="5" t="s">
        <v>53</v>
      </c>
    </row>
    <row r="49" spans="1:9" s="5" customFormat="1" ht="20.100000000000001" customHeight="1" x14ac:dyDescent="0.2">
      <c r="A49" s="41" t="s">
        <v>19</v>
      </c>
      <c r="B49" s="42">
        <f t="shared" si="4"/>
        <v>41421</v>
      </c>
      <c r="C49" s="41">
        <v>9.25</v>
      </c>
      <c r="D49" s="41"/>
      <c r="E49" s="41">
        <v>50</v>
      </c>
      <c r="F49" s="41">
        <v>1</v>
      </c>
      <c r="G49" s="41">
        <f t="shared" si="0"/>
        <v>462.5</v>
      </c>
      <c r="H49" s="41" t="s">
        <v>15</v>
      </c>
      <c r="I49" s="5" t="s">
        <v>53</v>
      </c>
    </row>
    <row r="50" spans="1:9" s="5" customFormat="1" ht="20.100000000000001" customHeight="1" x14ac:dyDescent="0.2">
      <c r="A50" s="41" t="s">
        <v>20</v>
      </c>
      <c r="B50" s="42">
        <f t="shared" si="4"/>
        <v>41421</v>
      </c>
      <c r="C50" s="41">
        <v>9.25</v>
      </c>
      <c r="D50" s="41"/>
      <c r="E50" s="41">
        <v>40</v>
      </c>
      <c r="F50" s="41">
        <v>1</v>
      </c>
      <c r="G50" s="41">
        <f t="shared" si="0"/>
        <v>370</v>
      </c>
      <c r="H50" s="41" t="s">
        <v>15</v>
      </c>
      <c r="I50" s="5" t="s">
        <v>53</v>
      </c>
    </row>
    <row r="51" spans="1:9" s="5" customFormat="1" ht="20.100000000000001" customHeight="1" x14ac:dyDescent="0.2">
      <c r="A51" s="41" t="s">
        <v>9</v>
      </c>
      <c r="B51" s="42">
        <f>DATE(2013,5,28)</f>
        <v>41422</v>
      </c>
      <c r="C51" s="41">
        <v>8.25</v>
      </c>
      <c r="D51" s="41"/>
      <c r="E51" s="41">
        <v>35</v>
      </c>
      <c r="F51" s="41">
        <v>1</v>
      </c>
      <c r="G51" s="41">
        <f t="shared" si="0"/>
        <v>288.75</v>
      </c>
      <c r="H51" s="41" t="str">
        <f>H38</f>
        <v>Underfloor Insulation</v>
      </c>
      <c r="I51" s="5" t="s">
        <v>53</v>
      </c>
    </row>
    <row r="52" spans="1:9" s="5" customFormat="1" ht="20.100000000000001" customHeight="1" x14ac:dyDescent="0.2">
      <c r="A52" s="41" t="s">
        <v>9</v>
      </c>
      <c r="B52" s="42">
        <f>DATE(2013,5,28)</f>
        <v>41422</v>
      </c>
      <c r="C52" s="41">
        <v>2</v>
      </c>
      <c r="D52" s="41"/>
      <c r="E52" s="41">
        <v>35</v>
      </c>
      <c r="F52" s="41">
        <v>1</v>
      </c>
      <c r="G52" s="41">
        <f t="shared" si="0"/>
        <v>70</v>
      </c>
      <c r="H52" s="41" t="s">
        <v>10</v>
      </c>
      <c r="I52" s="5" t="s">
        <v>53</v>
      </c>
    </row>
    <row r="53" spans="1:9" s="5" customFormat="1" ht="20.100000000000001" customHeight="1" x14ac:dyDescent="0.2">
      <c r="A53" s="41" t="s">
        <v>18</v>
      </c>
      <c r="B53" s="42">
        <f>DATE(2013,5,28)</f>
        <v>41422</v>
      </c>
      <c r="C53" s="41">
        <v>10</v>
      </c>
      <c r="D53" s="41"/>
      <c r="E53" s="41">
        <v>50</v>
      </c>
      <c r="F53" s="41">
        <v>1</v>
      </c>
      <c r="G53" s="41">
        <f t="shared" si="0"/>
        <v>500</v>
      </c>
      <c r="H53" s="41" t="s">
        <v>15</v>
      </c>
      <c r="I53" s="5" t="s">
        <v>53</v>
      </c>
    </row>
    <row r="54" spans="1:9" s="5" customFormat="1" ht="20.100000000000001" customHeight="1" x14ac:dyDescent="0.2">
      <c r="A54" s="41" t="s">
        <v>19</v>
      </c>
      <c r="B54" s="42">
        <f>DATE(2013,5,28)</f>
        <v>41422</v>
      </c>
      <c r="C54" s="41">
        <v>10</v>
      </c>
      <c r="D54" s="41"/>
      <c r="E54" s="41">
        <v>50</v>
      </c>
      <c r="F54" s="41">
        <v>1</v>
      </c>
      <c r="G54" s="41">
        <f t="shared" si="0"/>
        <v>500</v>
      </c>
      <c r="H54" s="41" t="s">
        <v>15</v>
      </c>
      <c r="I54" s="5" t="s">
        <v>53</v>
      </c>
    </row>
    <row r="55" spans="1:9" s="5" customFormat="1" ht="20.100000000000001" customHeight="1" x14ac:dyDescent="0.2">
      <c r="A55" s="41" t="s">
        <v>20</v>
      </c>
      <c r="B55" s="42">
        <f>DATE(2013,5,28)</f>
        <v>41422</v>
      </c>
      <c r="C55" s="41">
        <v>10</v>
      </c>
      <c r="D55" s="41"/>
      <c r="E55" s="41">
        <v>40</v>
      </c>
      <c r="F55" s="41">
        <v>1</v>
      </c>
      <c r="G55" s="41">
        <f t="shared" si="0"/>
        <v>400</v>
      </c>
      <c r="H55" s="41" t="s">
        <v>15</v>
      </c>
      <c r="I55" s="5" t="s">
        <v>53</v>
      </c>
    </row>
    <row r="56" spans="1:9" s="5" customFormat="1" ht="20.100000000000001" customHeight="1" x14ac:dyDescent="0.2">
      <c r="A56" s="41" t="s">
        <v>9</v>
      </c>
      <c r="B56" s="42">
        <f t="shared" ref="B56:B61" si="5">DATE(2013,5,29)</f>
        <v>41423</v>
      </c>
      <c r="C56" s="41">
        <v>10.25</v>
      </c>
      <c r="D56" s="41"/>
      <c r="E56" s="41">
        <v>35</v>
      </c>
      <c r="F56" s="41">
        <v>1</v>
      </c>
      <c r="G56" s="41">
        <f t="shared" si="0"/>
        <v>358.75</v>
      </c>
      <c r="H56" s="41" t="str">
        <f>H51</f>
        <v>Underfloor Insulation</v>
      </c>
      <c r="I56" s="5" t="s">
        <v>53</v>
      </c>
    </row>
    <row r="57" spans="1:9" s="5" customFormat="1" ht="20.100000000000001" customHeight="1" x14ac:dyDescent="0.2">
      <c r="A57" s="41" t="s">
        <v>18</v>
      </c>
      <c r="B57" s="42">
        <f t="shared" si="5"/>
        <v>41423</v>
      </c>
      <c r="C57" s="41">
        <v>9.5</v>
      </c>
      <c r="D57" s="41"/>
      <c r="E57" s="41">
        <v>50</v>
      </c>
      <c r="F57" s="41">
        <v>1</v>
      </c>
      <c r="G57" s="41">
        <f t="shared" si="0"/>
        <v>475</v>
      </c>
      <c r="H57" s="41" t="s">
        <v>15</v>
      </c>
      <c r="I57" s="5" t="s">
        <v>53</v>
      </c>
    </row>
    <row r="58" spans="1:9" s="5" customFormat="1" ht="20.100000000000001" customHeight="1" x14ac:dyDescent="0.2">
      <c r="A58" s="41" t="s">
        <v>19</v>
      </c>
      <c r="B58" s="42">
        <f t="shared" si="5"/>
        <v>41423</v>
      </c>
      <c r="C58" s="41">
        <v>9.5</v>
      </c>
      <c r="D58" s="41"/>
      <c r="E58" s="41">
        <v>50</v>
      </c>
      <c r="F58" s="41">
        <v>1</v>
      </c>
      <c r="G58" s="41">
        <f t="shared" si="0"/>
        <v>475</v>
      </c>
      <c r="H58" s="41" t="s">
        <v>15</v>
      </c>
      <c r="I58" s="5" t="s">
        <v>53</v>
      </c>
    </row>
    <row r="59" spans="1:9" s="5" customFormat="1" ht="20.100000000000001" customHeight="1" x14ac:dyDescent="0.2">
      <c r="A59" s="41" t="s">
        <v>20</v>
      </c>
      <c r="B59" s="42">
        <f t="shared" si="5"/>
        <v>41423</v>
      </c>
      <c r="C59" s="41">
        <v>9.5</v>
      </c>
      <c r="D59" s="41"/>
      <c r="E59" s="41">
        <v>40</v>
      </c>
      <c r="F59" s="41">
        <v>1</v>
      </c>
      <c r="G59" s="41">
        <f t="shared" si="0"/>
        <v>380</v>
      </c>
      <c r="H59" s="41" t="s">
        <v>15</v>
      </c>
      <c r="I59" s="5" t="s">
        <v>53</v>
      </c>
    </row>
    <row r="60" spans="1:9" s="5" customFormat="1" ht="20.100000000000001" customHeight="1" x14ac:dyDescent="0.2">
      <c r="A60" s="41" t="s">
        <v>22</v>
      </c>
      <c r="B60" s="42">
        <f t="shared" si="5"/>
        <v>41423</v>
      </c>
      <c r="C60" s="41">
        <v>8.5</v>
      </c>
      <c r="D60" s="41"/>
      <c r="E60" s="41">
        <v>25</v>
      </c>
      <c r="F60" s="41">
        <v>1.1000000000000001</v>
      </c>
      <c r="G60" s="41">
        <f t="shared" si="0"/>
        <v>233.75000000000003</v>
      </c>
      <c r="H60" s="41" t="s">
        <v>15</v>
      </c>
      <c r="I60" s="5" t="s">
        <v>53</v>
      </c>
    </row>
    <row r="61" spans="1:9" s="5" customFormat="1" ht="20.100000000000001" customHeight="1" x14ac:dyDescent="0.2">
      <c r="A61" s="41" t="s">
        <v>23</v>
      </c>
      <c r="B61" s="42">
        <f t="shared" si="5"/>
        <v>41423</v>
      </c>
      <c r="C61" s="41">
        <v>8.5</v>
      </c>
      <c r="D61" s="41"/>
      <c r="E61" s="41">
        <v>15</v>
      </c>
      <c r="F61" s="41">
        <v>1.1000000000000001</v>
      </c>
      <c r="G61" s="41">
        <f t="shared" si="0"/>
        <v>140.25</v>
      </c>
      <c r="H61" s="41" t="s">
        <v>15</v>
      </c>
      <c r="I61" s="5" t="s">
        <v>53</v>
      </c>
    </row>
    <row r="62" spans="1:9" s="5" customFormat="1" ht="20.100000000000001" customHeight="1" x14ac:dyDescent="0.25">
      <c r="A62" s="41" t="s">
        <v>9</v>
      </c>
      <c r="B62" s="42">
        <f t="shared" ref="B62:B67" si="6">DATE(2013,5,30)</f>
        <v>41424</v>
      </c>
      <c r="C62" s="43">
        <v>9.5</v>
      </c>
      <c r="D62" s="41"/>
      <c r="E62" s="41">
        <v>35</v>
      </c>
      <c r="F62" s="41">
        <v>1</v>
      </c>
      <c r="G62" s="41">
        <f t="shared" si="0"/>
        <v>332.5</v>
      </c>
      <c r="H62" s="41" t="str">
        <f>H53</f>
        <v>Underfloor Insulation</v>
      </c>
      <c r="I62" s="5" t="s">
        <v>53</v>
      </c>
    </row>
    <row r="63" spans="1:9" s="5" customFormat="1" ht="20.100000000000001" customHeight="1" x14ac:dyDescent="0.25">
      <c r="A63" s="41" t="s">
        <v>18</v>
      </c>
      <c r="B63" s="42">
        <f t="shared" si="6"/>
        <v>41424</v>
      </c>
      <c r="C63" s="43">
        <v>14</v>
      </c>
      <c r="D63" s="41"/>
      <c r="E63" s="41">
        <v>50</v>
      </c>
      <c r="F63" s="41">
        <v>1</v>
      </c>
      <c r="G63" s="41">
        <f t="shared" si="0"/>
        <v>700</v>
      </c>
      <c r="H63" s="41" t="s">
        <v>15</v>
      </c>
      <c r="I63" s="5" t="s">
        <v>53</v>
      </c>
    </row>
    <row r="64" spans="1:9" s="5" customFormat="1" ht="20.100000000000001" customHeight="1" x14ac:dyDescent="0.25">
      <c r="A64" s="41" t="s">
        <v>19</v>
      </c>
      <c r="B64" s="42">
        <f t="shared" si="6"/>
        <v>41424</v>
      </c>
      <c r="C64" s="43">
        <v>5</v>
      </c>
      <c r="D64" s="41"/>
      <c r="E64" s="41">
        <v>50</v>
      </c>
      <c r="F64" s="41">
        <v>1</v>
      </c>
      <c r="G64" s="41">
        <f t="shared" si="0"/>
        <v>250</v>
      </c>
      <c r="H64" s="41" t="s">
        <v>15</v>
      </c>
      <c r="I64" s="5" t="s">
        <v>53</v>
      </c>
    </row>
    <row r="65" spans="1:9" s="5" customFormat="1" ht="20.100000000000001" customHeight="1" x14ac:dyDescent="0.25">
      <c r="A65" s="41" t="s">
        <v>20</v>
      </c>
      <c r="B65" s="42">
        <f t="shared" si="6"/>
        <v>41424</v>
      </c>
      <c r="C65" s="43">
        <v>5</v>
      </c>
      <c r="D65" s="41"/>
      <c r="E65" s="41">
        <v>40</v>
      </c>
      <c r="F65" s="41">
        <v>1</v>
      </c>
      <c r="G65" s="41">
        <f t="shared" si="0"/>
        <v>200</v>
      </c>
      <c r="H65" s="41" t="s">
        <v>15</v>
      </c>
      <c r="I65" s="5" t="s">
        <v>53</v>
      </c>
    </row>
    <row r="66" spans="1:9" s="5" customFormat="1" ht="20.100000000000001" customHeight="1" x14ac:dyDescent="0.25">
      <c r="A66" s="41" t="s">
        <v>22</v>
      </c>
      <c r="B66" s="42">
        <f t="shared" si="6"/>
        <v>41424</v>
      </c>
      <c r="C66" s="43">
        <v>8.5</v>
      </c>
      <c r="D66" s="41"/>
      <c r="E66" s="41">
        <v>25</v>
      </c>
      <c r="F66" s="41">
        <v>1.1000000000000001</v>
      </c>
      <c r="G66" s="41">
        <f t="shared" si="0"/>
        <v>233.75000000000003</v>
      </c>
      <c r="H66" s="41" t="s">
        <v>15</v>
      </c>
      <c r="I66" s="5" t="s">
        <v>53</v>
      </c>
    </row>
    <row r="67" spans="1:9" s="5" customFormat="1" ht="20.100000000000001" customHeight="1" x14ac:dyDescent="0.25">
      <c r="A67" s="41" t="s">
        <v>23</v>
      </c>
      <c r="B67" s="42">
        <f t="shared" si="6"/>
        <v>41424</v>
      </c>
      <c r="C67" s="43">
        <v>8.5</v>
      </c>
      <c r="D67" s="41"/>
      <c r="E67" s="41">
        <v>15</v>
      </c>
      <c r="F67" s="41">
        <v>1.1000000000000001</v>
      </c>
      <c r="G67" s="41">
        <f t="shared" ref="G67:G130" si="7">((C67+D67)*E67)*F67</f>
        <v>140.25</v>
      </c>
      <c r="H67" s="41" t="s">
        <v>15</v>
      </c>
      <c r="I67" s="5" t="s">
        <v>53</v>
      </c>
    </row>
    <row r="68" spans="1:9" s="5" customFormat="1" ht="20.100000000000001" customHeight="1" x14ac:dyDescent="0.25">
      <c r="A68" s="41" t="s">
        <v>9</v>
      </c>
      <c r="B68" s="42">
        <f t="shared" ref="B68:B73" si="8">DATE(2013,5,31)</f>
        <v>41425</v>
      </c>
      <c r="C68" s="43">
        <v>9.5</v>
      </c>
      <c r="D68" s="41"/>
      <c r="E68" s="41">
        <v>35</v>
      </c>
      <c r="F68" s="41">
        <v>1</v>
      </c>
      <c r="G68" s="41">
        <f t="shared" si="7"/>
        <v>332.5</v>
      </c>
      <c r="H68" s="41" t="str">
        <f>H64</f>
        <v>Underfloor Insulation</v>
      </c>
      <c r="I68" s="5" t="s">
        <v>53</v>
      </c>
    </row>
    <row r="69" spans="1:9" s="5" customFormat="1" ht="20.100000000000001" customHeight="1" x14ac:dyDescent="0.25">
      <c r="A69" s="41" t="s">
        <v>18</v>
      </c>
      <c r="B69" s="42">
        <f t="shared" si="8"/>
        <v>41425</v>
      </c>
      <c r="C69" s="43">
        <v>19.2</v>
      </c>
      <c r="D69" s="41"/>
      <c r="E69" s="41">
        <v>50</v>
      </c>
      <c r="F69" s="41">
        <v>1</v>
      </c>
      <c r="G69" s="41">
        <f t="shared" si="7"/>
        <v>960</v>
      </c>
      <c r="H69" s="41" t="s">
        <v>15</v>
      </c>
      <c r="I69" s="5" t="s">
        <v>53</v>
      </c>
    </row>
    <row r="70" spans="1:9" s="5" customFormat="1" ht="20.100000000000001" customHeight="1" x14ac:dyDescent="0.2">
      <c r="A70" s="41" t="s">
        <v>19</v>
      </c>
      <c r="B70" s="42">
        <f t="shared" si="8"/>
        <v>41425</v>
      </c>
      <c r="C70" s="44">
        <v>8.75</v>
      </c>
      <c r="D70" s="41"/>
      <c r="E70" s="41">
        <v>50</v>
      </c>
      <c r="F70" s="41">
        <v>1</v>
      </c>
      <c r="G70" s="41">
        <f t="shared" si="7"/>
        <v>437.5</v>
      </c>
      <c r="H70" s="41" t="s">
        <v>15</v>
      </c>
      <c r="I70" s="5" t="s">
        <v>53</v>
      </c>
    </row>
    <row r="71" spans="1:9" s="5" customFormat="1" ht="20.100000000000001" customHeight="1" x14ac:dyDescent="0.2">
      <c r="A71" s="41" t="s">
        <v>20</v>
      </c>
      <c r="B71" s="42">
        <f t="shared" si="8"/>
        <v>41425</v>
      </c>
      <c r="C71" s="44">
        <v>2</v>
      </c>
      <c r="D71" s="41"/>
      <c r="E71" s="41">
        <v>40</v>
      </c>
      <c r="F71" s="41">
        <v>1</v>
      </c>
      <c r="G71" s="41">
        <f t="shared" si="7"/>
        <v>80</v>
      </c>
      <c r="H71" s="41" t="s">
        <v>15</v>
      </c>
      <c r="I71" s="5" t="s">
        <v>53</v>
      </c>
    </row>
    <row r="72" spans="1:9" s="5" customFormat="1" ht="20.100000000000001" customHeight="1" x14ac:dyDescent="0.2">
      <c r="A72" s="41" t="s">
        <v>22</v>
      </c>
      <c r="B72" s="42">
        <f t="shared" si="8"/>
        <v>41425</v>
      </c>
      <c r="C72" s="41">
        <v>7.5</v>
      </c>
      <c r="D72" s="41"/>
      <c r="E72" s="41">
        <v>25</v>
      </c>
      <c r="F72" s="41">
        <v>1.1000000000000001</v>
      </c>
      <c r="G72" s="41">
        <f t="shared" si="7"/>
        <v>206.25000000000003</v>
      </c>
      <c r="H72" s="41" t="s">
        <v>15</v>
      </c>
      <c r="I72" s="5" t="s">
        <v>53</v>
      </c>
    </row>
    <row r="73" spans="1:9" s="5" customFormat="1" ht="20.100000000000001" customHeight="1" x14ac:dyDescent="0.2">
      <c r="A73" s="41" t="s">
        <v>23</v>
      </c>
      <c r="B73" s="42">
        <f t="shared" si="8"/>
        <v>41425</v>
      </c>
      <c r="C73" s="41">
        <v>7.5</v>
      </c>
      <c r="D73" s="41"/>
      <c r="E73" s="41">
        <v>15</v>
      </c>
      <c r="F73" s="41">
        <v>1.1000000000000001</v>
      </c>
      <c r="G73" s="41">
        <f t="shared" si="7"/>
        <v>123.75000000000001</v>
      </c>
      <c r="H73" s="41" t="s">
        <v>15</v>
      </c>
      <c r="I73" s="5" t="s">
        <v>53</v>
      </c>
    </row>
    <row r="74" spans="1:9" s="5" customFormat="1" ht="20.100000000000001" customHeight="1" x14ac:dyDescent="0.2">
      <c r="A74" s="41" t="s">
        <v>24</v>
      </c>
      <c r="B74" s="42">
        <f>DATE(2013,6,1)</f>
        <v>41426</v>
      </c>
      <c r="C74" s="41">
        <v>10</v>
      </c>
      <c r="D74" s="41"/>
      <c r="E74" s="41">
        <v>15</v>
      </c>
      <c r="F74" s="41">
        <v>1.1000000000000001</v>
      </c>
      <c r="G74" s="41">
        <f t="shared" si="7"/>
        <v>165</v>
      </c>
      <c r="H74" s="41" t="str">
        <f>H73</f>
        <v>Underfloor Insulation</v>
      </c>
      <c r="I74" s="5" t="s">
        <v>53</v>
      </c>
    </row>
    <row r="75" spans="1:9" s="5" customFormat="1" ht="20.100000000000001" customHeight="1" x14ac:dyDescent="0.2">
      <c r="A75" s="41" t="s">
        <v>11</v>
      </c>
      <c r="B75" s="42">
        <f>DATE(2013,6,2)</f>
        <v>41427</v>
      </c>
      <c r="C75" s="41">
        <v>11.5</v>
      </c>
      <c r="D75" s="41"/>
      <c r="E75" s="41">
        <v>25</v>
      </c>
      <c r="F75" s="41">
        <v>1.1000000000000001</v>
      </c>
      <c r="G75" s="41">
        <f t="shared" si="7"/>
        <v>316.25</v>
      </c>
      <c r="H75" s="41" t="s">
        <v>25</v>
      </c>
      <c r="I75" s="5" t="s">
        <v>53</v>
      </c>
    </row>
    <row r="76" spans="1:9" s="5" customFormat="1" ht="20.100000000000001" customHeight="1" x14ac:dyDescent="0.2">
      <c r="A76" s="41" t="s">
        <v>14</v>
      </c>
      <c r="B76" s="42">
        <f>DATE(2013,6,3)</f>
        <v>41428</v>
      </c>
      <c r="C76" s="41">
        <v>12</v>
      </c>
      <c r="D76" s="41"/>
      <c r="E76" s="41">
        <v>23</v>
      </c>
      <c r="F76" s="41">
        <v>1.1000000000000001</v>
      </c>
      <c r="G76" s="41">
        <f t="shared" si="7"/>
        <v>303.60000000000002</v>
      </c>
      <c r="H76" s="41" t="s">
        <v>15</v>
      </c>
      <c r="I76" s="5" t="s">
        <v>53</v>
      </c>
    </row>
    <row r="77" spans="1:9" s="5" customFormat="1" ht="20.100000000000001" customHeight="1" x14ac:dyDescent="0.2">
      <c r="A77" s="41" t="s">
        <v>23</v>
      </c>
      <c r="B77" s="42">
        <f>DATE(2013,6,3)</f>
        <v>41428</v>
      </c>
      <c r="C77" s="41">
        <v>11.5</v>
      </c>
      <c r="D77" s="41"/>
      <c r="E77" s="41">
        <v>15</v>
      </c>
      <c r="F77" s="41">
        <v>1.1000000000000001</v>
      </c>
      <c r="G77" s="41">
        <f t="shared" si="7"/>
        <v>189.75000000000003</v>
      </c>
      <c r="H77" s="41" t="s">
        <v>15</v>
      </c>
      <c r="I77" s="5" t="s">
        <v>53</v>
      </c>
    </row>
    <row r="78" spans="1:9" s="5" customFormat="1" ht="20.100000000000001" customHeight="1" x14ac:dyDescent="0.2">
      <c r="A78" s="41" t="s">
        <v>14</v>
      </c>
      <c r="B78" s="42">
        <f t="shared" ref="B78:B83" si="9">DATE(2013,6,4)</f>
        <v>41429</v>
      </c>
      <c r="C78" s="41">
        <v>11.5</v>
      </c>
      <c r="D78" s="41"/>
      <c r="E78" s="41">
        <v>23</v>
      </c>
      <c r="F78" s="41">
        <v>1.1000000000000001</v>
      </c>
      <c r="G78" s="41">
        <f t="shared" si="7"/>
        <v>290.95000000000005</v>
      </c>
      <c r="H78" s="41" t="s">
        <v>15</v>
      </c>
      <c r="I78" s="5" t="s">
        <v>53</v>
      </c>
    </row>
    <row r="79" spans="1:9" s="5" customFormat="1" ht="20.100000000000001" customHeight="1" x14ac:dyDescent="0.2">
      <c r="A79" s="41" t="s">
        <v>11</v>
      </c>
      <c r="B79" s="42">
        <f t="shared" si="9"/>
        <v>41429</v>
      </c>
      <c r="C79" s="41">
        <v>9</v>
      </c>
      <c r="D79" s="41"/>
      <c r="E79" s="41">
        <v>25</v>
      </c>
      <c r="F79" s="41">
        <v>1.1000000000000001</v>
      </c>
      <c r="G79" s="41">
        <f t="shared" si="7"/>
        <v>247.50000000000003</v>
      </c>
      <c r="H79" s="41" t="s">
        <v>15</v>
      </c>
      <c r="I79" s="5" t="s">
        <v>53</v>
      </c>
    </row>
    <row r="80" spans="1:9" s="5" customFormat="1" ht="20.100000000000001" customHeight="1" x14ac:dyDescent="0.2">
      <c r="A80" s="41" t="s">
        <v>26</v>
      </c>
      <c r="B80" s="42">
        <f t="shared" si="9"/>
        <v>41429</v>
      </c>
      <c r="C80" s="41">
        <v>9</v>
      </c>
      <c r="D80" s="41"/>
      <c r="E80" s="41">
        <v>55</v>
      </c>
      <c r="F80" s="41">
        <v>1</v>
      </c>
      <c r="G80" s="41">
        <f t="shared" si="7"/>
        <v>495</v>
      </c>
      <c r="H80" s="41" t="s">
        <v>15</v>
      </c>
      <c r="I80" s="5" t="s">
        <v>53</v>
      </c>
    </row>
    <row r="81" spans="1:9" s="5" customFormat="1" ht="20.100000000000001" customHeight="1" x14ac:dyDescent="0.2">
      <c r="A81" s="41" t="s">
        <v>26</v>
      </c>
      <c r="B81" s="42">
        <f t="shared" si="9"/>
        <v>41429</v>
      </c>
      <c r="C81" s="41">
        <v>9</v>
      </c>
      <c r="D81" s="41"/>
      <c r="E81" s="41">
        <v>55</v>
      </c>
      <c r="F81" s="41">
        <v>1</v>
      </c>
      <c r="G81" s="41">
        <f t="shared" si="7"/>
        <v>495</v>
      </c>
      <c r="H81" s="41" t="s">
        <v>15</v>
      </c>
      <c r="I81" s="5" t="s">
        <v>53</v>
      </c>
    </row>
    <row r="82" spans="1:9" s="5" customFormat="1" ht="20.100000000000001" customHeight="1" x14ac:dyDescent="0.2">
      <c r="A82" s="41" t="s">
        <v>26</v>
      </c>
      <c r="B82" s="42">
        <f t="shared" si="9"/>
        <v>41429</v>
      </c>
      <c r="C82" s="41">
        <v>9</v>
      </c>
      <c r="D82" s="41"/>
      <c r="E82" s="41">
        <v>55</v>
      </c>
      <c r="F82" s="41">
        <v>1</v>
      </c>
      <c r="G82" s="41">
        <f t="shared" si="7"/>
        <v>495</v>
      </c>
      <c r="H82" s="41" t="s">
        <v>15</v>
      </c>
      <c r="I82" s="5" t="s">
        <v>53</v>
      </c>
    </row>
    <row r="83" spans="1:9" s="5" customFormat="1" ht="20.100000000000001" customHeight="1" x14ac:dyDescent="0.2">
      <c r="A83" s="41" t="str">
        <f>A77</f>
        <v>Joed Dagnall</v>
      </c>
      <c r="B83" s="42">
        <f t="shared" si="9"/>
        <v>41429</v>
      </c>
      <c r="C83" s="41">
        <v>8.5</v>
      </c>
      <c r="D83" s="41"/>
      <c r="E83" s="41">
        <v>15</v>
      </c>
      <c r="F83" s="41">
        <v>1.1000000000000001</v>
      </c>
      <c r="G83" s="41">
        <f t="shared" si="7"/>
        <v>140.25</v>
      </c>
      <c r="H83" s="41" t="s">
        <v>15</v>
      </c>
      <c r="I83" s="5" t="s">
        <v>53</v>
      </c>
    </row>
    <row r="84" spans="1:9" s="5" customFormat="1" ht="20.100000000000001" customHeight="1" x14ac:dyDescent="0.2">
      <c r="A84" s="41" t="s">
        <v>26</v>
      </c>
      <c r="B84" s="42">
        <f t="shared" ref="B84:B89" si="10">DATE(2013,6,5)</f>
        <v>41430</v>
      </c>
      <c r="C84" s="41">
        <v>8</v>
      </c>
      <c r="D84" s="41"/>
      <c r="E84" s="41">
        <v>55</v>
      </c>
      <c r="F84" s="41">
        <v>1</v>
      </c>
      <c r="G84" s="41">
        <f t="shared" si="7"/>
        <v>440</v>
      </c>
      <c r="H84" s="41" t="s">
        <v>15</v>
      </c>
      <c r="I84" s="5" t="s">
        <v>53</v>
      </c>
    </row>
    <row r="85" spans="1:9" s="5" customFormat="1" ht="20.100000000000001" customHeight="1" x14ac:dyDescent="0.2">
      <c r="A85" s="41" t="s">
        <v>26</v>
      </c>
      <c r="B85" s="42">
        <f t="shared" si="10"/>
        <v>41430</v>
      </c>
      <c r="C85" s="41">
        <v>8</v>
      </c>
      <c r="D85" s="41"/>
      <c r="E85" s="41">
        <v>55</v>
      </c>
      <c r="F85" s="41">
        <v>1</v>
      </c>
      <c r="G85" s="41">
        <f t="shared" si="7"/>
        <v>440</v>
      </c>
      <c r="H85" s="41" t="s">
        <v>15</v>
      </c>
      <c r="I85" s="5" t="s">
        <v>53</v>
      </c>
    </row>
    <row r="86" spans="1:9" s="5" customFormat="1" ht="20.100000000000001" customHeight="1" x14ac:dyDescent="0.2">
      <c r="A86" s="41" t="s">
        <v>26</v>
      </c>
      <c r="B86" s="42">
        <f t="shared" si="10"/>
        <v>41430</v>
      </c>
      <c r="C86" s="41">
        <v>8</v>
      </c>
      <c r="D86" s="41"/>
      <c r="E86" s="41">
        <v>55</v>
      </c>
      <c r="F86" s="41">
        <v>1</v>
      </c>
      <c r="G86" s="41">
        <f t="shared" si="7"/>
        <v>440</v>
      </c>
      <c r="H86" s="41" t="s">
        <v>15</v>
      </c>
      <c r="I86" s="5" t="s">
        <v>53</v>
      </c>
    </row>
    <row r="87" spans="1:9" s="5" customFormat="1" ht="20.100000000000001" customHeight="1" x14ac:dyDescent="0.2">
      <c r="A87" s="41" t="s">
        <v>11</v>
      </c>
      <c r="B87" s="42">
        <f t="shared" si="10"/>
        <v>41430</v>
      </c>
      <c r="C87" s="41">
        <v>8.5</v>
      </c>
      <c r="D87" s="41"/>
      <c r="E87" s="41">
        <v>25</v>
      </c>
      <c r="F87" s="41">
        <v>1.1000000000000001</v>
      </c>
      <c r="G87" s="41">
        <f t="shared" si="7"/>
        <v>233.75000000000003</v>
      </c>
      <c r="H87" s="41" t="s">
        <v>15</v>
      </c>
      <c r="I87" s="5" t="s">
        <v>53</v>
      </c>
    </row>
    <row r="88" spans="1:9" s="5" customFormat="1" ht="20.100000000000001" customHeight="1" x14ac:dyDescent="0.2">
      <c r="A88" s="41" t="s">
        <v>14</v>
      </c>
      <c r="B88" s="42">
        <f t="shared" si="10"/>
        <v>41430</v>
      </c>
      <c r="C88" s="41">
        <v>9.5</v>
      </c>
      <c r="D88" s="41"/>
      <c r="E88" s="41">
        <v>23</v>
      </c>
      <c r="F88" s="41">
        <v>1.1000000000000001</v>
      </c>
      <c r="G88" s="41">
        <f t="shared" si="7"/>
        <v>240.35000000000002</v>
      </c>
      <c r="H88" s="41" t="s">
        <v>15</v>
      </c>
      <c r="I88" s="5" t="s">
        <v>53</v>
      </c>
    </row>
    <row r="89" spans="1:9" s="5" customFormat="1" ht="20.100000000000001" customHeight="1" x14ac:dyDescent="0.2">
      <c r="A89" s="41" t="str">
        <f>A83</f>
        <v>Joed Dagnall</v>
      </c>
      <c r="B89" s="42">
        <f t="shared" si="10"/>
        <v>41430</v>
      </c>
      <c r="C89" s="41">
        <v>8.5</v>
      </c>
      <c r="D89" s="41"/>
      <c r="E89" s="41">
        <v>15</v>
      </c>
      <c r="F89" s="41">
        <v>1.1000000000000001</v>
      </c>
      <c r="G89" s="41">
        <f t="shared" si="7"/>
        <v>140.25</v>
      </c>
      <c r="H89" s="41" t="s">
        <v>15</v>
      </c>
      <c r="I89" s="5" t="s">
        <v>53</v>
      </c>
    </row>
    <row r="90" spans="1:9" s="5" customFormat="1" ht="20.100000000000001" customHeight="1" x14ac:dyDescent="0.2">
      <c r="A90" s="41" t="s">
        <v>14</v>
      </c>
      <c r="B90" s="42">
        <f>DATE(2013,6,6)</f>
        <v>41431</v>
      </c>
      <c r="C90" s="41">
        <v>4.5</v>
      </c>
      <c r="D90" s="41"/>
      <c r="E90" s="41">
        <v>23</v>
      </c>
      <c r="F90" s="41">
        <v>1.1000000000000001</v>
      </c>
      <c r="G90" s="41">
        <f t="shared" si="7"/>
        <v>113.85000000000001</v>
      </c>
      <c r="H90" s="41" t="s">
        <v>15</v>
      </c>
      <c r="I90" s="5" t="s">
        <v>53</v>
      </c>
    </row>
    <row r="91" spans="1:9" s="5" customFormat="1" ht="20.100000000000001" customHeight="1" x14ac:dyDescent="0.2">
      <c r="A91" s="41" t="s">
        <v>26</v>
      </c>
      <c r="B91" s="42">
        <f>DATE(2013,6,6)</f>
        <v>41431</v>
      </c>
      <c r="C91" s="41">
        <v>8</v>
      </c>
      <c r="D91" s="41"/>
      <c r="E91" s="41">
        <v>55</v>
      </c>
      <c r="F91" s="41">
        <v>1</v>
      </c>
      <c r="G91" s="41">
        <f t="shared" si="7"/>
        <v>440</v>
      </c>
      <c r="H91" s="41" t="s">
        <v>15</v>
      </c>
      <c r="I91" s="5" t="s">
        <v>53</v>
      </c>
    </row>
    <row r="92" spans="1:9" s="5" customFormat="1" ht="20.100000000000001" customHeight="1" x14ac:dyDescent="0.2">
      <c r="A92" s="41" t="s">
        <v>26</v>
      </c>
      <c r="B92" s="42">
        <f>DATE(2013,6,6)</f>
        <v>41431</v>
      </c>
      <c r="C92" s="41">
        <v>8</v>
      </c>
      <c r="D92" s="41"/>
      <c r="E92" s="41">
        <v>55</v>
      </c>
      <c r="F92" s="41">
        <v>1</v>
      </c>
      <c r="G92" s="41">
        <f t="shared" si="7"/>
        <v>440</v>
      </c>
      <c r="H92" s="41" t="s">
        <v>15</v>
      </c>
      <c r="I92" s="5" t="s">
        <v>53</v>
      </c>
    </row>
    <row r="93" spans="1:9" s="5" customFormat="1" ht="20.100000000000001" customHeight="1" x14ac:dyDescent="0.2">
      <c r="A93" s="41" t="s">
        <v>26</v>
      </c>
      <c r="B93" s="42">
        <f>DATE(2013,6,6)</f>
        <v>41431</v>
      </c>
      <c r="C93" s="41">
        <v>8</v>
      </c>
      <c r="D93" s="41"/>
      <c r="E93" s="41">
        <v>55</v>
      </c>
      <c r="F93" s="41">
        <v>1</v>
      </c>
      <c r="G93" s="41">
        <f t="shared" si="7"/>
        <v>440</v>
      </c>
      <c r="H93" s="41" t="s">
        <v>15</v>
      </c>
      <c r="I93" s="5" t="s">
        <v>53</v>
      </c>
    </row>
    <row r="94" spans="1:9" s="5" customFormat="1" ht="20.100000000000001" customHeight="1" x14ac:dyDescent="0.2">
      <c r="A94" s="41" t="s">
        <v>23</v>
      </c>
      <c r="B94" s="42">
        <f>DATE(2013,6,6)</f>
        <v>41431</v>
      </c>
      <c r="C94" s="41">
        <v>7.5</v>
      </c>
      <c r="D94" s="41"/>
      <c r="E94" s="41">
        <v>15</v>
      </c>
      <c r="F94" s="41">
        <v>1.1000000000000001</v>
      </c>
      <c r="G94" s="41">
        <f t="shared" si="7"/>
        <v>123.75000000000001</v>
      </c>
      <c r="H94" s="41" t="s">
        <v>15</v>
      </c>
      <c r="I94" s="5" t="s">
        <v>53</v>
      </c>
    </row>
    <row r="95" spans="1:9" s="5" customFormat="1" ht="20.100000000000001" customHeight="1" x14ac:dyDescent="0.2">
      <c r="A95" s="41" t="s">
        <v>23</v>
      </c>
      <c r="B95" s="42">
        <f>DATE(2013,6,7)</f>
        <v>41432</v>
      </c>
      <c r="C95" s="41">
        <v>10.5</v>
      </c>
      <c r="D95" s="41"/>
      <c r="E95" s="41">
        <v>15</v>
      </c>
      <c r="F95" s="41">
        <v>1.1000000000000001</v>
      </c>
      <c r="G95" s="41">
        <f t="shared" si="7"/>
        <v>173.25</v>
      </c>
      <c r="H95" s="41" t="s">
        <v>15</v>
      </c>
      <c r="I95" s="5" t="s">
        <v>53</v>
      </c>
    </row>
    <row r="96" spans="1:9" s="5" customFormat="1" ht="20.100000000000001" customHeight="1" x14ac:dyDescent="0.2">
      <c r="A96" s="41" t="s">
        <v>22</v>
      </c>
      <c r="B96" s="42">
        <f>DATE(2013,6,7)</f>
        <v>41432</v>
      </c>
      <c r="C96" s="41">
        <v>51</v>
      </c>
      <c r="D96" s="41"/>
      <c r="E96" s="41">
        <v>25</v>
      </c>
      <c r="F96" s="41">
        <v>1.1000000000000001</v>
      </c>
      <c r="G96" s="41">
        <f t="shared" si="7"/>
        <v>1402.5</v>
      </c>
      <c r="H96" s="41" t="s">
        <v>15</v>
      </c>
      <c r="I96" s="5" t="s">
        <v>53</v>
      </c>
    </row>
    <row r="97" spans="1:9" s="5" customFormat="1" ht="20.100000000000001" customHeight="1" x14ac:dyDescent="0.2">
      <c r="A97" s="41" t="s">
        <v>13</v>
      </c>
      <c r="B97" s="42">
        <f t="shared" ref="B97:B102" si="11">DATE(2013,6,10)</f>
        <v>41435</v>
      </c>
      <c r="C97" s="41">
        <v>11</v>
      </c>
      <c r="D97" s="41"/>
      <c r="E97" s="41">
        <v>42</v>
      </c>
      <c r="F97" s="41">
        <v>1.1000000000000001</v>
      </c>
      <c r="G97" s="41">
        <f t="shared" si="7"/>
        <v>508.20000000000005</v>
      </c>
      <c r="H97" s="41" t="s">
        <v>15</v>
      </c>
      <c r="I97" s="5" t="s">
        <v>53</v>
      </c>
    </row>
    <row r="98" spans="1:9" s="5" customFormat="1" ht="20.100000000000001" customHeight="1" x14ac:dyDescent="0.2">
      <c r="A98" s="41" t="s">
        <v>12</v>
      </c>
      <c r="B98" s="42">
        <f t="shared" si="11"/>
        <v>41435</v>
      </c>
      <c r="C98" s="41">
        <v>11</v>
      </c>
      <c r="D98" s="41"/>
      <c r="E98" s="41">
        <v>22</v>
      </c>
      <c r="F98" s="41">
        <v>1.1000000000000001</v>
      </c>
      <c r="G98" s="41">
        <f t="shared" si="7"/>
        <v>266.20000000000005</v>
      </c>
      <c r="H98" s="41" t="s">
        <v>15</v>
      </c>
      <c r="I98" s="5" t="s">
        <v>53</v>
      </c>
    </row>
    <row r="99" spans="1:9" s="5" customFormat="1" ht="20.100000000000001" customHeight="1" x14ac:dyDescent="0.2">
      <c r="A99" s="41" t="s">
        <v>11</v>
      </c>
      <c r="B99" s="42">
        <f t="shared" si="11"/>
        <v>41435</v>
      </c>
      <c r="C99" s="41">
        <v>11</v>
      </c>
      <c r="D99" s="41"/>
      <c r="E99" s="41">
        <v>25</v>
      </c>
      <c r="F99" s="41">
        <v>1.1000000000000001</v>
      </c>
      <c r="G99" s="41">
        <f t="shared" si="7"/>
        <v>302.5</v>
      </c>
      <c r="H99" s="41" t="s">
        <v>15</v>
      </c>
      <c r="I99" s="5" t="s">
        <v>53</v>
      </c>
    </row>
    <row r="100" spans="1:9" s="5" customFormat="1" ht="20.100000000000001" customHeight="1" x14ac:dyDescent="0.2">
      <c r="A100" s="41" t="s">
        <v>14</v>
      </c>
      <c r="B100" s="42">
        <f t="shared" si="11"/>
        <v>41435</v>
      </c>
      <c r="C100" s="41">
        <v>11</v>
      </c>
      <c r="D100" s="41"/>
      <c r="E100" s="41">
        <v>23</v>
      </c>
      <c r="F100" s="41">
        <v>1.1000000000000001</v>
      </c>
      <c r="G100" s="41">
        <f t="shared" si="7"/>
        <v>278.3</v>
      </c>
      <c r="H100" s="41" t="s">
        <v>15</v>
      </c>
      <c r="I100" s="5" t="s">
        <v>53</v>
      </c>
    </row>
    <row r="101" spans="1:9" s="5" customFormat="1" ht="20.100000000000001" customHeight="1" x14ac:dyDescent="0.2">
      <c r="A101" s="41" t="s">
        <v>27</v>
      </c>
      <c r="B101" s="42">
        <f t="shared" si="11"/>
        <v>41435</v>
      </c>
      <c r="C101" s="41">
        <v>11</v>
      </c>
      <c r="D101" s="41"/>
      <c r="E101" s="41">
        <v>15</v>
      </c>
      <c r="F101" s="41">
        <v>1.1000000000000001</v>
      </c>
      <c r="G101" s="41">
        <f t="shared" si="7"/>
        <v>181.50000000000003</v>
      </c>
      <c r="H101" s="41" t="s">
        <v>15</v>
      </c>
      <c r="I101" s="5" t="s">
        <v>53</v>
      </c>
    </row>
    <row r="102" spans="1:9" s="5" customFormat="1" ht="20.100000000000001" customHeight="1" x14ac:dyDescent="0.2">
      <c r="A102" s="41" t="s">
        <v>23</v>
      </c>
      <c r="B102" s="42">
        <f t="shared" si="11"/>
        <v>41435</v>
      </c>
      <c r="C102" s="41">
        <v>11</v>
      </c>
      <c r="D102" s="41"/>
      <c r="E102" s="41">
        <v>15</v>
      </c>
      <c r="F102" s="41">
        <v>1.1000000000000001</v>
      </c>
      <c r="G102" s="41">
        <f t="shared" si="7"/>
        <v>181.50000000000003</v>
      </c>
      <c r="H102" s="41" t="s">
        <v>15</v>
      </c>
      <c r="I102" s="5" t="s">
        <v>53</v>
      </c>
    </row>
    <row r="103" spans="1:9" s="5" customFormat="1" ht="20.100000000000001" customHeight="1" x14ac:dyDescent="0.2">
      <c r="A103" s="41" t="s">
        <v>13</v>
      </c>
      <c r="B103" s="42">
        <f t="shared" ref="B103:B108" si="12">DATE(2013,6,11)</f>
        <v>41436</v>
      </c>
      <c r="C103" s="41">
        <v>10</v>
      </c>
      <c r="D103" s="41"/>
      <c r="E103" s="41">
        <v>42</v>
      </c>
      <c r="F103" s="41">
        <v>1.1000000000000001</v>
      </c>
      <c r="G103" s="41">
        <f t="shared" si="7"/>
        <v>462.00000000000006</v>
      </c>
      <c r="H103" s="41" t="s">
        <v>15</v>
      </c>
      <c r="I103" s="5" t="s">
        <v>53</v>
      </c>
    </row>
    <row r="104" spans="1:9" s="5" customFormat="1" ht="20.100000000000001" customHeight="1" x14ac:dyDescent="0.2">
      <c r="A104" s="41" t="s">
        <v>12</v>
      </c>
      <c r="B104" s="42">
        <f t="shared" si="12"/>
        <v>41436</v>
      </c>
      <c r="C104" s="41">
        <v>10</v>
      </c>
      <c r="D104" s="41"/>
      <c r="E104" s="41">
        <v>22</v>
      </c>
      <c r="F104" s="41">
        <v>1.1000000000000001</v>
      </c>
      <c r="G104" s="41">
        <f t="shared" si="7"/>
        <v>242.00000000000003</v>
      </c>
      <c r="H104" s="41" t="s">
        <v>15</v>
      </c>
      <c r="I104" s="5" t="s">
        <v>53</v>
      </c>
    </row>
    <row r="105" spans="1:9" s="5" customFormat="1" ht="20.100000000000001" customHeight="1" x14ac:dyDescent="0.2">
      <c r="A105" s="41" t="s">
        <v>11</v>
      </c>
      <c r="B105" s="42">
        <f t="shared" si="12"/>
        <v>41436</v>
      </c>
      <c r="C105" s="41">
        <v>10</v>
      </c>
      <c r="D105" s="41"/>
      <c r="E105" s="41">
        <v>25</v>
      </c>
      <c r="F105" s="41">
        <v>1.1000000000000001</v>
      </c>
      <c r="G105" s="41">
        <f t="shared" si="7"/>
        <v>275</v>
      </c>
      <c r="H105" s="41" t="s">
        <v>15</v>
      </c>
      <c r="I105" s="5" t="s">
        <v>53</v>
      </c>
    </row>
    <row r="106" spans="1:9" s="5" customFormat="1" ht="20.100000000000001" customHeight="1" x14ac:dyDescent="0.2">
      <c r="A106" s="41" t="s">
        <v>14</v>
      </c>
      <c r="B106" s="42">
        <f t="shared" si="12"/>
        <v>41436</v>
      </c>
      <c r="C106" s="41">
        <v>10</v>
      </c>
      <c r="D106" s="41"/>
      <c r="E106" s="41">
        <v>23</v>
      </c>
      <c r="F106" s="41">
        <v>1.1000000000000001</v>
      </c>
      <c r="G106" s="41">
        <f t="shared" si="7"/>
        <v>253.00000000000003</v>
      </c>
      <c r="H106" s="41" t="s">
        <v>15</v>
      </c>
      <c r="I106" s="5" t="s">
        <v>53</v>
      </c>
    </row>
    <row r="107" spans="1:9" s="5" customFormat="1" ht="20.100000000000001" customHeight="1" x14ac:dyDescent="0.2">
      <c r="A107" s="41" t="s">
        <v>27</v>
      </c>
      <c r="B107" s="42">
        <f t="shared" si="12"/>
        <v>41436</v>
      </c>
      <c r="C107" s="41">
        <v>10</v>
      </c>
      <c r="D107" s="41"/>
      <c r="E107" s="41">
        <v>15</v>
      </c>
      <c r="F107" s="41">
        <v>1.1000000000000001</v>
      </c>
      <c r="G107" s="41">
        <f t="shared" si="7"/>
        <v>165</v>
      </c>
      <c r="H107" s="41" t="s">
        <v>15</v>
      </c>
      <c r="I107" s="5" t="s">
        <v>53</v>
      </c>
    </row>
    <row r="108" spans="1:9" s="5" customFormat="1" ht="20.100000000000001" customHeight="1" x14ac:dyDescent="0.2">
      <c r="A108" s="41" t="s">
        <v>23</v>
      </c>
      <c r="B108" s="42">
        <f t="shared" si="12"/>
        <v>41436</v>
      </c>
      <c r="C108" s="41">
        <v>10</v>
      </c>
      <c r="D108" s="41"/>
      <c r="E108" s="41">
        <v>15</v>
      </c>
      <c r="F108" s="41">
        <v>1.1000000000000001</v>
      </c>
      <c r="G108" s="41">
        <f t="shared" si="7"/>
        <v>165</v>
      </c>
      <c r="H108" s="41" t="s">
        <v>15</v>
      </c>
      <c r="I108" s="5" t="s">
        <v>53</v>
      </c>
    </row>
    <row r="109" spans="1:9" s="5" customFormat="1" ht="20.100000000000001" customHeight="1" x14ac:dyDescent="0.2">
      <c r="A109" s="41" t="s">
        <v>28</v>
      </c>
      <c r="B109" s="42">
        <f t="shared" ref="B109:B114" si="13">DATE(2013,6,12)</f>
        <v>41437</v>
      </c>
      <c r="C109" s="41">
        <v>8.5</v>
      </c>
      <c r="D109" s="41"/>
      <c r="E109" s="41">
        <v>42</v>
      </c>
      <c r="F109" s="41">
        <v>1.1000000000000001</v>
      </c>
      <c r="G109" s="41">
        <f t="shared" si="7"/>
        <v>392.70000000000005</v>
      </c>
      <c r="H109" s="41" t="s">
        <v>15</v>
      </c>
      <c r="I109" s="5" t="s">
        <v>53</v>
      </c>
    </row>
    <row r="110" spans="1:9" s="5" customFormat="1" ht="20.100000000000001" customHeight="1" x14ac:dyDescent="0.2">
      <c r="A110" s="41" t="s">
        <v>12</v>
      </c>
      <c r="B110" s="42">
        <f t="shared" si="13"/>
        <v>41437</v>
      </c>
      <c r="C110" s="41">
        <v>8.5</v>
      </c>
      <c r="D110" s="41"/>
      <c r="E110" s="41">
        <v>22</v>
      </c>
      <c r="F110" s="41">
        <v>1.1000000000000001</v>
      </c>
      <c r="G110" s="41">
        <f t="shared" si="7"/>
        <v>205.70000000000002</v>
      </c>
      <c r="H110" s="41" t="s">
        <v>15</v>
      </c>
      <c r="I110" s="5" t="s">
        <v>53</v>
      </c>
    </row>
    <row r="111" spans="1:9" s="5" customFormat="1" ht="20.100000000000001" customHeight="1" x14ac:dyDescent="0.2">
      <c r="A111" s="41" t="s">
        <v>11</v>
      </c>
      <c r="B111" s="42">
        <f t="shared" si="13"/>
        <v>41437</v>
      </c>
      <c r="C111" s="41">
        <v>8.5</v>
      </c>
      <c r="D111" s="41"/>
      <c r="E111" s="41">
        <v>25</v>
      </c>
      <c r="F111" s="41">
        <v>1.1000000000000001</v>
      </c>
      <c r="G111" s="41">
        <f t="shared" si="7"/>
        <v>233.75000000000003</v>
      </c>
      <c r="H111" s="41" t="s">
        <v>15</v>
      </c>
      <c r="I111" s="5" t="s">
        <v>53</v>
      </c>
    </row>
    <row r="112" spans="1:9" s="5" customFormat="1" ht="20.100000000000001" customHeight="1" x14ac:dyDescent="0.2">
      <c r="A112" s="41" t="s">
        <v>14</v>
      </c>
      <c r="B112" s="42">
        <f t="shared" si="13"/>
        <v>41437</v>
      </c>
      <c r="C112" s="41">
        <v>8.5</v>
      </c>
      <c r="D112" s="41"/>
      <c r="E112" s="41">
        <v>23</v>
      </c>
      <c r="F112" s="41">
        <v>1.1000000000000001</v>
      </c>
      <c r="G112" s="41">
        <f t="shared" si="7"/>
        <v>215.05</v>
      </c>
      <c r="H112" s="41" t="s">
        <v>15</v>
      </c>
      <c r="I112" s="5" t="s">
        <v>53</v>
      </c>
    </row>
    <row r="113" spans="1:9" s="5" customFormat="1" ht="20.100000000000001" customHeight="1" x14ac:dyDescent="0.2">
      <c r="A113" s="41" t="s">
        <v>27</v>
      </c>
      <c r="B113" s="42">
        <f t="shared" si="13"/>
        <v>41437</v>
      </c>
      <c r="C113" s="41">
        <v>8.5</v>
      </c>
      <c r="D113" s="41"/>
      <c r="E113" s="41">
        <v>15</v>
      </c>
      <c r="F113" s="41">
        <v>1.1000000000000001</v>
      </c>
      <c r="G113" s="41">
        <f t="shared" si="7"/>
        <v>140.25</v>
      </c>
      <c r="H113" s="41" t="s">
        <v>15</v>
      </c>
      <c r="I113" s="5" t="s">
        <v>53</v>
      </c>
    </row>
    <row r="114" spans="1:9" s="5" customFormat="1" ht="20.100000000000001" customHeight="1" x14ac:dyDescent="0.2">
      <c r="A114" s="41" t="s">
        <v>23</v>
      </c>
      <c r="B114" s="42">
        <f t="shared" si="13"/>
        <v>41437</v>
      </c>
      <c r="C114" s="41">
        <v>8.5</v>
      </c>
      <c r="D114" s="41"/>
      <c r="E114" s="41">
        <v>15</v>
      </c>
      <c r="F114" s="41">
        <v>1.1000000000000001</v>
      </c>
      <c r="G114" s="41">
        <f t="shared" si="7"/>
        <v>140.25</v>
      </c>
      <c r="H114" s="41" t="s">
        <v>15</v>
      </c>
      <c r="I114" s="5" t="s">
        <v>53</v>
      </c>
    </row>
    <row r="115" spans="1:9" s="5" customFormat="1" ht="20.100000000000001" customHeight="1" x14ac:dyDescent="0.2">
      <c r="A115" s="41" t="s">
        <v>13</v>
      </c>
      <c r="B115" s="42">
        <f>DATE(2013,6,13)</f>
        <v>41438</v>
      </c>
      <c r="C115" s="41">
        <v>9.25</v>
      </c>
      <c r="D115" s="41"/>
      <c r="E115" s="41">
        <v>42</v>
      </c>
      <c r="F115" s="41">
        <v>1.1000000000000001</v>
      </c>
      <c r="G115" s="41">
        <f t="shared" si="7"/>
        <v>427.35</v>
      </c>
      <c r="H115" s="41" t="s">
        <v>29</v>
      </c>
      <c r="I115" s="5" t="s">
        <v>53</v>
      </c>
    </row>
    <row r="116" spans="1:9" s="5" customFormat="1" ht="20.100000000000001" customHeight="1" x14ac:dyDescent="0.2">
      <c r="A116" s="41" t="s">
        <v>12</v>
      </c>
      <c r="B116" s="42">
        <f>DATE(2013,6,13)</f>
        <v>41438</v>
      </c>
      <c r="C116" s="41">
        <v>9.25</v>
      </c>
      <c r="D116" s="41"/>
      <c r="E116" s="41">
        <v>22</v>
      </c>
      <c r="F116" s="41">
        <v>1.1000000000000001</v>
      </c>
      <c r="G116" s="41">
        <f t="shared" si="7"/>
        <v>223.85000000000002</v>
      </c>
      <c r="H116" s="41" t="s">
        <v>29</v>
      </c>
      <c r="I116" s="5" t="s">
        <v>53</v>
      </c>
    </row>
    <row r="117" spans="1:9" s="5" customFormat="1" ht="20.100000000000001" customHeight="1" x14ac:dyDescent="0.2">
      <c r="A117" s="41" t="s">
        <v>11</v>
      </c>
      <c r="B117" s="42">
        <f>DATE(2013,6,13)</f>
        <v>41438</v>
      </c>
      <c r="C117" s="41">
        <v>9.25</v>
      </c>
      <c r="D117" s="41"/>
      <c r="E117" s="41">
        <v>25</v>
      </c>
      <c r="F117" s="41">
        <v>1.1000000000000001</v>
      </c>
      <c r="G117" s="41">
        <f t="shared" si="7"/>
        <v>254.37500000000003</v>
      </c>
      <c r="H117" s="41" t="s">
        <v>29</v>
      </c>
      <c r="I117" s="5" t="s">
        <v>53</v>
      </c>
    </row>
    <row r="118" spans="1:9" s="5" customFormat="1" ht="20.100000000000001" customHeight="1" x14ac:dyDescent="0.2">
      <c r="A118" s="41" t="s">
        <v>14</v>
      </c>
      <c r="B118" s="42">
        <f>DATE(2013,6,13)</f>
        <v>41438</v>
      </c>
      <c r="C118" s="41">
        <v>9.25</v>
      </c>
      <c r="D118" s="41"/>
      <c r="E118" s="41">
        <v>23</v>
      </c>
      <c r="F118" s="41">
        <v>1.1000000000000001</v>
      </c>
      <c r="G118" s="41">
        <f t="shared" si="7"/>
        <v>234.02500000000001</v>
      </c>
      <c r="H118" s="41" t="s">
        <v>29</v>
      </c>
      <c r="I118" s="5" t="s">
        <v>53</v>
      </c>
    </row>
    <row r="119" spans="1:9" s="5" customFormat="1" ht="20.100000000000001" customHeight="1" x14ac:dyDescent="0.2">
      <c r="A119" s="41" t="s">
        <v>27</v>
      </c>
      <c r="B119" s="42">
        <f>DATE(2013,6,13)</f>
        <v>41438</v>
      </c>
      <c r="C119" s="41">
        <v>9.25</v>
      </c>
      <c r="D119" s="41"/>
      <c r="E119" s="41">
        <v>15</v>
      </c>
      <c r="F119" s="41">
        <v>1.1000000000000001</v>
      </c>
      <c r="G119" s="41">
        <f t="shared" si="7"/>
        <v>152.625</v>
      </c>
      <c r="H119" s="41" t="s">
        <v>29</v>
      </c>
      <c r="I119" s="5" t="s">
        <v>53</v>
      </c>
    </row>
    <row r="120" spans="1:9" s="5" customFormat="1" ht="20.100000000000001" customHeight="1" x14ac:dyDescent="0.2">
      <c r="A120" s="41" t="s">
        <v>28</v>
      </c>
      <c r="B120" s="42">
        <f>DATE(2013,6,14)</f>
        <v>41439</v>
      </c>
      <c r="C120" s="41">
        <v>7</v>
      </c>
      <c r="D120" s="41"/>
      <c r="E120" s="41">
        <v>42</v>
      </c>
      <c r="F120" s="41">
        <v>1.1000000000000001</v>
      </c>
      <c r="G120" s="41">
        <f t="shared" si="7"/>
        <v>323.40000000000003</v>
      </c>
      <c r="H120" s="41" t="s">
        <v>29</v>
      </c>
      <c r="I120" s="5" t="s">
        <v>53</v>
      </c>
    </row>
    <row r="121" spans="1:9" s="5" customFormat="1" ht="20.100000000000001" customHeight="1" x14ac:dyDescent="0.2">
      <c r="A121" s="41" t="s">
        <v>12</v>
      </c>
      <c r="B121" s="42">
        <f>DATE(2013,6,14)</f>
        <v>41439</v>
      </c>
      <c r="C121" s="41">
        <v>7</v>
      </c>
      <c r="D121" s="41"/>
      <c r="E121" s="41">
        <v>22</v>
      </c>
      <c r="F121" s="41">
        <v>1.1000000000000001</v>
      </c>
      <c r="G121" s="41">
        <f t="shared" si="7"/>
        <v>169.4</v>
      </c>
      <c r="H121" s="41" t="s">
        <v>29</v>
      </c>
      <c r="I121" s="5" t="s">
        <v>53</v>
      </c>
    </row>
    <row r="122" spans="1:9" s="5" customFormat="1" ht="20.100000000000001" customHeight="1" x14ac:dyDescent="0.2">
      <c r="A122" s="41" t="s">
        <v>11</v>
      </c>
      <c r="B122" s="42">
        <f>DATE(2013,6,14)</f>
        <v>41439</v>
      </c>
      <c r="C122" s="41">
        <v>7</v>
      </c>
      <c r="D122" s="41"/>
      <c r="E122" s="41">
        <v>25</v>
      </c>
      <c r="F122" s="41">
        <v>1.1000000000000001</v>
      </c>
      <c r="G122" s="41">
        <f t="shared" si="7"/>
        <v>192.50000000000003</v>
      </c>
      <c r="H122" s="41" t="s">
        <v>29</v>
      </c>
      <c r="I122" s="5" t="s">
        <v>53</v>
      </c>
    </row>
    <row r="123" spans="1:9" s="5" customFormat="1" ht="20.100000000000001" customHeight="1" x14ac:dyDescent="0.2">
      <c r="A123" s="41" t="s">
        <v>14</v>
      </c>
      <c r="B123" s="42">
        <f>DATE(2013,6,14)</f>
        <v>41439</v>
      </c>
      <c r="C123" s="41">
        <v>7</v>
      </c>
      <c r="D123" s="41"/>
      <c r="E123" s="41">
        <v>23</v>
      </c>
      <c r="F123" s="41">
        <v>1.1000000000000001</v>
      </c>
      <c r="G123" s="41">
        <f t="shared" si="7"/>
        <v>177.10000000000002</v>
      </c>
      <c r="H123" s="41" t="s">
        <v>29</v>
      </c>
      <c r="I123" s="5" t="s">
        <v>53</v>
      </c>
    </row>
    <row r="124" spans="1:9" s="5" customFormat="1" ht="20.100000000000001" customHeight="1" x14ac:dyDescent="0.2">
      <c r="A124" s="41" t="s">
        <v>27</v>
      </c>
      <c r="B124" s="42">
        <f>DATE(2013,6,14)</f>
        <v>41439</v>
      </c>
      <c r="C124" s="41">
        <v>7</v>
      </c>
      <c r="D124" s="41"/>
      <c r="E124" s="41">
        <v>15</v>
      </c>
      <c r="F124" s="41">
        <v>1.1000000000000001</v>
      </c>
      <c r="G124" s="41">
        <f t="shared" si="7"/>
        <v>115.50000000000001</v>
      </c>
      <c r="H124" s="41" t="s">
        <v>29</v>
      </c>
      <c r="I124" s="5" t="s">
        <v>53</v>
      </c>
    </row>
    <row r="125" spans="1:9" s="5" customFormat="1" ht="20.100000000000001" customHeight="1" x14ac:dyDescent="0.2">
      <c r="A125" s="41" t="s">
        <v>13</v>
      </c>
      <c r="B125" s="42">
        <f>DATE(2013,6,17)</f>
        <v>41442</v>
      </c>
      <c r="C125" s="41">
        <v>7.5</v>
      </c>
      <c r="D125" s="41"/>
      <c r="E125" s="41">
        <v>42</v>
      </c>
      <c r="F125" s="41">
        <v>1.1000000000000001</v>
      </c>
      <c r="G125" s="41">
        <f t="shared" si="7"/>
        <v>346.5</v>
      </c>
      <c r="H125" s="41" t="s">
        <v>29</v>
      </c>
      <c r="I125" s="5" t="s">
        <v>53</v>
      </c>
    </row>
    <row r="126" spans="1:9" s="5" customFormat="1" ht="20.100000000000001" customHeight="1" x14ac:dyDescent="0.2">
      <c r="A126" s="41" t="s">
        <v>12</v>
      </c>
      <c r="B126" s="42">
        <f>DATE(2013,6,17)</f>
        <v>41442</v>
      </c>
      <c r="C126" s="41">
        <v>7.5</v>
      </c>
      <c r="D126" s="41"/>
      <c r="E126" s="41">
        <v>22</v>
      </c>
      <c r="F126" s="41">
        <v>1.1000000000000001</v>
      </c>
      <c r="G126" s="41">
        <f t="shared" si="7"/>
        <v>181.50000000000003</v>
      </c>
      <c r="H126" s="41" t="s">
        <v>29</v>
      </c>
      <c r="I126" s="5" t="s">
        <v>53</v>
      </c>
    </row>
    <row r="127" spans="1:9" s="5" customFormat="1" ht="20.100000000000001" customHeight="1" x14ac:dyDescent="0.2">
      <c r="A127" s="41" t="s">
        <v>27</v>
      </c>
      <c r="B127" s="42">
        <f>DATE(2013,6,17)</f>
        <v>41442</v>
      </c>
      <c r="C127" s="41">
        <v>7.5</v>
      </c>
      <c r="D127" s="41"/>
      <c r="E127" s="41">
        <v>15</v>
      </c>
      <c r="F127" s="41">
        <v>1.1000000000000001</v>
      </c>
      <c r="G127" s="41">
        <f t="shared" si="7"/>
        <v>123.75000000000001</v>
      </c>
      <c r="H127" s="41" t="s">
        <v>29</v>
      </c>
      <c r="I127" s="5" t="s">
        <v>53</v>
      </c>
    </row>
    <row r="128" spans="1:9" s="5" customFormat="1" ht="20.100000000000001" customHeight="1" x14ac:dyDescent="0.2">
      <c r="A128" s="41" t="s">
        <v>23</v>
      </c>
      <c r="B128" s="42">
        <f>DATE(2013,6,17)</f>
        <v>41442</v>
      </c>
      <c r="C128" s="41">
        <v>7.5</v>
      </c>
      <c r="D128" s="41"/>
      <c r="E128" s="41">
        <v>15</v>
      </c>
      <c r="F128" s="41">
        <v>1.1000000000000001</v>
      </c>
      <c r="G128" s="41">
        <f t="shared" si="7"/>
        <v>123.75000000000001</v>
      </c>
      <c r="H128" s="41" t="s">
        <v>29</v>
      </c>
      <c r="I128" s="5" t="s">
        <v>53</v>
      </c>
    </row>
    <row r="129" spans="1:9" s="5" customFormat="1" ht="20.100000000000001" customHeight="1" x14ac:dyDescent="0.2">
      <c r="A129" s="41" t="s">
        <v>13</v>
      </c>
      <c r="B129" s="42">
        <f>DATE(2013,6,18)</f>
        <v>41443</v>
      </c>
      <c r="C129" s="41">
        <v>9</v>
      </c>
      <c r="D129" s="41"/>
      <c r="E129" s="41">
        <v>42</v>
      </c>
      <c r="F129" s="41">
        <v>1.1000000000000001</v>
      </c>
      <c r="G129" s="41">
        <f t="shared" si="7"/>
        <v>415.8</v>
      </c>
      <c r="H129" s="41" t="s">
        <v>29</v>
      </c>
      <c r="I129" s="5" t="s">
        <v>53</v>
      </c>
    </row>
    <row r="130" spans="1:9" s="5" customFormat="1" ht="20.100000000000001" customHeight="1" x14ac:dyDescent="0.2">
      <c r="A130" s="41" t="s">
        <v>12</v>
      </c>
      <c r="B130" s="42">
        <f>DATE(2013,6,18)</f>
        <v>41443</v>
      </c>
      <c r="C130" s="41">
        <v>9</v>
      </c>
      <c r="D130" s="41"/>
      <c r="E130" s="41">
        <v>22</v>
      </c>
      <c r="F130" s="41">
        <v>1.1000000000000001</v>
      </c>
      <c r="G130" s="41">
        <f t="shared" si="7"/>
        <v>217.8</v>
      </c>
      <c r="H130" s="41" t="s">
        <v>29</v>
      </c>
      <c r="I130" s="5" t="s">
        <v>53</v>
      </c>
    </row>
    <row r="131" spans="1:9" s="5" customFormat="1" ht="20.100000000000001" customHeight="1" x14ac:dyDescent="0.2">
      <c r="A131" s="41" t="s">
        <v>27</v>
      </c>
      <c r="B131" s="42">
        <f>DATE(2013,6,18)</f>
        <v>41443</v>
      </c>
      <c r="C131" s="41">
        <v>9</v>
      </c>
      <c r="D131" s="41"/>
      <c r="E131" s="41">
        <v>15</v>
      </c>
      <c r="F131" s="41">
        <v>1.1000000000000001</v>
      </c>
      <c r="G131" s="41">
        <f t="shared" ref="G131:G194" si="14">((C131+D131)*E131)*F131</f>
        <v>148.5</v>
      </c>
      <c r="H131" s="41" t="s">
        <v>29</v>
      </c>
      <c r="I131" s="5" t="s">
        <v>53</v>
      </c>
    </row>
    <row r="132" spans="1:9" s="5" customFormat="1" ht="20.100000000000001" customHeight="1" x14ac:dyDescent="0.2">
      <c r="A132" s="41" t="s">
        <v>23</v>
      </c>
      <c r="B132" s="42">
        <f>DATE(2013,6,18)</f>
        <v>41443</v>
      </c>
      <c r="C132" s="41">
        <v>9</v>
      </c>
      <c r="D132" s="41"/>
      <c r="E132" s="41">
        <v>15</v>
      </c>
      <c r="F132" s="41">
        <v>1.1000000000000001</v>
      </c>
      <c r="G132" s="41">
        <f t="shared" si="14"/>
        <v>148.5</v>
      </c>
      <c r="H132" s="41" t="s">
        <v>29</v>
      </c>
      <c r="I132" s="5" t="s">
        <v>53</v>
      </c>
    </row>
    <row r="133" spans="1:9" s="5" customFormat="1" ht="20.100000000000001" customHeight="1" x14ac:dyDescent="0.2">
      <c r="A133" s="41" t="s">
        <v>13</v>
      </c>
      <c r="B133" s="42">
        <f>DATE(2013,6,19)</f>
        <v>41444</v>
      </c>
      <c r="C133" s="41">
        <v>10.25</v>
      </c>
      <c r="D133" s="41"/>
      <c r="E133" s="41">
        <v>42</v>
      </c>
      <c r="F133" s="41">
        <v>1.1000000000000001</v>
      </c>
      <c r="G133" s="41">
        <f t="shared" si="14"/>
        <v>473.55</v>
      </c>
      <c r="H133" s="41" t="s">
        <v>29</v>
      </c>
      <c r="I133" s="5" t="s">
        <v>53</v>
      </c>
    </row>
    <row r="134" spans="1:9" s="5" customFormat="1" ht="20.100000000000001" customHeight="1" x14ac:dyDescent="0.2">
      <c r="A134" s="41" t="s">
        <v>12</v>
      </c>
      <c r="B134" s="42">
        <f>DATE(2013,6,19)</f>
        <v>41444</v>
      </c>
      <c r="C134" s="41">
        <v>10.25</v>
      </c>
      <c r="D134" s="41"/>
      <c r="E134" s="41">
        <v>22</v>
      </c>
      <c r="F134" s="41">
        <v>1.1000000000000001</v>
      </c>
      <c r="G134" s="41">
        <f t="shared" si="14"/>
        <v>248.05</v>
      </c>
      <c r="H134" s="41" t="s">
        <v>29</v>
      </c>
      <c r="I134" s="5" t="s">
        <v>53</v>
      </c>
    </row>
    <row r="135" spans="1:9" s="5" customFormat="1" ht="20.100000000000001" customHeight="1" x14ac:dyDescent="0.2">
      <c r="A135" s="41" t="s">
        <v>27</v>
      </c>
      <c r="B135" s="42">
        <f>DATE(2013,6,19)</f>
        <v>41444</v>
      </c>
      <c r="C135" s="41">
        <v>10.25</v>
      </c>
      <c r="D135" s="41"/>
      <c r="E135" s="41">
        <v>15</v>
      </c>
      <c r="F135" s="41">
        <v>1.1000000000000001</v>
      </c>
      <c r="G135" s="41">
        <f t="shared" si="14"/>
        <v>169.125</v>
      </c>
      <c r="H135" s="41" t="s">
        <v>29</v>
      </c>
      <c r="I135" s="5" t="s">
        <v>53</v>
      </c>
    </row>
    <row r="136" spans="1:9" s="5" customFormat="1" ht="20.100000000000001" customHeight="1" x14ac:dyDescent="0.2">
      <c r="A136" s="41" t="s">
        <v>23</v>
      </c>
      <c r="B136" s="42">
        <f>DATE(2013,6,19)</f>
        <v>41444</v>
      </c>
      <c r="C136" s="41">
        <v>10.25</v>
      </c>
      <c r="D136" s="41"/>
      <c r="E136" s="41">
        <v>15</v>
      </c>
      <c r="F136" s="41">
        <v>1.1000000000000001</v>
      </c>
      <c r="G136" s="41">
        <f t="shared" si="14"/>
        <v>169.125</v>
      </c>
      <c r="H136" s="41" t="s">
        <v>29</v>
      </c>
      <c r="I136" s="5" t="s">
        <v>53</v>
      </c>
    </row>
    <row r="137" spans="1:9" s="5" customFormat="1" ht="20.100000000000001" customHeight="1" x14ac:dyDescent="0.2">
      <c r="A137" s="41" t="s">
        <v>13</v>
      </c>
      <c r="B137" s="42">
        <f>DATE(2013,6,20)</f>
        <v>41445</v>
      </c>
      <c r="C137" s="41">
        <v>10.25</v>
      </c>
      <c r="D137" s="41"/>
      <c r="E137" s="41">
        <v>42</v>
      </c>
      <c r="F137" s="41">
        <v>1.1000000000000001</v>
      </c>
      <c r="G137" s="41">
        <f t="shared" si="14"/>
        <v>473.55</v>
      </c>
      <c r="H137" s="41" t="s">
        <v>29</v>
      </c>
      <c r="I137" s="5" t="s">
        <v>53</v>
      </c>
    </row>
    <row r="138" spans="1:9" s="5" customFormat="1" ht="20.100000000000001" customHeight="1" x14ac:dyDescent="0.2">
      <c r="A138" s="41" t="s">
        <v>12</v>
      </c>
      <c r="B138" s="42">
        <f>DATE(2013,6,20)</f>
        <v>41445</v>
      </c>
      <c r="C138" s="41">
        <v>10.25</v>
      </c>
      <c r="D138" s="41"/>
      <c r="E138" s="41">
        <v>22</v>
      </c>
      <c r="F138" s="41">
        <v>1.1000000000000001</v>
      </c>
      <c r="G138" s="41">
        <f t="shared" si="14"/>
        <v>248.05</v>
      </c>
      <c r="H138" s="41" t="s">
        <v>29</v>
      </c>
      <c r="I138" s="5" t="s">
        <v>53</v>
      </c>
    </row>
    <row r="139" spans="1:9" s="5" customFormat="1" ht="20.100000000000001" customHeight="1" x14ac:dyDescent="0.2">
      <c r="A139" s="41" t="s">
        <v>27</v>
      </c>
      <c r="B139" s="42">
        <f>DATE(2013,6,20)</f>
        <v>41445</v>
      </c>
      <c r="C139" s="41">
        <v>10.25</v>
      </c>
      <c r="D139" s="41"/>
      <c r="E139" s="41">
        <v>15</v>
      </c>
      <c r="F139" s="41">
        <v>1.1000000000000001</v>
      </c>
      <c r="G139" s="41">
        <f t="shared" si="14"/>
        <v>169.125</v>
      </c>
      <c r="H139" s="41" t="s">
        <v>29</v>
      </c>
      <c r="I139" s="5" t="s">
        <v>53</v>
      </c>
    </row>
    <row r="140" spans="1:9" s="5" customFormat="1" ht="20.100000000000001" customHeight="1" x14ac:dyDescent="0.2">
      <c r="A140" s="41" t="s">
        <v>23</v>
      </c>
      <c r="B140" s="42">
        <f>DATE(2013,6,20)</f>
        <v>41445</v>
      </c>
      <c r="C140" s="41">
        <v>10.25</v>
      </c>
      <c r="D140" s="41"/>
      <c r="E140" s="41">
        <v>15</v>
      </c>
      <c r="F140" s="41">
        <v>1.1000000000000001</v>
      </c>
      <c r="G140" s="41">
        <f t="shared" si="14"/>
        <v>169.125</v>
      </c>
      <c r="H140" s="41" t="s">
        <v>29</v>
      </c>
      <c r="I140" s="5" t="s">
        <v>53</v>
      </c>
    </row>
    <row r="141" spans="1:9" s="5" customFormat="1" ht="20.100000000000001" customHeight="1" x14ac:dyDescent="0.2">
      <c r="A141" s="41" t="s">
        <v>13</v>
      </c>
      <c r="B141" s="42">
        <f>DATE(2013,6,21)</f>
        <v>41446</v>
      </c>
      <c r="C141" s="41">
        <v>11.5</v>
      </c>
      <c r="D141" s="41"/>
      <c r="E141" s="41">
        <v>42</v>
      </c>
      <c r="F141" s="41">
        <v>1.1000000000000001</v>
      </c>
      <c r="G141" s="41">
        <f t="shared" si="14"/>
        <v>531.30000000000007</v>
      </c>
      <c r="H141" s="41" t="s">
        <v>29</v>
      </c>
      <c r="I141" s="5" t="s">
        <v>53</v>
      </c>
    </row>
    <row r="142" spans="1:9" s="5" customFormat="1" ht="20.100000000000001" customHeight="1" x14ac:dyDescent="0.2">
      <c r="A142" s="41" t="s">
        <v>12</v>
      </c>
      <c r="B142" s="42">
        <f>DATE(2013,6,21)</f>
        <v>41446</v>
      </c>
      <c r="C142" s="41">
        <v>11.5</v>
      </c>
      <c r="D142" s="41"/>
      <c r="E142" s="41">
        <v>22</v>
      </c>
      <c r="F142" s="41">
        <v>1.1000000000000001</v>
      </c>
      <c r="G142" s="41">
        <f t="shared" si="14"/>
        <v>278.3</v>
      </c>
      <c r="H142" s="41" t="s">
        <v>29</v>
      </c>
      <c r="I142" s="5" t="s">
        <v>53</v>
      </c>
    </row>
    <row r="143" spans="1:9" s="5" customFormat="1" ht="20.100000000000001" customHeight="1" x14ac:dyDescent="0.2">
      <c r="A143" s="41" t="s">
        <v>11</v>
      </c>
      <c r="B143" s="42">
        <f>DATE(2013,6,21)</f>
        <v>41446</v>
      </c>
      <c r="C143" s="41">
        <v>11.5</v>
      </c>
      <c r="D143" s="41"/>
      <c r="E143" s="41">
        <v>25</v>
      </c>
      <c r="F143" s="41">
        <v>1.1000000000000001</v>
      </c>
      <c r="G143" s="41">
        <f t="shared" si="14"/>
        <v>316.25</v>
      </c>
      <c r="H143" s="41" t="s">
        <v>29</v>
      </c>
      <c r="I143" s="5" t="s">
        <v>53</v>
      </c>
    </row>
    <row r="144" spans="1:9" s="5" customFormat="1" ht="20.100000000000001" customHeight="1" x14ac:dyDescent="0.2">
      <c r="A144" s="41" t="s">
        <v>14</v>
      </c>
      <c r="B144" s="42">
        <f>DATE(2013,6,21)</f>
        <v>41446</v>
      </c>
      <c r="C144" s="41">
        <v>11.5</v>
      </c>
      <c r="D144" s="41"/>
      <c r="E144" s="41">
        <v>23</v>
      </c>
      <c r="F144" s="41">
        <v>1.1000000000000001</v>
      </c>
      <c r="G144" s="41">
        <f t="shared" si="14"/>
        <v>290.95000000000005</v>
      </c>
      <c r="H144" s="41" t="s">
        <v>29</v>
      </c>
      <c r="I144" s="5" t="s">
        <v>53</v>
      </c>
    </row>
    <row r="145" spans="1:9" s="5" customFormat="1" ht="20.100000000000001" customHeight="1" x14ac:dyDescent="0.2">
      <c r="A145" s="41" t="s">
        <v>27</v>
      </c>
      <c r="B145" s="42">
        <f>DATE(2013,6,21)</f>
        <v>41446</v>
      </c>
      <c r="C145" s="41">
        <v>11.5</v>
      </c>
      <c r="D145" s="41"/>
      <c r="E145" s="41">
        <v>15</v>
      </c>
      <c r="F145" s="41">
        <v>1.1000000000000001</v>
      </c>
      <c r="G145" s="41">
        <f t="shared" si="14"/>
        <v>189.75000000000003</v>
      </c>
      <c r="H145" s="41" t="s">
        <v>29</v>
      </c>
      <c r="I145" s="5" t="s">
        <v>53</v>
      </c>
    </row>
    <row r="146" spans="1:9" s="5" customFormat="1" ht="20.100000000000001" customHeight="1" x14ac:dyDescent="0.2">
      <c r="A146" s="41" t="s">
        <v>13</v>
      </c>
      <c r="B146" s="42">
        <f>DATE(2013,6,22)</f>
        <v>41447</v>
      </c>
      <c r="C146" s="41">
        <v>7</v>
      </c>
      <c r="D146" s="41"/>
      <c r="E146" s="41">
        <v>42</v>
      </c>
      <c r="F146" s="41">
        <v>1.1000000000000001</v>
      </c>
      <c r="G146" s="41">
        <f t="shared" si="14"/>
        <v>323.40000000000003</v>
      </c>
      <c r="H146" s="41" t="s">
        <v>29</v>
      </c>
      <c r="I146" s="5" t="s">
        <v>53</v>
      </c>
    </row>
    <row r="147" spans="1:9" s="5" customFormat="1" ht="20.100000000000001" customHeight="1" x14ac:dyDescent="0.2">
      <c r="A147" s="41" t="s">
        <v>12</v>
      </c>
      <c r="B147" s="42">
        <f>DATE(2013,6,22)</f>
        <v>41447</v>
      </c>
      <c r="C147" s="41">
        <v>7</v>
      </c>
      <c r="D147" s="41"/>
      <c r="E147" s="41">
        <v>22</v>
      </c>
      <c r="F147" s="41">
        <v>1.1000000000000001</v>
      </c>
      <c r="G147" s="41">
        <f t="shared" si="14"/>
        <v>169.4</v>
      </c>
      <c r="H147" s="41" t="s">
        <v>29</v>
      </c>
      <c r="I147" s="5" t="s">
        <v>53</v>
      </c>
    </row>
    <row r="148" spans="1:9" s="5" customFormat="1" ht="20.100000000000001" customHeight="1" x14ac:dyDescent="0.2">
      <c r="A148" s="41" t="s">
        <v>27</v>
      </c>
      <c r="B148" s="42">
        <f>DATE(2013,6,22)</f>
        <v>41447</v>
      </c>
      <c r="C148" s="41">
        <v>7</v>
      </c>
      <c r="D148" s="41"/>
      <c r="E148" s="41">
        <v>15</v>
      </c>
      <c r="F148" s="41">
        <v>1.1000000000000001</v>
      </c>
      <c r="G148" s="41">
        <f t="shared" si="14"/>
        <v>115.50000000000001</v>
      </c>
      <c r="H148" s="41" t="s">
        <v>29</v>
      </c>
      <c r="I148" s="5" t="s">
        <v>53</v>
      </c>
    </row>
    <row r="149" spans="1:9" s="5" customFormat="1" ht="20.100000000000001" customHeight="1" x14ac:dyDescent="0.2">
      <c r="A149" s="41" t="s">
        <v>13</v>
      </c>
      <c r="B149" s="42">
        <f>DATE(2013,6,24)</f>
        <v>41449</v>
      </c>
      <c r="C149" s="41">
        <v>9.25</v>
      </c>
      <c r="D149" s="41"/>
      <c r="E149" s="41">
        <v>42</v>
      </c>
      <c r="F149" s="41">
        <v>1.1000000000000001</v>
      </c>
      <c r="G149" s="41">
        <f t="shared" si="14"/>
        <v>427.35</v>
      </c>
      <c r="H149" s="41" t="s">
        <v>29</v>
      </c>
      <c r="I149" s="5" t="s">
        <v>53</v>
      </c>
    </row>
    <row r="150" spans="1:9" s="5" customFormat="1" ht="20.100000000000001" customHeight="1" x14ac:dyDescent="0.2">
      <c r="A150" s="41" t="s">
        <v>11</v>
      </c>
      <c r="B150" s="42">
        <f>DATE(2013,6,24)</f>
        <v>41449</v>
      </c>
      <c r="C150" s="41">
        <v>10.75</v>
      </c>
      <c r="D150" s="41"/>
      <c r="E150" s="41">
        <v>25</v>
      </c>
      <c r="F150" s="41">
        <v>1.1000000000000001</v>
      </c>
      <c r="G150" s="41">
        <f t="shared" si="14"/>
        <v>295.625</v>
      </c>
      <c r="H150" s="41" t="s">
        <v>29</v>
      </c>
      <c r="I150" s="5" t="s">
        <v>53</v>
      </c>
    </row>
    <row r="151" spans="1:9" s="5" customFormat="1" ht="20.100000000000001" customHeight="1" x14ac:dyDescent="0.2">
      <c r="A151" s="41" t="s">
        <v>14</v>
      </c>
      <c r="B151" s="42">
        <f>DATE(2013,6,24)</f>
        <v>41449</v>
      </c>
      <c r="C151" s="41">
        <v>9.25</v>
      </c>
      <c r="D151" s="41"/>
      <c r="E151" s="41">
        <v>23</v>
      </c>
      <c r="F151" s="41">
        <v>1.1000000000000001</v>
      </c>
      <c r="G151" s="41">
        <f t="shared" si="14"/>
        <v>234.02500000000001</v>
      </c>
      <c r="H151" s="41" t="s">
        <v>29</v>
      </c>
      <c r="I151" s="5" t="s">
        <v>53</v>
      </c>
    </row>
    <row r="152" spans="1:9" s="5" customFormat="1" ht="20.100000000000001" customHeight="1" x14ac:dyDescent="0.2">
      <c r="A152" s="41" t="s">
        <v>27</v>
      </c>
      <c r="B152" s="42">
        <f>DATE(2013,6,24)</f>
        <v>41449</v>
      </c>
      <c r="C152" s="41">
        <v>9.25</v>
      </c>
      <c r="D152" s="41"/>
      <c r="E152" s="41">
        <v>15</v>
      </c>
      <c r="F152" s="41">
        <v>1.1000000000000001</v>
      </c>
      <c r="G152" s="41">
        <f t="shared" si="14"/>
        <v>152.625</v>
      </c>
      <c r="H152" s="41" t="s">
        <v>29</v>
      </c>
      <c r="I152" s="5" t="s">
        <v>53</v>
      </c>
    </row>
    <row r="153" spans="1:9" s="5" customFormat="1" ht="20.100000000000001" customHeight="1" x14ac:dyDescent="0.2">
      <c r="A153" s="41" t="s">
        <v>23</v>
      </c>
      <c r="B153" s="42">
        <f>DATE(2013,6,24)</f>
        <v>41449</v>
      </c>
      <c r="C153" s="41">
        <v>3</v>
      </c>
      <c r="D153" s="41"/>
      <c r="E153" s="41">
        <v>15</v>
      </c>
      <c r="F153" s="41">
        <v>1.1000000000000001</v>
      </c>
      <c r="G153" s="41">
        <f t="shared" si="14"/>
        <v>49.500000000000007</v>
      </c>
      <c r="H153" s="41" t="s">
        <v>29</v>
      </c>
      <c r="I153" s="5" t="s">
        <v>53</v>
      </c>
    </row>
    <row r="154" spans="1:9" s="5" customFormat="1" ht="20.100000000000001" customHeight="1" x14ac:dyDescent="0.2">
      <c r="A154" s="41" t="s">
        <v>13</v>
      </c>
      <c r="B154" s="42">
        <f>DATE(2013,6,25)</f>
        <v>41450</v>
      </c>
      <c r="C154" s="41">
        <v>10.5</v>
      </c>
      <c r="D154" s="41"/>
      <c r="E154" s="41">
        <v>42</v>
      </c>
      <c r="F154" s="41">
        <v>1.1000000000000001</v>
      </c>
      <c r="G154" s="41">
        <f t="shared" si="14"/>
        <v>485.1</v>
      </c>
      <c r="H154" s="41" t="s">
        <v>29</v>
      </c>
      <c r="I154" s="5" t="s">
        <v>53</v>
      </c>
    </row>
    <row r="155" spans="1:9" s="5" customFormat="1" ht="20.100000000000001" customHeight="1" x14ac:dyDescent="0.2">
      <c r="A155" s="41" t="s">
        <v>11</v>
      </c>
      <c r="B155" s="42">
        <f>DATE(2013,6,25)</f>
        <v>41450</v>
      </c>
      <c r="C155" s="41">
        <v>10</v>
      </c>
      <c r="D155" s="41"/>
      <c r="E155" s="41">
        <v>25</v>
      </c>
      <c r="F155" s="41">
        <v>1.1000000000000001</v>
      </c>
      <c r="G155" s="41">
        <f t="shared" si="14"/>
        <v>275</v>
      </c>
      <c r="H155" s="41" t="s">
        <v>29</v>
      </c>
      <c r="I155" s="5" t="s">
        <v>53</v>
      </c>
    </row>
    <row r="156" spans="1:9" s="5" customFormat="1" ht="20.100000000000001" customHeight="1" x14ac:dyDescent="0.2">
      <c r="A156" s="41" t="s">
        <v>14</v>
      </c>
      <c r="B156" s="42">
        <f>DATE(2013,6,25)</f>
        <v>41450</v>
      </c>
      <c r="C156" s="41">
        <v>10.5</v>
      </c>
      <c r="D156" s="41"/>
      <c r="E156" s="41">
        <v>23</v>
      </c>
      <c r="F156" s="41">
        <v>1.1000000000000001</v>
      </c>
      <c r="G156" s="41">
        <f t="shared" si="14"/>
        <v>265.65000000000003</v>
      </c>
      <c r="H156" s="41" t="s">
        <v>29</v>
      </c>
      <c r="I156" s="5" t="s">
        <v>53</v>
      </c>
    </row>
    <row r="157" spans="1:9" s="5" customFormat="1" ht="20.100000000000001" customHeight="1" x14ac:dyDescent="0.2">
      <c r="A157" s="41" t="s">
        <v>27</v>
      </c>
      <c r="B157" s="42">
        <f>DATE(2013,6,25)</f>
        <v>41450</v>
      </c>
      <c r="C157" s="41">
        <v>10.5</v>
      </c>
      <c r="D157" s="41"/>
      <c r="E157" s="41">
        <v>15</v>
      </c>
      <c r="F157" s="41">
        <v>1.1000000000000001</v>
      </c>
      <c r="G157" s="41">
        <f t="shared" si="14"/>
        <v>173.25</v>
      </c>
      <c r="H157" s="41" t="s">
        <v>29</v>
      </c>
      <c r="I157" s="5" t="s">
        <v>53</v>
      </c>
    </row>
    <row r="158" spans="1:9" s="5" customFormat="1" ht="20.100000000000001" customHeight="1" x14ac:dyDescent="0.2">
      <c r="A158" s="41" t="s">
        <v>11</v>
      </c>
      <c r="B158" s="42">
        <f>DATE(2013,6,26)</f>
        <v>41451</v>
      </c>
      <c r="C158" s="41">
        <v>11</v>
      </c>
      <c r="D158" s="41"/>
      <c r="E158" s="41">
        <v>25</v>
      </c>
      <c r="F158" s="41">
        <v>1.1000000000000001</v>
      </c>
      <c r="G158" s="41">
        <f t="shared" si="14"/>
        <v>302.5</v>
      </c>
      <c r="H158" s="41" t="s">
        <v>29</v>
      </c>
      <c r="I158" s="5" t="s">
        <v>53</v>
      </c>
    </row>
    <row r="159" spans="1:9" s="5" customFormat="1" ht="20.100000000000001" customHeight="1" x14ac:dyDescent="0.2">
      <c r="A159" s="41" t="s">
        <v>14</v>
      </c>
      <c r="B159" s="42">
        <f>DATE(2013,6,26)</f>
        <v>41451</v>
      </c>
      <c r="C159" s="41">
        <v>11.5</v>
      </c>
      <c r="D159" s="41"/>
      <c r="E159" s="41">
        <v>23</v>
      </c>
      <c r="F159" s="41">
        <v>1.1000000000000001</v>
      </c>
      <c r="G159" s="41">
        <f t="shared" si="14"/>
        <v>290.95000000000005</v>
      </c>
      <c r="H159" s="41" t="s">
        <v>29</v>
      </c>
      <c r="I159" s="5" t="s">
        <v>53</v>
      </c>
    </row>
    <row r="160" spans="1:9" s="5" customFormat="1" ht="20.100000000000001" customHeight="1" x14ac:dyDescent="0.2">
      <c r="A160" s="41" t="s">
        <v>11</v>
      </c>
      <c r="B160" s="42">
        <f>DATE(2013,6,27)</f>
        <v>41452</v>
      </c>
      <c r="C160" s="41">
        <v>9</v>
      </c>
      <c r="D160" s="41"/>
      <c r="E160" s="41">
        <v>25</v>
      </c>
      <c r="F160" s="41">
        <v>1.1000000000000001</v>
      </c>
      <c r="G160" s="41">
        <f t="shared" si="14"/>
        <v>247.50000000000003</v>
      </c>
      <c r="H160" s="41" t="s">
        <v>29</v>
      </c>
      <c r="I160" s="5" t="s">
        <v>53</v>
      </c>
    </row>
    <row r="161" spans="1:9" s="5" customFormat="1" ht="20.100000000000001" customHeight="1" x14ac:dyDescent="0.2">
      <c r="A161" s="41" t="s">
        <v>11</v>
      </c>
      <c r="B161" s="42">
        <f>DATE(2013,6,28)</f>
        <v>41453</v>
      </c>
      <c r="C161" s="41">
        <v>8.5</v>
      </c>
      <c r="D161" s="41"/>
      <c r="E161" s="41">
        <v>25</v>
      </c>
      <c r="F161" s="41">
        <v>1.1000000000000001</v>
      </c>
      <c r="G161" s="41">
        <f t="shared" si="14"/>
        <v>233.75000000000003</v>
      </c>
      <c r="H161" s="41" t="s">
        <v>29</v>
      </c>
      <c r="I161" s="5" t="s">
        <v>53</v>
      </c>
    </row>
    <row r="162" spans="1:9" s="5" customFormat="1" ht="20.100000000000001" customHeight="1" x14ac:dyDescent="0.2">
      <c r="A162" s="41" t="s">
        <v>9</v>
      </c>
      <c r="B162" s="42">
        <f>DATE(2013,7,2)</f>
        <v>41457</v>
      </c>
      <c r="C162" s="41">
        <v>9.75</v>
      </c>
      <c r="D162" s="41"/>
      <c r="E162" s="41">
        <v>35</v>
      </c>
      <c r="F162" s="41">
        <v>1.1000000000000001</v>
      </c>
      <c r="G162" s="41">
        <f t="shared" si="14"/>
        <v>375.37500000000006</v>
      </c>
      <c r="H162" s="41" t="s">
        <v>29</v>
      </c>
      <c r="I162" s="5" t="s">
        <v>53</v>
      </c>
    </row>
    <row r="163" spans="1:9" s="5" customFormat="1" ht="20.100000000000001" customHeight="1" x14ac:dyDescent="0.2">
      <c r="A163" s="41" t="s">
        <v>11</v>
      </c>
      <c r="B163" s="42">
        <f>DATE(2013,7,2)</f>
        <v>41457</v>
      </c>
      <c r="C163" s="41">
        <v>10.75</v>
      </c>
      <c r="D163" s="41"/>
      <c r="E163" s="41">
        <v>25</v>
      </c>
      <c r="F163" s="41">
        <v>1.1000000000000001</v>
      </c>
      <c r="G163" s="41">
        <f t="shared" si="14"/>
        <v>295.625</v>
      </c>
      <c r="H163" s="41" t="s">
        <v>29</v>
      </c>
      <c r="I163" s="5" t="s">
        <v>53</v>
      </c>
    </row>
    <row r="164" spans="1:9" s="5" customFormat="1" ht="20.100000000000001" customHeight="1" x14ac:dyDescent="0.2">
      <c r="A164" s="41" t="s">
        <v>9</v>
      </c>
      <c r="B164" s="42">
        <f>DATE(2013,7,3)</f>
        <v>41458</v>
      </c>
      <c r="C164" s="41">
        <v>11</v>
      </c>
      <c r="D164" s="41"/>
      <c r="E164" s="41">
        <v>35</v>
      </c>
      <c r="F164" s="41">
        <v>1.1000000000000001</v>
      </c>
      <c r="G164" s="41">
        <f t="shared" si="14"/>
        <v>423.50000000000006</v>
      </c>
      <c r="H164" s="41" t="s">
        <v>29</v>
      </c>
      <c r="I164" s="5" t="s">
        <v>53</v>
      </c>
    </row>
    <row r="165" spans="1:9" s="5" customFormat="1" ht="20.100000000000001" customHeight="1" x14ac:dyDescent="0.2">
      <c r="A165" s="41" t="s">
        <v>11</v>
      </c>
      <c r="B165" s="42">
        <f>DATE(2013,7,3)</f>
        <v>41458</v>
      </c>
      <c r="C165" s="41">
        <v>10.75</v>
      </c>
      <c r="D165" s="41"/>
      <c r="E165" s="41">
        <v>25</v>
      </c>
      <c r="F165" s="41">
        <v>1.1000000000000001</v>
      </c>
      <c r="G165" s="41">
        <f t="shared" si="14"/>
        <v>295.625</v>
      </c>
      <c r="H165" s="41" t="s">
        <v>29</v>
      </c>
      <c r="I165" s="5" t="s">
        <v>53</v>
      </c>
    </row>
    <row r="166" spans="1:9" s="5" customFormat="1" ht="20.100000000000001" customHeight="1" x14ac:dyDescent="0.2">
      <c r="A166" s="41" t="s">
        <v>9</v>
      </c>
      <c r="B166" s="42">
        <f>DATE(2013,7,4)</f>
        <v>41459</v>
      </c>
      <c r="C166" s="41">
        <v>11</v>
      </c>
      <c r="D166" s="41"/>
      <c r="E166" s="41">
        <v>35</v>
      </c>
      <c r="F166" s="41">
        <v>1.1000000000000001</v>
      </c>
      <c r="G166" s="41">
        <f t="shared" si="14"/>
        <v>423.50000000000006</v>
      </c>
      <c r="H166" s="41" t="s">
        <v>29</v>
      </c>
      <c r="I166" s="5" t="s">
        <v>53</v>
      </c>
    </row>
    <row r="167" spans="1:9" s="5" customFormat="1" ht="20.100000000000001" customHeight="1" x14ac:dyDescent="0.2">
      <c r="A167" s="41" t="s">
        <v>11</v>
      </c>
      <c r="B167" s="42">
        <f>DATE(2013,7,4)</f>
        <v>41459</v>
      </c>
      <c r="C167" s="41">
        <v>9.75</v>
      </c>
      <c r="D167" s="41"/>
      <c r="E167" s="41">
        <v>25</v>
      </c>
      <c r="F167" s="41">
        <v>1.1000000000000001</v>
      </c>
      <c r="G167" s="41">
        <f t="shared" si="14"/>
        <v>268.125</v>
      </c>
      <c r="H167" s="41" t="s">
        <v>29</v>
      </c>
      <c r="I167" s="5" t="s">
        <v>53</v>
      </c>
    </row>
    <row r="168" spans="1:9" s="5" customFormat="1" ht="20.100000000000001" customHeight="1" x14ac:dyDescent="0.2">
      <c r="A168" s="41" t="s">
        <v>9</v>
      </c>
      <c r="B168" s="42">
        <f>DATE(2013,7,5)</f>
        <v>41460</v>
      </c>
      <c r="C168" s="41">
        <v>10</v>
      </c>
      <c r="D168" s="41"/>
      <c r="E168" s="41">
        <v>35</v>
      </c>
      <c r="F168" s="41">
        <v>1.1000000000000001</v>
      </c>
      <c r="G168" s="41">
        <f t="shared" si="14"/>
        <v>385.00000000000006</v>
      </c>
      <c r="H168" s="41" t="s">
        <v>29</v>
      </c>
      <c r="I168" s="5" t="s">
        <v>53</v>
      </c>
    </row>
    <row r="169" spans="1:9" s="5" customFormat="1" ht="20.100000000000001" customHeight="1" x14ac:dyDescent="0.2">
      <c r="A169" s="41" t="s">
        <v>11</v>
      </c>
      <c r="B169" s="42">
        <f>DATE(2013,7,5)</f>
        <v>41460</v>
      </c>
      <c r="C169" s="41">
        <v>9.5</v>
      </c>
      <c r="D169" s="41"/>
      <c r="E169" s="41">
        <v>25</v>
      </c>
      <c r="F169" s="41">
        <v>1.1000000000000001</v>
      </c>
      <c r="G169" s="41">
        <f t="shared" si="14"/>
        <v>261.25</v>
      </c>
      <c r="H169" s="41" t="s">
        <v>29</v>
      </c>
      <c r="I169" s="5" t="s">
        <v>53</v>
      </c>
    </row>
    <row r="170" spans="1:9" s="5" customFormat="1" ht="20.100000000000001" customHeight="1" x14ac:dyDescent="0.2">
      <c r="A170" s="41" t="s">
        <v>30</v>
      </c>
      <c r="B170" s="42">
        <f>DATE(2013,7,8)</f>
        <v>41463</v>
      </c>
      <c r="C170" s="41">
        <v>9.5</v>
      </c>
      <c r="D170" s="41"/>
      <c r="E170" s="41">
        <v>50</v>
      </c>
      <c r="F170" s="41">
        <v>1</v>
      </c>
      <c r="G170" s="41">
        <f t="shared" si="14"/>
        <v>475</v>
      </c>
      <c r="H170" s="41"/>
      <c r="I170" s="5" t="s">
        <v>53</v>
      </c>
    </row>
    <row r="171" spans="1:9" s="5" customFormat="1" ht="20.100000000000001" customHeight="1" x14ac:dyDescent="0.2">
      <c r="A171" s="41" t="s">
        <v>31</v>
      </c>
      <c r="B171" s="42">
        <f>DATE(2013,7,8)</f>
        <v>41463</v>
      </c>
      <c r="C171" s="41">
        <v>9</v>
      </c>
      <c r="D171" s="41"/>
      <c r="E171" s="41">
        <v>20</v>
      </c>
      <c r="F171" s="41">
        <v>1.1000000000000001</v>
      </c>
      <c r="G171" s="41">
        <f t="shared" si="14"/>
        <v>198.00000000000003</v>
      </c>
      <c r="H171" s="41"/>
      <c r="I171" s="5" t="s">
        <v>53</v>
      </c>
    </row>
    <row r="172" spans="1:9" s="5" customFormat="1" ht="20.100000000000001" customHeight="1" x14ac:dyDescent="0.2">
      <c r="A172" s="41" t="s">
        <v>30</v>
      </c>
      <c r="B172" s="42">
        <f>DATE(2013,7,9)</f>
        <v>41464</v>
      </c>
      <c r="C172" s="41">
        <v>9.5</v>
      </c>
      <c r="D172" s="41"/>
      <c r="E172" s="41">
        <v>50</v>
      </c>
      <c r="F172" s="41">
        <v>1</v>
      </c>
      <c r="G172" s="41">
        <f t="shared" si="14"/>
        <v>475</v>
      </c>
      <c r="H172" s="41"/>
      <c r="I172" s="5" t="s">
        <v>53</v>
      </c>
    </row>
    <row r="173" spans="1:9" s="5" customFormat="1" ht="20.100000000000001" customHeight="1" x14ac:dyDescent="0.2">
      <c r="A173" s="41" t="s">
        <v>31</v>
      </c>
      <c r="B173" s="42">
        <f>DATE(2013,7,9)</f>
        <v>41464</v>
      </c>
      <c r="C173" s="41">
        <v>9</v>
      </c>
      <c r="D173" s="41"/>
      <c r="E173" s="41">
        <v>20</v>
      </c>
      <c r="F173" s="41">
        <v>1.1000000000000001</v>
      </c>
      <c r="G173" s="41">
        <f t="shared" si="14"/>
        <v>198.00000000000003</v>
      </c>
      <c r="H173" s="41"/>
      <c r="I173" s="5" t="s">
        <v>53</v>
      </c>
    </row>
    <row r="174" spans="1:9" s="5" customFormat="1" ht="20.100000000000001" customHeight="1" x14ac:dyDescent="0.2">
      <c r="A174" s="41" t="s">
        <v>30</v>
      </c>
      <c r="B174" s="42">
        <f>DATE(2013,7,10)</f>
        <v>41465</v>
      </c>
      <c r="C174" s="41">
        <v>9.5</v>
      </c>
      <c r="D174" s="41"/>
      <c r="E174" s="41">
        <v>50</v>
      </c>
      <c r="F174" s="41">
        <v>1</v>
      </c>
      <c r="G174" s="41">
        <f t="shared" si="14"/>
        <v>475</v>
      </c>
      <c r="H174" s="41"/>
      <c r="I174" s="5" t="s">
        <v>53</v>
      </c>
    </row>
    <row r="175" spans="1:9" s="5" customFormat="1" ht="20.100000000000001" customHeight="1" x14ac:dyDescent="0.2">
      <c r="A175" s="41" t="s">
        <v>31</v>
      </c>
      <c r="B175" s="42">
        <f>DATE(2013,7,10)</f>
        <v>41465</v>
      </c>
      <c r="C175" s="41">
        <v>9</v>
      </c>
      <c r="D175" s="41"/>
      <c r="E175" s="41">
        <v>20</v>
      </c>
      <c r="F175" s="41">
        <v>1.1000000000000001</v>
      </c>
      <c r="G175" s="41">
        <f t="shared" si="14"/>
        <v>198.00000000000003</v>
      </c>
      <c r="H175" s="41"/>
      <c r="I175" s="5" t="s">
        <v>53</v>
      </c>
    </row>
    <row r="176" spans="1:9" s="5" customFormat="1" ht="20.100000000000001" customHeight="1" x14ac:dyDescent="0.2">
      <c r="A176" s="41" t="s">
        <v>30</v>
      </c>
      <c r="B176" s="42">
        <f>DATE(2013,7,11)</f>
        <v>41466</v>
      </c>
      <c r="C176" s="41">
        <v>9.5</v>
      </c>
      <c r="D176" s="41"/>
      <c r="E176" s="41">
        <v>50</v>
      </c>
      <c r="F176" s="41">
        <v>1</v>
      </c>
      <c r="G176" s="41">
        <f t="shared" si="14"/>
        <v>475</v>
      </c>
      <c r="H176" s="41"/>
      <c r="I176" s="5" t="s">
        <v>53</v>
      </c>
    </row>
    <row r="177" spans="1:9" s="5" customFormat="1" ht="20.100000000000001" customHeight="1" x14ac:dyDescent="0.2">
      <c r="A177" s="41" t="s">
        <v>31</v>
      </c>
      <c r="B177" s="42">
        <f>DATE(2013,7,11)</f>
        <v>41466</v>
      </c>
      <c r="C177" s="41">
        <v>9</v>
      </c>
      <c r="D177" s="41"/>
      <c r="E177" s="41">
        <v>20</v>
      </c>
      <c r="F177" s="41">
        <v>1.1000000000000001</v>
      </c>
      <c r="G177" s="41">
        <f t="shared" si="14"/>
        <v>198.00000000000003</v>
      </c>
      <c r="H177" s="41"/>
      <c r="I177" s="5" t="s">
        <v>53</v>
      </c>
    </row>
    <row r="178" spans="1:9" s="5" customFormat="1" ht="20.100000000000001" customHeight="1" x14ac:dyDescent="0.2">
      <c r="A178" s="41" t="s">
        <v>30</v>
      </c>
      <c r="B178" s="42">
        <f>DATE(2013,7,12)</f>
        <v>41467</v>
      </c>
      <c r="C178" s="41">
        <v>9.5</v>
      </c>
      <c r="D178" s="41"/>
      <c r="E178" s="41">
        <v>50</v>
      </c>
      <c r="F178" s="41">
        <v>1</v>
      </c>
      <c r="G178" s="41">
        <f t="shared" si="14"/>
        <v>475</v>
      </c>
      <c r="H178" s="41"/>
      <c r="I178" s="5" t="s">
        <v>53</v>
      </c>
    </row>
    <row r="179" spans="1:9" s="5" customFormat="1" ht="20.100000000000001" customHeight="1" x14ac:dyDescent="0.2">
      <c r="A179" s="41" t="s">
        <v>31</v>
      </c>
      <c r="B179" s="42">
        <f>DATE(2013,7,12)</f>
        <v>41467</v>
      </c>
      <c r="C179" s="41">
        <v>9</v>
      </c>
      <c r="D179" s="41"/>
      <c r="E179" s="41">
        <v>20</v>
      </c>
      <c r="F179" s="41">
        <v>1.1000000000000001</v>
      </c>
      <c r="G179" s="41">
        <f t="shared" si="14"/>
        <v>198.00000000000003</v>
      </c>
      <c r="H179" s="41"/>
      <c r="I179" s="5" t="s">
        <v>53</v>
      </c>
    </row>
    <row r="180" spans="1:9" s="5" customFormat="1" ht="20.100000000000001" customHeight="1" x14ac:dyDescent="0.2">
      <c r="A180" s="41" t="s">
        <v>31</v>
      </c>
      <c r="B180" s="42">
        <f>DATE(2013,7,15)</f>
        <v>41470</v>
      </c>
      <c r="C180" s="41">
        <v>9</v>
      </c>
      <c r="D180" s="41"/>
      <c r="E180" s="41">
        <v>20</v>
      </c>
      <c r="F180" s="41">
        <v>1.1000000000000001</v>
      </c>
      <c r="G180" s="41">
        <f t="shared" si="14"/>
        <v>198.00000000000003</v>
      </c>
      <c r="H180" s="41"/>
      <c r="I180" s="5" t="s">
        <v>53</v>
      </c>
    </row>
    <row r="181" spans="1:9" s="5" customFormat="1" ht="20.100000000000001" customHeight="1" x14ac:dyDescent="0.2">
      <c r="A181" s="41" t="s">
        <v>30</v>
      </c>
      <c r="B181" s="42">
        <f>DATE(2013,7,15)</f>
        <v>41470</v>
      </c>
      <c r="C181" s="41">
        <v>19</v>
      </c>
      <c r="D181" s="41"/>
      <c r="E181" s="41">
        <v>50</v>
      </c>
      <c r="F181" s="41">
        <v>1</v>
      </c>
      <c r="G181" s="41">
        <f t="shared" si="14"/>
        <v>950</v>
      </c>
      <c r="H181" s="41"/>
      <c r="I181" s="5" t="s">
        <v>53</v>
      </c>
    </row>
    <row r="182" spans="1:9" s="5" customFormat="1" ht="20.100000000000001" customHeight="1" x14ac:dyDescent="0.2">
      <c r="A182" s="41" t="s">
        <v>31</v>
      </c>
      <c r="B182" s="42">
        <f>DATE(2013,7,16)</f>
        <v>41471</v>
      </c>
      <c r="C182" s="41">
        <v>9</v>
      </c>
      <c r="D182" s="41"/>
      <c r="E182" s="41">
        <v>20</v>
      </c>
      <c r="F182" s="41">
        <v>1.1000000000000001</v>
      </c>
      <c r="G182" s="41">
        <f t="shared" si="14"/>
        <v>198.00000000000003</v>
      </c>
      <c r="H182" s="41"/>
      <c r="I182" s="5" t="s">
        <v>53</v>
      </c>
    </row>
    <row r="183" spans="1:9" s="5" customFormat="1" ht="20.100000000000001" customHeight="1" x14ac:dyDescent="0.2">
      <c r="A183" s="41" t="s">
        <v>30</v>
      </c>
      <c r="B183" s="42">
        <f>DATE(2013,7,16)</f>
        <v>41471</v>
      </c>
      <c r="C183" s="41">
        <v>19</v>
      </c>
      <c r="D183" s="41"/>
      <c r="E183" s="41">
        <v>50</v>
      </c>
      <c r="F183" s="41">
        <v>1</v>
      </c>
      <c r="G183" s="41">
        <f t="shared" si="14"/>
        <v>950</v>
      </c>
      <c r="H183" s="41"/>
      <c r="I183" s="5" t="s">
        <v>53</v>
      </c>
    </row>
    <row r="184" spans="1:9" s="5" customFormat="1" ht="20.100000000000001" customHeight="1" x14ac:dyDescent="0.2">
      <c r="A184" s="41" t="s">
        <v>31</v>
      </c>
      <c r="B184" s="42">
        <f>DATE(2013,7,17)</f>
        <v>41472</v>
      </c>
      <c r="C184" s="41">
        <v>9</v>
      </c>
      <c r="D184" s="41"/>
      <c r="E184" s="41">
        <v>20</v>
      </c>
      <c r="F184" s="41">
        <v>1.1000000000000001</v>
      </c>
      <c r="G184" s="41">
        <f t="shared" si="14"/>
        <v>198.00000000000003</v>
      </c>
      <c r="H184" s="41"/>
      <c r="I184" s="5" t="s">
        <v>53</v>
      </c>
    </row>
    <row r="185" spans="1:9" s="5" customFormat="1" ht="20.100000000000001" customHeight="1" x14ac:dyDescent="0.2">
      <c r="A185" s="41" t="s">
        <v>30</v>
      </c>
      <c r="B185" s="42">
        <f>DATE(2013,7,17)</f>
        <v>41472</v>
      </c>
      <c r="C185" s="41">
        <v>19</v>
      </c>
      <c r="D185" s="41"/>
      <c r="E185" s="41">
        <v>50</v>
      </c>
      <c r="F185" s="41">
        <v>1</v>
      </c>
      <c r="G185" s="41">
        <f t="shared" si="14"/>
        <v>950</v>
      </c>
      <c r="H185" s="41"/>
      <c r="I185" s="5" t="s">
        <v>53</v>
      </c>
    </row>
    <row r="186" spans="1:9" s="5" customFormat="1" ht="20.100000000000001" customHeight="1" x14ac:dyDescent="0.2">
      <c r="A186" s="41" t="s">
        <v>31</v>
      </c>
      <c r="B186" s="42">
        <f>DATE(2013,7,18)</f>
        <v>41473</v>
      </c>
      <c r="C186" s="41">
        <v>5.5</v>
      </c>
      <c r="D186" s="41"/>
      <c r="E186" s="41">
        <v>20</v>
      </c>
      <c r="F186" s="41">
        <v>1.1000000000000001</v>
      </c>
      <c r="G186" s="41">
        <f t="shared" si="14"/>
        <v>121.00000000000001</v>
      </c>
      <c r="H186" s="41"/>
      <c r="I186" s="5" t="s">
        <v>53</v>
      </c>
    </row>
    <row r="187" spans="1:9" s="5" customFormat="1" ht="20.100000000000001" customHeight="1" x14ac:dyDescent="0.2">
      <c r="A187" s="41" t="s">
        <v>31</v>
      </c>
      <c r="B187" s="42">
        <f>DATE(2013,7,19)</f>
        <v>41474</v>
      </c>
      <c r="C187" s="41">
        <v>5.5</v>
      </c>
      <c r="D187" s="41"/>
      <c r="E187" s="41">
        <v>20</v>
      </c>
      <c r="F187" s="41">
        <v>1.1000000000000001</v>
      </c>
      <c r="G187" s="41">
        <f t="shared" si="14"/>
        <v>121.00000000000001</v>
      </c>
      <c r="H187" s="41"/>
      <c r="I187" s="5" t="s">
        <v>53</v>
      </c>
    </row>
    <row r="188" spans="1:9" s="5" customFormat="1" ht="20.100000000000001" customHeight="1" x14ac:dyDescent="0.2">
      <c r="A188" s="41" t="s">
        <v>31</v>
      </c>
      <c r="B188" s="42">
        <f>DATE(2013,7,22)</f>
        <v>41477</v>
      </c>
      <c r="C188" s="41">
        <v>9.5</v>
      </c>
      <c r="D188" s="41"/>
      <c r="E188" s="41">
        <v>20</v>
      </c>
      <c r="F188" s="41">
        <v>1.1000000000000001</v>
      </c>
      <c r="G188" s="41">
        <f t="shared" si="14"/>
        <v>209.00000000000003</v>
      </c>
      <c r="H188" s="41"/>
      <c r="I188" s="5" t="s">
        <v>53</v>
      </c>
    </row>
    <row r="189" spans="1:9" s="5" customFormat="1" ht="20.100000000000001" customHeight="1" x14ac:dyDescent="0.2">
      <c r="A189" s="41" t="s">
        <v>31</v>
      </c>
      <c r="B189" s="42">
        <f>DATE(2013,7,23)</f>
        <v>41478</v>
      </c>
      <c r="C189" s="41">
        <v>10.5</v>
      </c>
      <c r="D189" s="41"/>
      <c r="E189" s="41">
        <v>20</v>
      </c>
      <c r="F189" s="41">
        <v>1.1000000000000001</v>
      </c>
      <c r="G189" s="41">
        <f t="shared" si="14"/>
        <v>231.00000000000003</v>
      </c>
      <c r="H189" s="41"/>
      <c r="I189" s="5" t="s">
        <v>53</v>
      </c>
    </row>
    <row r="190" spans="1:9" s="5" customFormat="1" ht="20.100000000000001" customHeight="1" x14ac:dyDescent="0.2">
      <c r="A190" s="41" t="s">
        <v>14</v>
      </c>
      <c r="B190" s="42">
        <f>DATE(2013,7,24)</f>
        <v>41479</v>
      </c>
      <c r="C190" s="41">
        <v>3</v>
      </c>
      <c r="D190" s="41"/>
      <c r="E190" s="41">
        <v>23</v>
      </c>
      <c r="F190" s="41">
        <v>1.1000000000000001</v>
      </c>
      <c r="G190" s="41">
        <f t="shared" si="14"/>
        <v>75.900000000000006</v>
      </c>
      <c r="H190" s="41" t="s">
        <v>32</v>
      </c>
      <c r="I190" s="5" t="s">
        <v>53</v>
      </c>
    </row>
    <row r="191" spans="1:9" s="5" customFormat="1" ht="20.100000000000001" customHeight="1" x14ac:dyDescent="0.2">
      <c r="A191" s="41" t="s">
        <v>13</v>
      </c>
      <c r="B191" s="42">
        <f>DATE(2013,7,24)</f>
        <v>41479</v>
      </c>
      <c r="C191" s="41">
        <v>3</v>
      </c>
      <c r="D191" s="41"/>
      <c r="E191" s="41">
        <v>42</v>
      </c>
      <c r="F191" s="41">
        <v>1.1000000000000001</v>
      </c>
      <c r="G191" s="41">
        <f t="shared" si="14"/>
        <v>138.60000000000002</v>
      </c>
      <c r="H191" s="41" t="s">
        <v>32</v>
      </c>
      <c r="I191" s="5" t="s">
        <v>53</v>
      </c>
    </row>
    <row r="192" spans="1:9" s="5" customFormat="1" ht="20.100000000000001" customHeight="1" x14ac:dyDescent="0.2">
      <c r="A192" s="41" t="s">
        <v>27</v>
      </c>
      <c r="B192" s="42">
        <f>DATE(2013,7,24)</f>
        <v>41479</v>
      </c>
      <c r="C192" s="41">
        <v>3</v>
      </c>
      <c r="D192" s="41"/>
      <c r="E192" s="41">
        <v>15</v>
      </c>
      <c r="F192" s="41">
        <v>1.1000000000000001</v>
      </c>
      <c r="G192" s="41">
        <f t="shared" si="14"/>
        <v>49.500000000000007</v>
      </c>
      <c r="H192" s="41" t="s">
        <v>32</v>
      </c>
      <c r="I192" s="5" t="s">
        <v>53</v>
      </c>
    </row>
    <row r="193" spans="1:9" s="5" customFormat="1" ht="20.100000000000001" customHeight="1" x14ac:dyDescent="0.2">
      <c r="A193" s="41" t="s">
        <v>9</v>
      </c>
      <c r="B193" s="42">
        <f>DATE(2013,7,24)</f>
        <v>41479</v>
      </c>
      <c r="C193" s="41">
        <v>19.75</v>
      </c>
      <c r="D193" s="41"/>
      <c r="E193" s="41">
        <v>35</v>
      </c>
      <c r="F193" s="41">
        <v>1</v>
      </c>
      <c r="G193" s="41">
        <f t="shared" si="14"/>
        <v>691.25</v>
      </c>
      <c r="H193" s="41" t="s">
        <v>33</v>
      </c>
      <c r="I193" s="5" t="s">
        <v>53</v>
      </c>
    </row>
    <row r="194" spans="1:9" s="5" customFormat="1" ht="20.100000000000001" customHeight="1" x14ac:dyDescent="0.2">
      <c r="A194" s="41" t="s">
        <v>9</v>
      </c>
      <c r="B194" s="42">
        <f>DATE(2013,7,26)</f>
        <v>41481</v>
      </c>
      <c r="C194" s="41">
        <f>40-C193</f>
        <v>20.25</v>
      </c>
      <c r="D194" s="41"/>
      <c r="E194" s="41">
        <v>35</v>
      </c>
      <c r="F194" s="41">
        <v>1</v>
      </c>
      <c r="G194" s="41">
        <f t="shared" si="14"/>
        <v>708.75</v>
      </c>
      <c r="H194" s="41" t="s">
        <v>34</v>
      </c>
      <c r="I194" s="5" t="s">
        <v>53</v>
      </c>
    </row>
    <row r="195" spans="1:9" s="5" customFormat="1" ht="20.100000000000001" customHeight="1" x14ac:dyDescent="0.2">
      <c r="A195" s="41" t="s">
        <v>35</v>
      </c>
      <c r="B195" s="42">
        <f>DATE(2013,8,9)</f>
        <v>41495</v>
      </c>
      <c r="C195" s="41">
        <v>17</v>
      </c>
      <c r="D195" s="41"/>
      <c r="E195" s="41">
        <v>50</v>
      </c>
      <c r="F195" s="41">
        <v>1</v>
      </c>
      <c r="G195" s="41">
        <f t="shared" ref="G195:G196" si="15">((C195+D195)*E195)*F195</f>
        <v>850</v>
      </c>
      <c r="H195" s="41"/>
      <c r="I195" s="5" t="s">
        <v>53</v>
      </c>
    </row>
    <row r="196" spans="1:9" s="5" customFormat="1" ht="20.100000000000001" customHeight="1" x14ac:dyDescent="0.2">
      <c r="A196" s="41" t="s">
        <v>36</v>
      </c>
      <c r="B196" s="42">
        <f>DATE(2013,8,12)</f>
        <v>41498</v>
      </c>
      <c r="C196" s="41">
        <v>9.5</v>
      </c>
      <c r="D196" s="41"/>
      <c r="E196" s="41">
        <v>35</v>
      </c>
      <c r="F196" s="41">
        <v>1</v>
      </c>
      <c r="G196" s="41">
        <f t="shared" si="15"/>
        <v>332.5</v>
      </c>
      <c r="H196" s="41"/>
      <c r="I196" s="5" t="s">
        <v>53</v>
      </c>
    </row>
    <row r="197" spans="1:9" s="5" customFormat="1" ht="20.100000000000001" customHeight="1" x14ac:dyDescent="0.2">
      <c r="A197" s="41" t="s">
        <v>37</v>
      </c>
      <c r="B197" s="42">
        <f>DATE(2013,8,13)</f>
        <v>41499</v>
      </c>
      <c r="C197" s="41">
        <v>53.5</v>
      </c>
      <c r="D197" s="41"/>
      <c r="E197" s="41">
        <v>42</v>
      </c>
      <c r="F197" s="41">
        <v>1</v>
      </c>
      <c r="G197" s="41">
        <f t="shared" ref="G197:G231" si="16">((C197+D197)*E197)*F197</f>
        <v>2247</v>
      </c>
      <c r="H197" s="41"/>
      <c r="I197" s="5" t="s">
        <v>53</v>
      </c>
    </row>
    <row r="198" spans="1:9" s="5" customFormat="1" ht="20.100000000000001" customHeight="1" x14ac:dyDescent="0.2">
      <c r="A198" s="41" t="s">
        <v>37</v>
      </c>
      <c r="B198" s="42">
        <f>DATE(2013,8,14)</f>
        <v>41500</v>
      </c>
      <c r="C198" s="41">
        <v>55.5</v>
      </c>
      <c r="D198" s="41"/>
      <c r="E198" s="41">
        <v>42</v>
      </c>
      <c r="F198" s="41">
        <v>1</v>
      </c>
      <c r="G198" s="41">
        <f t="shared" si="16"/>
        <v>2331</v>
      </c>
      <c r="H198" s="41"/>
      <c r="I198" s="5" t="s">
        <v>53</v>
      </c>
    </row>
    <row r="199" spans="1:9" s="5" customFormat="1" ht="20.100000000000001" customHeight="1" x14ac:dyDescent="0.2">
      <c r="A199" s="41" t="s">
        <v>12</v>
      </c>
      <c r="B199" s="42">
        <f>DATE(2013,8,15)</f>
        <v>41501</v>
      </c>
      <c r="C199" s="41">
        <v>10</v>
      </c>
      <c r="D199" s="41"/>
      <c r="E199" s="41">
        <v>22</v>
      </c>
      <c r="F199" s="41">
        <v>1.1000000000000001</v>
      </c>
      <c r="G199" s="41">
        <f t="shared" si="16"/>
        <v>242.00000000000003</v>
      </c>
      <c r="H199" s="41"/>
      <c r="I199" s="5" t="s">
        <v>53</v>
      </c>
    </row>
    <row r="200" spans="1:9" s="5" customFormat="1" ht="20.100000000000001" customHeight="1" x14ac:dyDescent="0.2">
      <c r="A200" s="41" t="s">
        <v>37</v>
      </c>
      <c r="B200" s="42">
        <f>DATE(2013,8,15)</f>
        <v>41501</v>
      </c>
      <c r="C200" s="41">
        <f>36-1.5</f>
        <v>34.5</v>
      </c>
      <c r="D200" s="41"/>
      <c r="E200" s="41">
        <v>42</v>
      </c>
      <c r="F200" s="41">
        <v>1</v>
      </c>
      <c r="G200" s="41">
        <f t="shared" si="16"/>
        <v>1449</v>
      </c>
      <c r="H200" s="41"/>
      <c r="I200" s="5" t="s">
        <v>53</v>
      </c>
    </row>
    <row r="201" spans="1:9" s="5" customFormat="1" ht="20.100000000000001" customHeight="1" x14ac:dyDescent="0.2">
      <c r="A201" s="41" t="s">
        <v>36</v>
      </c>
      <c r="B201" s="42">
        <f>DATE(2013,8,15)</f>
        <v>41501</v>
      </c>
      <c r="C201" s="41">
        <v>10</v>
      </c>
      <c r="D201" s="41"/>
      <c r="E201" s="41">
        <v>35</v>
      </c>
      <c r="F201" s="41">
        <v>1</v>
      </c>
      <c r="G201" s="41">
        <f t="shared" si="16"/>
        <v>350</v>
      </c>
      <c r="H201" s="41"/>
      <c r="I201" s="5" t="s">
        <v>53</v>
      </c>
    </row>
    <row r="202" spans="1:9" s="5" customFormat="1" ht="20.100000000000001" customHeight="1" x14ac:dyDescent="0.2">
      <c r="A202" s="41" t="s">
        <v>12</v>
      </c>
      <c r="B202" s="42">
        <f>DATE(2013,8,16)</f>
        <v>41502</v>
      </c>
      <c r="C202" s="41">
        <v>10</v>
      </c>
      <c r="D202" s="41"/>
      <c r="E202" s="41">
        <v>22</v>
      </c>
      <c r="F202" s="41">
        <v>1.1000000000000001</v>
      </c>
      <c r="G202" s="41">
        <f t="shared" si="16"/>
        <v>242.00000000000003</v>
      </c>
      <c r="H202" s="41"/>
      <c r="I202" s="5" t="s">
        <v>53</v>
      </c>
    </row>
    <row r="203" spans="1:9" s="5" customFormat="1" ht="20.100000000000001" customHeight="1" x14ac:dyDescent="0.2">
      <c r="A203" s="41" t="s">
        <v>11</v>
      </c>
      <c r="B203" s="42">
        <f>DATE(2013,8,16)</f>
        <v>41502</v>
      </c>
      <c r="C203" s="41">
        <v>4</v>
      </c>
      <c r="D203" s="41"/>
      <c r="E203" s="41">
        <v>25</v>
      </c>
      <c r="F203" s="41">
        <v>1.1000000000000001</v>
      </c>
      <c r="G203" s="41">
        <f t="shared" si="16"/>
        <v>110.00000000000001</v>
      </c>
      <c r="H203" s="41"/>
      <c r="I203" s="5" t="s">
        <v>53</v>
      </c>
    </row>
    <row r="204" spans="1:9" s="5" customFormat="1" ht="20.100000000000001" customHeight="1" x14ac:dyDescent="0.2">
      <c r="A204" s="41" t="s">
        <v>36</v>
      </c>
      <c r="B204" s="42">
        <f>DATE(2013,8,16)</f>
        <v>41502</v>
      </c>
      <c r="C204" s="41">
        <v>9.75</v>
      </c>
      <c r="D204" s="41"/>
      <c r="E204" s="41">
        <v>35</v>
      </c>
      <c r="F204" s="41">
        <v>1</v>
      </c>
      <c r="G204" s="41">
        <f t="shared" si="16"/>
        <v>341.25</v>
      </c>
      <c r="H204" s="41" t="s">
        <v>38</v>
      </c>
      <c r="I204" s="5" t="s">
        <v>53</v>
      </c>
    </row>
    <row r="205" spans="1:9" s="5" customFormat="1" ht="20.100000000000001" customHeight="1" x14ac:dyDescent="0.2">
      <c r="A205" s="41" t="s">
        <v>12</v>
      </c>
      <c r="B205" s="42">
        <f>DATE(2013,8,19)</f>
        <v>41505</v>
      </c>
      <c r="C205" s="41">
        <v>9.75</v>
      </c>
      <c r="D205" s="41"/>
      <c r="E205" s="41">
        <v>22</v>
      </c>
      <c r="F205" s="41">
        <v>1.1000000000000001</v>
      </c>
      <c r="G205" s="41">
        <f t="shared" si="16"/>
        <v>235.95000000000002</v>
      </c>
      <c r="H205" s="41"/>
      <c r="I205" s="5" t="s">
        <v>53</v>
      </c>
    </row>
    <row r="206" spans="1:9" s="5" customFormat="1" ht="20.100000000000001" customHeight="1" x14ac:dyDescent="0.2">
      <c r="A206" s="41" t="s">
        <v>11</v>
      </c>
      <c r="B206" s="42">
        <f>DATE(2013,8,19)</f>
        <v>41505</v>
      </c>
      <c r="C206" s="41">
        <v>9.25</v>
      </c>
      <c r="D206" s="41"/>
      <c r="E206" s="41">
        <v>25</v>
      </c>
      <c r="F206" s="41">
        <v>1.1000000000000001</v>
      </c>
      <c r="G206" s="41">
        <f t="shared" si="16"/>
        <v>254.37500000000003</v>
      </c>
      <c r="H206" s="41" t="s">
        <v>38</v>
      </c>
    </row>
    <row r="207" spans="1:9" s="5" customFormat="1" ht="20.100000000000001" customHeight="1" x14ac:dyDescent="0.2">
      <c r="A207" s="41" t="s">
        <v>36</v>
      </c>
      <c r="B207" s="42">
        <f>DATE(2013,8,19)</f>
        <v>41505</v>
      </c>
      <c r="C207" s="41">
        <v>10.25</v>
      </c>
      <c r="D207" s="41"/>
      <c r="E207" s="41">
        <v>35</v>
      </c>
      <c r="F207" s="41">
        <v>1</v>
      </c>
      <c r="G207" s="41">
        <f t="shared" si="16"/>
        <v>358.75</v>
      </c>
      <c r="H207" s="41" t="s">
        <v>38</v>
      </c>
      <c r="I207" s="5" t="s">
        <v>53</v>
      </c>
    </row>
    <row r="208" spans="1:9" s="5" customFormat="1" ht="20.100000000000001" customHeight="1" x14ac:dyDescent="0.2">
      <c r="A208" s="41" t="s">
        <v>11</v>
      </c>
      <c r="B208" s="42">
        <f>DATE(2013,8,20)</f>
        <v>41506</v>
      </c>
      <c r="C208" s="41">
        <v>5.25</v>
      </c>
      <c r="D208" s="41"/>
      <c r="E208" s="41">
        <v>25</v>
      </c>
      <c r="F208" s="41">
        <v>1.1000000000000001</v>
      </c>
      <c r="G208" s="41">
        <f t="shared" si="16"/>
        <v>144.375</v>
      </c>
      <c r="H208" s="41" t="s">
        <v>38</v>
      </c>
    </row>
    <row r="209" spans="1:9" s="5" customFormat="1" ht="20.100000000000001" customHeight="1" x14ac:dyDescent="0.2">
      <c r="A209" s="41" t="s">
        <v>36</v>
      </c>
      <c r="B209" s="42">
        <f>DATE(2013,8,20)</f>
        <v>41506</v>
      </c>
      <c r="C209" s="41">
        <v>8.5</v>
      </c>
      <c r="D209" s="41"/>
      <c r="E209" s="41">
        <v>35</v>
      </c>
      <c r="F209" s="41">
        <v>1</v>
      </c>
      <c r="G209" s="41">
        <f t="shared" si="16"/>
        <v>297.5</v>
      </c>
      <c r="H209" s="41" t="s">
        <v>38</v>
      </c>
      <c r="I209" s="5" t="s">
        <v>53</v>
      </c>
    </row>
    <row r="210" spans="1:9" s="5" customFormat="1" ht="20.100000000000001" customHeight="1" x14ac:dyDescent="0.2">
      <c r="A210" s="41" t="s">
        <v>36</v>
      </c>
      <c r="B210" s="42">
        <f>DATE(2013,8,21)</f>
        <v>41507</v>
      </c>
      <c r="C210" s="41">
        <v>9.25</v>
      </c>
      <c r="D210" s="41"/>
      <c r="E210" s="41">
        <v>35</v>
      </c>
      <c r="F210" s="41">
        <v>1</v>
      </c>
      <c r="G210" s="41">
        <f t="shared" si="16"/>
        <v>323.75</v>
      </c>
      <c r="H210" s="41" t="s">
        <v>38</v>
      </c>
      <c r="I210" s="5" t="s">
        <v>53</v>
      </c>
    </row>
    <row r="211" spans="1:9" s="5" customFormat="1" ht="20.100000000000001" customHeight="1" x14ac:dyDescent="0.2">
      <c r="A211" s="41" t="s">
        <v>12</v>
      </c>
      <c r="B211" s="42">
        <f>DATE(2013,8,22)</f>
        <v>41508</v>
      </c>
      <c r="C211" s="41">
        <v>8.75</v>
      </c>
      <c r="D211" s="41"/>
      <c r="E211" s="41">
        <v>22</v>
      </c>
      <c r="F211" s="41">
        <v>1.1000000000000001</v>
      </c>
      <c r="G211" s="41">
        <f t="shared" si="16"/>
        <v>211.75000000000003</v>
      </c>
      <c r="H211" s="41" t="s">
        <v>38</v>
      </c>
    </row>
    <row r="212" spans="1:9" s="5" customFormat="1" ht="20.100000000000001" customHeight="1" x14ac:dyDescent="0.2">
      <c r="A212" s="41" t="s">
        <v>11</v>
      </c>
      <c r="B212" s="42">
        <f>DATE(2013,8,22)</f>
        <v>41508</v>
      </c>
      <c r="C212" s="41">
        <v>8</v>
      </c>
      <c r="D212" s="41"/>
      <c r="E212" s="41">
        <v>25</v>
      </c>
      <c r="F212" s="41">
        <v>1.1000000000000001</v>
      </c>
      <c r="G212" s="41">
        <f t="shared" si="16"/>
        <v>220.00000000000003</v>
      </c>
      <c r="H212" s="41" t="s">
        <v>38</v>
      </c>
    </row>
    <row r="213" spans="1:9" s="5" customFormat="1" ht="20.100000000000001" customHeight="1" x14ac:dyDescent="0.2">
      <c r="A213" s="41" t="s">
        <v>11</v>
      </c>
      <c r="B213" s="42">
        <f>DATE(2013,8,23)</f>
        <v>41509</v>
      </c>
      <c r="C213" s="41">
        <v>9.75</v>
      </c>
      <c r="D213" s="41"/>
      <c r="E213" s="41">
        <v>25</v>
      </c>
      <c r="F213" s="41">
        <v>1.1000000000000001</v>
      </c>
      <c r="G213" s="41">
        <f t="shared" si="16"/>
        <v>268.125</v>
      </c>
      <c r="H213" s="41" t="s">
        <v>38</v>
      </c>
    </row>
    <row r="214" spans="1:9" s="5" customFormat="1" ht="20.100000000000001" customHeight="1" x14ac:dyDescent="0.2">
      <c r="A214" s="41" t="s">
        <v>12</v>
      </c>
      <c r="B214" s="42">
        <f>DATE(2013,8,23)</f>
        <v>41509</v>
      </c>
      <c r="C214" s="41">
        <v>10</v>
      </c>
      <c r="D214" s="41"/>
      <c r="E214" s="41">
        <v>22</v>
      </c>
      <c r="F214" s="41">
        <v>1.1000000000000001</v>
      </c>
      <c r="G214" s="41">
        <f t="shared" si="16"/>
        <v>242.00000000000003</v>
      </c>
      <c r="H214" s="41" t="s">
        <v>38</v>
      </c>
      <c r="I214" s="5" t="s">
        <v>53</v>
      </c>
    </row>
    <row r="215" spans="1:9" s="5" customFormat="1" ht="20.100000000000001" customHeight="1" x14ac:dyDescent="0.2">
      <c r="A215" s="41" t="s">
        <v>11</v>
      </c>
      <c r="B215" s="42">
        <f>DATE(2013,8,23)</f>
        <v>41509</v>
      </c>
      <c r="C215" s="41">
        <v>10</v>
      </c>
      <c r="D215" s="41"/>
      <c r="E215" s="41">
        <v>25</v>
      </c>
      <c r="F215" s="41">
        <v>1.1000000000000001</v>
      </c>
      <c r="G215" s="41">
        <f t="shared" si="16"/>
        <v>275</v>
      </c>
      <c r="H215" s="41" t="s">
        <v>38</v>
      </c>
      <c r="I215" s="5" t="s">
        <v>53</v>
      </c>
    </row>
    <row r="216" spans="1:9" s="5" customFormat="1" ht="20.100000000000001" customHeight="1" x14ac:dyDescent="0.2">
      <c r="A216" s="41" t="s">
        <v>36</v>
      </c>
      <c r="B216" s="42">
        <f>DATE(2013,8,23)</f>
        <v>41509</v>
      </c>
      <c r="C216" s="41">
        <v>10</v>
      </c>
      <c r="D216" s="41"/>
      <c r="E216" s="41">
        <v>35</v>
      </c>
      <c r="F216" s="41">
        <v>1</v>
      </c>
      <c r="G216" s="41">
        <f t="shared" si="16"/>
        <v>350</v>
      </c>
      <c r="H216" s="41"/>
      <c r="I216" s="5" t="s">
        <v>53</v>
      </c>
    </row>
    <row r="217" spans="1:9" s="5" customFormat="1" ht="20.100000000000001" customHeight="1" x14ac:dyDescent="0.2">
      <c r="A217" s="41" t="s">
        <v>12</v>
      </c>
      <c r="B217" s="42">
        <f>DATE(2013,8,26)</f>
        <v>41512</v>
      </c>
      <c r="C217" s="41">
        <v>9.25</v>
      </c>
      <c r="D217" s="41"/>
      <c r="E217" s="41">
        <v>22</v>
      </c>
      <c r="F217" s="41">
        <v>1.1000000000000001</v>
      </c>
      <c r="G217" s="41">
        <f t="shared" si="16"/>
        <v>223.85000000000002</v>
      </c>
      <c r="H217" s="41" t="s">
        <v>39</v>
      </c>
      <c r="I217" s="5" t="s">
        <v>53</v>
      </c>
    </row>
    <row r="218" spans="1:9" s="5" customFormat="1" ht="20.100000000000001" customHeight="1" x14ac:dyDescent="0.2">
      <c r="A218" s="41" t="s">
        <v>11</v>
      </c>
      <c r="B218" s="42">
        <f>DATE(2013,8,26)</f>
        <v>41512</v>
      </c>
      <c r="C218" s="41">
        <v>9.25</v>
      </c>
      <c r="D218" s="41"/>
      <c r="E218" s="41">
        <v>25</v>
      </c>
      <c r="F218" s="41">
        <v>1.1000000000000001</v>
      </c>
      <c r="G218" s="41">
        <f t="shared" si="16"/>
        <v>254.37500000000003</v>
      </c>
      <c r="H218" s="41" t="s">
        <v>39</v>
      </c>
      <c r="I218" s="5" t="s">
        <v>53</v>
      </c>
    </row>
    <row r="219" spans="1:9" s="5" customFormat="1" ht="20.100000000000001" customHeight="1" x14ac:dyDescent="0.2">
      <c r="A219" s="41" t="s">
        <v>36</v>
      </c>
      <c r="B219" s="42">
        <f>DATE(2013,8,26)</f>
        <v>41512</v>
      </c>
      <c r="C219" s="41">
        <v>9.25</v>
      </c>
      <c r="D219" s="41"/>
      <c r="E219" s="41">
        <v>35</v>
      </c>
      <c r="F219" s="41">
        <v>1</v>
      </c>
      <c r="G219" s="41">
        <f t="shared" si="16"/>
        <v>323.75</v>
      </c>
      <c r="H219" s="41"/>
      <c r="I219" s="5" t="s">
        <v>53</v>
      </c>
    </row>
    <row r="220" spans="1:9" s="5" customFormat="1" ht="20.100000000000001" customHeight="1" x14ac:dyDescent="0.2">
      <c r="A220" s="41" t="s">
        <v>12</v>
      </c>
      <c r="B220" s="42">
        <f>DATE(2013,8,27)</f>
        <v>41513</v>
      </c>
      <c r="C220" s="41">
        <v>10</v>
      </c>
      <c r="D220" s="41"/>
      <c r="E220" s="41">
        <v>22</v>
      </c>
      <c r="F220" s="41">
        <v>1.1000000000000001</v>
      </c>
      <c r="G220" s="41">
        <f t="shared" si="16"/>
        <v>242.00000000000003</v>
      </c>
      <c r="H220" s="41"/>
    </row>
    <row r="221" spans="1:9" s="5" customFormat="1" ht="20.100000000000001" customHeight="1" x14ac:dyDescent="0.2">
      <c r="A221" s="41" t="s">
        <v>12</v>
      </c>
      <c r="B221" s="42">
        <f>DATE(2013,8,28)</f>
        <v>41514</v>
      </c>
      <c r="C221" s="41">
        <v>10.25</v>
      </c>
      <c r="D221" s="41"/>
      <c r="E221" s="41">
        <v>22</v>
      </c>
      <c r="F221" s="41">
        <v>1.1000000000000001</v>
      </c>
      <c r="G221" s="41">
        <f t="shared" si="16"/>
        <v>248.05</v>
      </c>
      <c r="H221" s="41"/>
      <c r="I221" s="5" t="s">
        <v>53</v>
      </c>
    </row>
    <row r="222" spans="1:9" s="5" customFormat="1" ht="20.100000000000001" customHeight="1" x14ac:dyDescent="0.2">
      <c r="A222" s="41" t="s">
        <v>36</v>
      </c>
      <c r="B222" s="42">
        <f>DATE(2013,8,28)</f>
        <v>41514</v>
      </c>
      <c r="C222" s="41">
        <v>10.25</v>
      </c>
      <c r="D222" s="41"/>
      <c r="E222" s="41">
        <v>35</v>
      </c>
      <c r="F222" s="41">
        <v>1</v>
      </c>
      <c r="G222" s="41">
        <f t="shared" si="16"/>
        <v>358.75</v>
      </c>
      <c r="H222" s="41"/>
      <c r="I222" s="5" t="s">
        <v>53</v>
      </c>
    </row>
    <row r="223" spans="1:9" s="5" customFormat="1" ht="20.100000000000001" customHeight="1" x14ac:dyDescent="0.2">
      <c r="A223" s="41" t="s">
        <v>12</v>
      </c>
      <c r="B223" s="42">
        <f>DATE(2013,8,29)</f>
        <v>41515</v>
      </c>
      <c r="C223" s="41">
        <v>10.25</v>
      </c>
      <c r="D223" s="41"/>
      <c r="E223" s="41">
        <v>22</v>
      </c>
      <c r="F223" s="41">
        <v>1.1000000000000001</v>
      </c>
      <c r="G223" s="41">
        <f t="shared" si="16"/>
        <v>248.05</v>
      </c>
      <c r="H223" s="41"/>
      <c r="I223" s="5" t="s">
        <v>53</v>
      </c>
    </row>
    <row r="224" spans="1:9" s="5" customFormat="1" ht="20.100000000000001" customHeight="1" x14ac:dyDescent="0.2">
      <c r="A224" s="41" t="s">
        <v>36</v>
      </c>
      <c r="B224" s="42">
        <f>DATE(2013,8,29)</f>
        <v>41515</v>
      </c>
      <c r="C224" s="41">
        <v>10.25</v>
      </c>
      <c r="D224" s="41"/>
      <c r="E224" s="41">
        <v>35</v>
      </c>
      <c r="F224" s="41">
        <v>1</v>
      </c>
      <c r="G224" s="41">
        <f t="shared" si="16"/>
        <v>358.75</v>
      </c>
      <c r="H224" s="41"/>
      <c r="I224" s="5" t="s">
        <v>53</v>
      </c>
    </row>
    <row r="225" spans="1:9" s="5" customFormat="1" ht="20.100000000000001" customHeight="1" x14ac:dyDescent="0.2">
      <c r="A225" s="41" t="s">
        <v>36</v>
      </c>
      <c r="B225" s="42">
        <f>DATE(2013,8,30)</f>
        <v>41516</v>
      </c>
      <c r="C225" s="41">
        <v>9.25</v>
      </c>
      <c r="D225" s="41"/>
      <c r="E225" s="41">
        <v>35</v>
      </c>
      <c r="F225" s="41">
        <v>1</v>
      </c>
      <c r="G225" s="41">
        <f t="shared" si="16"/>
        <v>323.75</v>
      </c>
      <c r="H225" s="41"/>
      <c r="I225" s="5" t="s">
        <v>53</v>
      </c>
    </row>
    <row r="226" spans="1:9" s="5" customFormat="1" ht="20.100000000000001" customHeight="1" x14ac:dyDescent="0.2">
      <c r="A226" s="41" t="s">
        <v>37</v>
      </c>
      <c r="B226" s="42">
        <f>DATE(2013,8,30)</f>
        <v>41516</v>
      </c>
      <c r="C226" s="41">
        <v>9</v>
      </c>
      <c r="D226" s="41"/>
      <c r="E226" s="41">
        <v>42</v>
      </c>
      <c r="F226" s="41">
        <v>1</v>
      </c>
      <c r="G226" s="41">
        <f t="shared" si="16"/>
        <v>378</v>
      </c>
      <c r="H226" s="41"/>
      <c r="I226" s="5" t="s">
        <v>53</v>
      </c>
    </row>
    <row r="227" spans="1:9" s="5" customFormat="1" ht="20.100000000000001" customHeight="1" x14ac:dyDescent="0.2">
      <c r="A227" s="41" t="s">
        <v>11</v>
      </c>
      <c r="B227" s="42">
        <f>DATE(2013,8,30)</f>
        <v>41516</v>
      </c>
      <c r="C227" s="41">
        <v>9</v>
      </c>
      <c r="D227" s="41"/>
      <c r="E227" s="41">
        <v>25</v>
      </c>
      <c r="F227" s="41">
        <v>1.1000000000000001</v>
      </c>
      <c r="G227" s="41">
        <f t="shared" si="16"/>
        <v>247.50000000000003</v>
      </c>
      <c r="H227" s="41"/>
    </row>
    <row r="228" spans="1:9" s="5" customFormat="1" ht="20.100000000000001" customHeight="1" x14ac:dyDescent="0.2">
      <c r="A228" s="41" t="s">
        <v>27</v>
      </c>
      <c r="B228" s="42">
        <f>DATE(2013,8,30)</f>
        <v>41516</v>
      </c>
      <c r="C228" s="41">
        <v>9</v>
      </c>
      <c r="D228" s="41"/>
      <c r="E228" s="41">
        <v>15</v>
      </c>
      <c r="F228" s="41">
        <v>1.1000000000000001</v>
      </c>
      <c r="G228" s="41">
        <f t="shared" si="16"/>
        <v>148.5</v>
      </c>
      <c r="H228" s="41"/>
      <c r="I228" s="5" t="s">
        <v>53</v>
      </c>
    </row>
    <row r="229" spans="1:9" s="5" customFormat="1" ht="20.100000000000001" customHeight="1" x14ac:dyDescent="0.2">
      <c r="A229" s="41" t="s">
        <v>14</v>
      </c>
      <c r="B229" s="42">
        <f>DATE(2013,8,30)</f>
        <v>41516</v>
      </c>
      <c r="C229" s="41">
        <v>9</v>
      </c>
      <c r="D229" s="41"/>
      <c r="E229" s="41">
        <v>23</v>
      </c>
      <c r="F229" s="41">
        <v>1.1000000000000001</v>
      </c>
      <c r="G229" s="41">
        <f t="shared" si="16"/>
        <v>227.70000000000002</v>
      </c>
      <c r="H229" s="41"/>
      <c r="I229" s="5" t="s">
        <v>53</v>
      </c>
    </row>
    <row r="230" spans="1:9" s="5" customFormat="1" ht="20.100000000000001" customHeight="1" x14ac:dyDescent="0.2">
      <c r="A230" s="41" t="s">
        <v>36</v>
      </c>
      <c r="B230" s="42">
        <f t="shared" ref="B230:B231" si="17">DATE(2013,9,3)</f>
        <v>41520</v>
      </c>
      <c r="C230" s="41">
        <v>9.25</v>
      </c>
      <c r="D230" s="41"/>
      <c r="E230" s="41">
        <v>35</v>
      </c>
      <c r="F230" s="41">
        <v>1</v>
      </c>
      <c r="G230" s="41">
        <f t="shared" si="16"/>
        <v>323.75</v>
      </c>
      <c r="H230" s="41" t="s">
        <v>55</v>
      </c>
    </row>
    <row r="231" spans="1:9" s="5" customFormat="1" ht="20.100000000000001" customHeight="1" x14ac:dyDescent="0.2">
      <c r="A231" s="41" t="s">
        <v>12</v>
      </c>
      <c r="B231" s="42">
        <f t="shared" si="17"/>
        <v>41520</v>
      </c>
      <c r="C231" s="41">
        <v>9.25</v>
      </c>
      <c r="D231" s="41"/>
      <c r="E231" s="41">
        <v>22</v>
      </c>
      <c r="F231" s="41">
        <v>1.1000000000000001</v>
      </c>
      <c r="G231" s="41">
        <f t="shared" si="16"/>
        <v>223.85000000000002</v>
      </c>
      <c r="H231" s="41"/>
    </row>
    <row r="232" spans="1:9" ht="20.100000000000001" customHeight="1" x14ac:dyDescent="0.2">
      <c r="B232" s="36"/>
    </row>
    <row r="233" spans="1:9" ht="20.100000000000001" customHeight="1" x14ac:dyDescent="0.2">
      <c r="B233" s="36"/>
    </row>
    <row r="234" spans="1:9" ht="20.100000000000001" customHeight="1" x14ac:dyDescent="0.2">
      <c r="B234" s="36"/>
    </row>
    <row r="235" spans="1:9" ht="20.100000000000001" customHeight="1" x14ac:dyDescent="0.2">
      <c r="B235" s="36"/>
    </row>
    <row r="236" spans="1:9" ht="20.100000000000001" customHeight="1" x14ac:dyDescent="0.2">
      <c r="B236" s="36"/>
    </row>
    <row r="237" spans="1:9" ht="20.100000000000001" customHeight="1" x14ac:dyDescent="0.2">
      <c r="B237" s="36"/>
    </row>
    <row r="238" spans="1:9" ht="20.100000000000001" customHeight="1" x14ac:dyDescent="0.2">
      <c r="B238" s="36"/>
    </row>
    <row r="239" spans="1:9" ht="20.100000000000001" customHeight="1" x14ac:dyDescent="0.2">
      <c r="B239" s="36"/>
    </row>
    <row r="240" spans="1:9" ht="20.100000000000001" customHeight="1" x14ac:dyDescent="0.2">
      <c r="B240" s="36"/>
    </row>
    <row r="241" spans="2:2" ht="20.100000000000001" customHeight="1" x14ac:dyDescent="0.2">
      <c r="B241" s="36"/>
    </row>
    <row r="246" spans="2:2" ht="20.100000000000001" customHeight="1" x14ac:dyDescent="0.2">
      <c r="B246" s="36"/>
    </row>
    <row r="247" spans="2:2" ht="20.100000000000001" customHeight="1" x14ac:dyDescent="0.2">
      <c r="B247" s="36"/>
    </row>
    <row r="248" spans="2:2" ht="20.100000000000001" customHeight="1" x14ac:dyDescent="0.2">
      <c r="B248" s="36"/>
    </row>
    <row r="249" spans="2:2" ht="20.100000000000001" customHeight="1" x14ac:dyDescent="0.2">
      <c r="B249" s="36"/>
    </row>
    <row r="250" spans="2:2" ht="20.100000000000001" customHeight="1" x14ac:dyDescent="0.2">
      <c r="B250" s="36"/>
    </row>
    <row r="251" spans="2:2" ht="20.100000000000001" customHeight="1" x14ac:dyDescent="0.2">
      <c r="B251" s="36"/>
    </row>
  </sheetData>
  <pageMargins left="0.7" right="0.7" top="0.75" bottom="0.75" header="0.3" footer="0.3"/>
  <pageSetup scale="47" fitToHeight="0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WOI</vt:lpstr>
      <vt:lpstr>DASHBOARD WI</vt:lpstr>
      <vt:lpstr>GFS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Belu</dc:creator>
  <cp:lastModifiedBy>Windows User</cp:lastModifiedBy>
  <cp:lastPrinted>2013-09-05T13:37:32Z</cp:lastPrinted>
  <dcterms:created xsi:type="dcterms:W3CDTF">2012-08-16T15:12:06Z</dcterms:created>
  <dcterms:modified xsi:type="dcterms:W3CDTF">2013-10-13T07:03:09Z</dcterms:modified>
</cp:coreProperties>
</file>