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621"/>
  <workbookPr autoCompressPictures="0"/>
  <bookViews>
    <workbookView xWindow="0" yWindow="0" windowWidth="37560" windowHeight="26740"/>
  </bookViews>
  <sheets>
    <sheet name="Sheet1" sheetId="1" r:id="rId1"/>
  </sheets>
  <calcPr calcId="140001" iterateDelta="9.999999999999445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1" l="1"/>
  <c r="M75" i="1"/>
  <c r="N44" i="1"/>
  <c r="N75" i="1"/>
  <c r="O44" i="1"/>
  <c r="O75" i="1"/>
  <c r="D44" i="1"/>
  <c r="D75" i="1"/>
  <c r="E44" i="1"/>
  <c r="E75" i="1"/>
  <c r="F44" i="1"/>
  <c r="F75" i="1"/>
  <c r="G44" i="1"/>
  <c r="G75" i="1"/>
  <c r="H44" i="1"/>
  <c r="H75" i="1"/>
  <c r="I44" i="1"/>
  <c r="I75" i="1"/>
  <c r="J44" i="1"/>
  <c r="J75" i="1"/>
  <c r="K44" i="1"/>
  <c r="K75" i="1"/>
  <c r="L44" i="1"/>
  <c r="L75" i="1"/>
  <c r="P75" i="1"/>
  <c r="O10" i="1"/>
  <c r="N10" i="1"/>
  <c r="M10" i="1"/>
  <c r="L10" i="1"/>
  <c r="K10" i="1"/>
  <c r="J10" i="1"/>
  <c r="I10" i="1"/>
  <c r="H10" i="1"/>
  <c r="G10" i="1"/>
  <c r="F10" i="1"/>
  <c r="E10" i="1"/>
  <c r="D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E43" i="1"/>
  <c r="F43" i="1"/>
  <c r="G43" i="1"/>
  <c r="H43" i="1"/>
  <c r="I43" i="1"/>
  <c r="J43" i="1"/>
  <c r="K43" i="1"/>
  <c r="L43" i="1"/>
  <c r="M43" i="1"/>
  <c r="N43" i="1"/>
  <c r="O43" i="1"/>
  <c r="D43" i="1"/>
  <c r="P10" i="1"/>
  <c r="P7" i="1"/>
  <c r="AF52" i="1"/>
  <c r="AF51" i="1"/>
  <c r="AF53" i="1"/>
  <c r="AD51" i="1"/>
  <c r="AD52" i="1"/>
  <c r="AE48" i="1"/>
  <c r="AE49" i="1"/>
  <c r="AE46" i="1"/>
  <c r="AE47" i="1"/>
  <c r="AE42" i="1"/>
  <c r="AE41" i="1"/>
  <c r="AE43" i="1"/>
  <c r="AE45" i="1"/>
  <c r="V52" i="1"/>
  <c r="D79" i="1"/>
  <c r="W52" i="1"/>
  <c r="E79" i="1"/>
  <c r="X52" i="1"/>
  <c r="F79" i="1"/>
  <c r="Y52" i="1"/>
  <c r="G79" i="1"/>
  <c r="Z52" i="1"/>
  <c r="H79" i="1"/>
  <c r="AA52" i="1"/>
  <c r="I79" i="1"/>
  <c r="AB52" i="1"/>
  <c r="J79" i="1"/>
  <c r="Q52" i="1"/>
  <c r="K79" i="1"/>
  <c r="R52" i="1"/>
  <c r="L79" i="1"/>
  <c r="S52" i="1"/>
  <c r="M79" i="1"/>
  <c r="T52" i="1"/>
  <c r="N79" i="1"/>
  <c r="U52" i="1"/>
  <c r="O79" i="1"/>
  <c r="P79" i="1"/>
  <c r="P11" i="1"/>
  <c r="AD79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47" i="1"/>
  <c r="F47" i="1"/>
  <c r="G47" i="1"/>
  <c r="H47" i="1"/>
  <c r="I47" i="1"/>
  <c r="J47" i="1"/>
  <c r="K47" i="1"/>
  <c r="L47" i="1"/>
  <c r="M47" i="1"/>
  <c r="N47" i="1"/>
  <c r="O47" i="1"/>
  <c r="D47" i="1"/>
  <c r="E74" i="1"/>
  <c r="F74" i="1"/>
  <c r="G74" i="1"/>
  <c r="H74" i="1"/>
  <c r="I74" i="1"/>
  <c r="J74" i="1"/>
  <c r="K74" i="1"/>
  <c r="L74" i="1"/>
  <c r="M74" i="1"/>
  <c r="N74" i="1"/>
  <c r="O74" i="1"/>
  <c r="E76" i="1"/>
  <c r="F76" i="1"/>
  <c r="G76" i="1"/>
  <c r="H76" i="1"/>
  <c r="I76" i="1"/>
  <c r="J76" i="1"/>
  <c r="K76" i="1"/>
  <c r="L76" i="1"/>
  <c r="M76" i="1"/>
  <c r="N76" i="1"/>
  <c r="O76" i="1"/>
  <c r="E77" i="1"/>
  <c r="F77" i="1"/>
  <c r="G77" i="1"/>
  <c r="H77" i="1"/>
  <c r="I77" i="1"/>
  <c r="J77" i="1"/>
  <c r="K77" i="1"/>
  <c r="L77" i="1"/>
  <c r="M77" i="1"/>
  <c r="N77" i="1"/>
  <c r="O77" i="1"/>
  <c r="D76" i="1"/>
  <c r="D77" i="1"/>
  <c r="D74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7" i="1"/>
  <c r="P77" i="1"/>
  <c r="P76" i="1"/>
  <c r="P74" i="1"/>
  <c r="P8" i="1"/>
  <c r="P9" i="1"/>
  <c r="P6" i="1"/>
  <c r="AB77" i="1"/>
  <c r="AA77" i="1"/>
  <c r="Z77" i="1"/>
  <c r="Y77" i="1"/>
  <c r="X77" i="1"/>
  <c r="W77" i="1"/>
  <c r="V77" i="1"/>
  <c r="U77" i="1"/>
  <c r="T77" i="1"/>
  <c r="S77" i="1"/>
  <c r="R77" i="1"/>
  <c r="AB46" i="1"/>
  <c r="AA46" i="1"/>
  <c r="Z46" i="1"/>
  <c r="Y46" i="1"/>
  <c r="X46" i="1"/>
  <c r="W46" i="1"/>
  <c r="V46" i="1"/>
  <c r="U46" i="1"/>
  <c r="T46" i="1"/>
  <c r="S46" i="1"/>
  <c r="R46" i="1"/>
  <c r="Q46" i="1"/>
  <c r="R9" i="1"/>
  <c r="S9" i="1"/>
  <c r="T9" i="1"/>
  <c r="U9" i="1"/>
  <c r="V9" i="1"/>
  <c r="W9" i="1"/>
  <c r="X9" i="1"/>
  <c r="Y9" i="1"/>
  <c r="Z9" i="1"/>
  <c r="AA9" i="1"/>
  <c r="AB9" i="1"/>
  <c r="Q9" i="1"/>
</calcChain>
</file>

<file path=xl/sharedStrings.xml><?xml version="1.0" encoding="utf-8"?>
<sst xmlns="http://schemas.openxmlformats.org/spreadsheetml/2006/main" count="102" uniqueCount="50">
  <si>
    <t>SKI RESORTS</t>
  </si>
  <si>
    <t>ADR</t>
  </si>
  <si>
    <t>REVPAR</t>
  </si>
  <si>
    <t>REVELSTOKE, BC</t>
  </si>
  <si>
    <t>WHISTLER, BC</t>
  </si>
  <si>
    <t>RED BUDGET</t>
  </si>
  <si>
    <t>AVG</t>
  </si>
  <si>
    <t>JUN</t>
    <phoneticPr fontId="6" type="noConversion"/>
  </si>
  <si>
    <t>JUL</t>
    <phoneticPr fontId="6" type="noConversion"/>
  </si>
  <si>
    <t>AUG</t>
    <phoneticPr fontId="6" type="noConversion"/>
  </si>
  <si>
    <t>SEP</t>
    <phoneticPr fontId="6" type="noConversion"/>
  </si>
  <si>
    <t>OCT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</si>
  <si>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</si>
  <si>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</si>
  <si>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</si>
  <si>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</si>
  <si>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MAR</t>
    <phoneticPr fontId="6" type="noConversion"/>
  </si>
  <si>
    <t>APR</t>
    <phoneticPr fontId="6" type="noConversion"/>
  </si>
  <si>
    <t>MAY</t>
    <phoneticPr fontId="6" type="noConversion"/>
  </si>
  <si>
    <t>AVERAGE OF COMP SET</t>
    <phoneticPr fontId="6" type="noConversion"/>
  </si>
  <si>
    <t>AVERAGE OF COMP SET</t>
    <phoneticPr fontId="6" type="noConversion"/>
  </si>
  <si>
    <t>REVPAR</t>
    <phoneticPr fontId="6" type="noConversion"/>
  </si>
  <si>
    <t xml:space="preserve">RED MOUNTAIN HOTEL VS THREE STR COMP SETS </t>
    <phoneticPr fontId="6" type="noConversion"/>
  </si>
  <si>
    <t>THE JOSIE BUDGET</t>
    <phoneticPr fontId="6" type="noConversion"/>
  </si>
  <si>
    <t>AVG OCCUPANCY IN %</t>
    <phoneticPr fontId="6" type="noConversion"/>
  </si>
  <si>
    <t>OCCUPANCY IS AVERAGE OVER FOUR OR FIVE OPERATING YEARS AS REPORTED TO STR</t>
    <phoneticPr fontId="6" type="noConversion"/>
  </si>
  <si>
    <t>thru 3/16</t>
    <phoneticPr fontId="6" type="noConversion"/>
  </si>
  <si>
    <t>thru 3/16</t>
    <phoneticPr fontId="6" type="noConversion"/>
  </si>
  <si>
    <t>thru 5/15</t>
    <phoneticPr fontId="6" type="noConversion"/>
  </si>
  <si>
    <t>APR</t>
    <phoneticPr fontId="6" type="noConversion"/>
  </si>
  <si>
    <t>MAY</t>
    <phoneticPr fontId="6" type="noConversion"/>
  </si>
  <si>
    <t>JUN</t>
    <phoneticPr fontId="6" type="noConversion"/>
  </si>
  <si>
    <t>JUL</t>
    <phoneticPr fontId="6" type="noConversion"/>
  </si>
  <si>
    <t>AUG</t>
    <phoneticPr fontId="6" type="noConversion"/>
  </si>
  <si>
    <t>SEP</t>
    <phoneticPr fontId="6" type="noConversion"/>
  </si>
  <si>
    <t>NOV</t>
    <phoneticPr fontId="6" type="noConversion"/>
  </si>
  <si>
    <t>DEC</t>
    <phoneticPr fontId="6" type="noConversion"/>
  </si>
  <si>
    <t>JAN</t>
    <phoneticPr fontId="6" type="noConversion"/>
  </si>
  <si>
    <t>FEB</t>
    <phoneticPr fontId="6" type="noConversion"/>
  </si>
  <si>
    <t>MAR</t>
    <phoneticPr fontId="6" type="noConversion"/>
  </si>
  <si>
    <t>LOCAL / "CASTLEGAR"</t>
    <phoneticPr fontId="6" type="noConversion"/>
  </si>
  <si>
    <t>LOCAL / "CASTLEGAR"</t>
    <phoneticPr fontId="6" type="noConversion"/>
  </si>
  <si>
    <t>CAD 2014/15</t>
    <phoneticPr fontId="6" type="noConversion"/>
  </si>
  <si>
    <t>CAD</t>
    <phoneticPr fontId="6" type="noConversion"/>
  </si>
  <si>
    <t>CAD</t>
    <phoneticPr fontId="6" type="noConversion"/>
  </si>
  <si>
    <t>CAD</t>
    <phoneticPr fontId="6" type="noConversion"/>
  </si>
  <si>
    <t>THE JOSIE</t>
    <phoneticPr fontId="6" type="noConversion"/>
  </si>
  <si>
    <t>CAD</t>
    <phoneticPr fontId="6" type="noConversion"/>
  </si>
  <si>
    <t>$US</t>
    <phoneticPr fontId="6" type="noConversion"/>
  </si>
  <si>
    <t>EXCHANGE RATE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</si>
</sst>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#,##0.0_);_(\-#,##0.0_)"/>
    <numFmt numFmtId="165" formatCode="0.0"/>
    <numFmt numFmtId="166" formatCode="&quot;$&quot;#,##0.00"/>
    <numFmt numFmtId="167" formatCode="_(#,##0_);_(\-#,##0_)"/>
    <numFmt numFmtId="168" formatCode="_(#,##0.00_);_(\-#,##0.00_)"/>
    <numFmt numFmtId="169" formatCode="0.0%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1" fillId="3" borderId="1" applyFont="0" applyAlignment="0" applyProtection="0"/>
    <xf numFmtId="168" fontId="1" fillId="0" borderId="1" applyFont="0" applyFill="0" applyAlignment="0" applyProtection="0"/>
    <xf numFmtId="168" fontId="1" fillId="3" borderId="0" applyFont="0" applyBorder="0" applyAlignment="0" applyProtection="0"/>
    <xf numFmtId="168" fontId="1" fillId="3" borderId="2" applyFont="0" applyAlignment="0" applyProtection="0"/>
    <xf numFmtId="168" fontId="1" fillId="0" borderId="2" applyFont="0" applyFill="0" applyAlignment="0" applyProtection="0"/>
    <xf numFmtId="164" fontId="1" fillId="0" borderId="1" applyFont="0" applyFill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2" fillId="3" borderId="1" applyFont="0" applyAlignment="0" applyProtection="0"/>
    <xf numFmtId="168" fontId="2" fillId="0" borderId="1" applyFont="0" applyFill="0" applyAlignment="0" applyProtection="0"/>
    <xf numFmtId="168" fontId="2" fillId="3" borderId="0" applyFont="0" applyBorder="0" applyAlignment="0" applyProtection="0"/>
    <xf numFmtId="168" fontId="2" fillId="3" borderId="2" applyFont="0" applyAlignment="0" applyProtection="0"/>
    <xf numFmtId="168" fontId="2" fillId="0" borderId="2" applyFont="0" applyFill="0" applyAlignment="0" applyProtection="0"/>
    <xf numFmtId="164" fontId="2" fillId="0" borderId="1" applyFont="0" applyFill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Border="1"/>
    <xf numFmtId="17" fontId="0" fillId="0" borderId="0" xfId="0" applyNumberFormat="1" applyFont="1" applyBorder="1"/>
    <xf numFmtId="166" fontId="0" fillId="0" borderId="0" xfId="0" applyNumberFormat="1" applyFont="1" applyBorder="1"/>
    <xf numFmtId="166" fontId="3" fillId="2" borderId="0" xfId="1" applyNumberFormat="1" applyFont="1" applyFill="1" applyBorder="1" applyProtection="1">
      <protection locked="0"/>
    </xf>
    <xf numFmtId="165" fontId="0" fillId="0" borderId="0" xfId="0" applyNumberFormat="1" applyFont="1" applyBorder="1"/>
    <xf numFmtId="165" fontId="0" fillId="0" borderId="3" xfId="0" applyNumberFormat="1" applyFont="1" applyBorder="1" applyAlignment="1">
      <alignment horizontal="center"/>
    </xf>
    <xf numFmtId="164" fontId="3" fillId="2" borderId="3" xfId="2" applyNumberFormat="1" applyFont="1" applyFill="1" applyBorder="1" applyAlignment="1">
      <alignment horizontal="center"/>
    </xf>
    <xf numFmtId="165" fontId="3" fillId="0" borderId="3" xfId="1" applyNumberFormat="1" applyFont="1" applyBorder="1" applyAlignment="1">
      <alignment horizontal="center"/>
    </xf>
    <xf numFmtId="166" fontId="3" fillId="2" borderId="3" xfId="1" applyNumberFormat="1" applyFont="1" applyFill="1" applyBorder="1" applyAlignment="1" applyProtection="1">
      <alignment horizontal="center"/>
      <protection locked="0"/>
    </xf>
    <xf numFmtId="166" fontId="0" fillId="0" borderId="3" xfId="0" applyNumberFormat="1" applyFont="1" applyBorder="1" applyAlignment="1">
      <alignment horizontal="center"/>
    </xf>
    <xf numFmtId="44" fontId="3" fillId="0" borderId="3" xfId="2" applyNumberFormat="1" applyFont="1" applyBorder="1" applyAlignment="1">
      <alignment horizontal="center"/>
    </xf>
    <xf numFmtId="169" fontId="0" fillId="0" borderId="0" xfId="21" applyNumberFormat="1" applyFont="1" applyBorder="1"/>
    <xf numFmtId="0" fontId="0" fillId="0" borderId="0" xfId="0" applyFont="1" applyFill="1" applyBorder="1"/>
    <xf numFmtId="17" fontId="5" fillId="0" borderId="0" xfId="0" applyNumberFormat="1" applyFont="1" applyBorder="1" applyAlignment="1">
      <alignment horizontal="center"/>
    </xf>
    <xf numFmtId="169" fontId="0" fillId="0" borderId="0" xfId="0" applyNumberFormat="1"/>
    <xf numFmtId="169" fontId="0" fillId="0" borderId="0" xfId="5" applyNumberFormat="1" applyFont="1"/>
    <xf numFmtId="44" fontId="0" fillId="0" borderId="0" xfId="0" applyNumberFormat="1"/>
    <xf numFmtId="17" fontId="7" fillId="0" borderId="0" xfId="0" applyNumberFormat="1" applyFont="1" applyBorder="1" applyAlignment="1">
      <alignment horizontal="center"/>
    </xf>
    <xf numFmtId="0" fontId="0" fillId="0" borderId="0" xfId="0" applyBorder="1"/>
    <xf numFmtId="44" fontId="0" fillId="0" borderId="0" xfId="0" applyNumberFormat="1"/>
    <xf numFmtId="44" fontId="0" fillId="0" borderId="0" xfId="0" applyNumberFormat="1" applyFont="1" applyBorder="1"/>
    <xf numFmtId="44" fontId="0" fillId="0" borderId="0" xfId="0" applyNumberFormat="1" applyFont="1" applyBorder="1"/>
    <xf numFmtId="166" fontId="0" fillId="0" borderId="0" xfId="0" applyNumberFormat="1" applyFont="1" applyBorder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44" fontId="0" fillId="0" borderId="0" xfId="0" applyNumberFormat="1" applyFont="1" applyFill="1" applyBorder="1"/>
    <xf numFmtId="0" fontId="0" fillId="0" borderId="0" xfId="0" applyFill="1" applyBorder="1"/>
    <xf numFmtId="166" fontId="3" fillId="2" borderId="0" xfId="1" applyNumberFormat="1" applyFont="1" applyFill="1" applyBorder="1" applyAlignment="1" applyProtection="1">
      <alignment horizontal="center"/>
      <protection locked="0"/>
    </xf>
  </cellXfs>
  <cellStyles count="22">
    <cellStyle name="Comma 2" xfId="3"/>
    <cellStyle name="Comma 3" xfId="12"/>
    <cellStyle name="Currency 2" xfId="4"/>
    <cellStyle name="Currency 3" xfId="13"/>
    <cellStyle name="Normal" xfId="0" builtinId="0"/>
    <cellStyle name="Normal 2" xfId="1"/>
    <cellStyle name="Normal 3" xfId="2"/>
    <cellStyle name="Percent" xfId="21" builtinId="5"/>
    <cellStyle name="Percent 2" xfId="5"/>
    <cellStyle name="Percent 3" xfId="14"/>
    <cellStyle name="Style 368" xfId="6"/>
    <cellStyle name="Style 368 2" xfId="15"/>
    <cellStyle name="Style 369" xfId="7"/>
    <cellStyle name="Style 369 2" xfId="16"/>
    <cellStyle name="Style 371" xfId="8"/>
    <cellStyle name="Style 371 2" xfId="17"/>
    <cellStyle name="Style 373" xfId="9"/>
    <cellStyle name="Style 373 2" xfId="18"/>
    <cellStyle name="Style 374" xfId="10"/>
    <cellStyle name="Style 374 2" xfId="19"/>
    <cellStyle name="Style 375" xfId="11"/>
    <cellStyle name="Style 375 2" xfId="2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ADR IN CAD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	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Sheet1!$A$43</c:f>
              <c:strCache>
                <c:ptCount val="1"/>
                <c:pt idx="0">
                  <c:v>SKI RESORTS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Sheet1!$D$42:$O$42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Sheet1!$D$43:$O$43</c:f>
              <c:numCache>
                <c:formatCode>"$"#,##0.00</c:formatCode>
                <c:ptCount val="12"/>
                <c:pt idx="0">
                  <c:v>273.4242316602305</c:v>
                </c:pt>
                <c:pt idx="1">
                  <c:v>197.1545850948504</c:v>
                </c:pt>
                <c:pt idx="2">
                  <c:v>266.0847722022618</c:v>
                </c:pt>
                <c:pt idx="3">
                  <c:v>325.6221600594927</c:v>
                </c:pt>
                <c:pt idx="4">
                  <c:v>315.5500935173404</c:v>
                </c:pt>
                <c:pt idx="5">
                  <c:v>269.9259091608102</c:v>
                </c:pt>
                <c:pt idx="6">
                  <c:v>229.5782369821791</c:v>
                </c:pt>
                <c:pt idx="7">
                  <c:v>242.2250992767497</c:v>
                </c:pt>
                <c:pt idx="8">
                  <c:v>746.5119942397793</c:v>
                </c:pt>
                <c:pt idx="9">
                  <c:v>694.5436569722991</c:v>
                </c:pt>
                <c:pt idx="10">
                  <c:v>713.7783307908242</c:v>
                </c:pt>
                <c:pt idx="11">
                  <c:v>642.729642019143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REVELSTOKE, 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Sheet1!$D$42:$O$42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Sheet1!$D$45:$O$45</c:f>
              <c:numCache>
                <c:formatCode>"$"#,##0.00</c:formatCode>
                <c:ptCount val="12"/>
                <c:pt idx="0">
                  <c:v>115.469947637433</c:v>
                </c:pt>
                <c:pt idx="1">
                  <c:v>108.653517738494</c:v>
                </c:pt>
                <c:pt idx="2">
                  <c:v>118.907733871587</c:v>
                </c:pt>
                <c:pt idx="3">
                  <c:v>144.751573035662</c:v>
                </c:pt>
                <c:pt idx="4">
                  <c:v>149.115822930051</c:v>
                </c:pt>
                <c:pt idx="5">
                  <c:v>129.333570055727</c:v>
                </c:pt>
                <c:pt idx="6">
                  <c:v>112.810120048019</c:v>
                </c:pt>
                <c:pt idx="7">
                  <c:v>115.004841555312</c:v>
                </c:pt>
                <c:pt idx="8">
                  <c:v>134.348792087216</c:v>
                </c:pt>
                <c:pt idx="9">
                  <c:v>135.167682846715</c:v>
                </c:pt>
                <c:pt idx="10">
                  <c:v>144.234391858817</c:v>
                </c:pt>
                <c:pt idx="11">
                  <c:v>135.05061066018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Sheet1!$A$46</c:f>
              <c:strCache>
                <c:ptCount val="1"/>
                <c:pt idx="0">
                  <c:v>WHISTLER, BC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Sheet1!$D$42:$O$42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Sheet1!$D$46:$O$46</c:f>
              <c:numCache>
                <c:formatCode>"$"#,##0.00</c:formatCode>
                <c:ptCount val="12"/>
                <c:pt idx="0">
                  <c:v>218.1431177418</c:v>
                </c:pt>
                <c:pt idx="1">
                  <c:v>180.214604642475</c:v>
                </c:pt>
                <c:pt idx="2">
                  <c:v>199.787638850211</c:v>
                </c:pt>
                <c:pt idx="3">
                  <c:v>224.969646088053</c:v>
                </c:pt>
                <c:pt idx="4">
                  <c:v>252.726320964736</c:v>
                </c:pt>
                <c:pt idx="5">
                  <c:v>204.787583093525</c:v>
                </c:pt>
                <c:pt idx="6">
                  <c:v>176.777119198253</c:v>
                </c:pt>
                <c:pt idx="7">
                  <c:v>194.34768557487</c:v>
                </c:pt>
                <c:pt idx="8">
                  <c:v>539.7228461829631</c:v>
                </c:pt>
                <c:pt idx="9">
                  <c:v>397.947727626412</c:v>
                </c:pt>
                <c:pt idx="10">
                  <c:v>419.341406739588</c:v>
                </c:pt>
                <c:pt idx="11">
                  <c:v>366.02603345034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Sheet1!$A$48</c:f>
              <c:strCache>
                <c:ptCount val="1"/>
                <c:pt idx="0">
                  <c:v>THE JOSIE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Sheet1!$D$42:$O$42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Sheet1!$D$48:$O$48</c:f>
              <c:numCache>
                <c:formatCode>_("$"* #,##0.00_);_("$"* \(#,##0.00\);_("$"* "-"??_);_(@_)</c:formatCode>
                <c:ptCount val="12"/>
                <c:pt idx="0">
                  <c:v>242.05</c:v>
                </c:pt>
                <c:pt idx="1">
                  <c:v>169.95</c:v>
                </c:pt>
                <c:pt idx="2">
                  <c:v>180.25</c:v>
                </c:pt>
                <c:pt idx="3">
                  <c:v>206.0</c:v>
                </c:pt>
                <c:pt idx="4">
                  <c:v>211.15</c:v>
                </c:pt>
                <c:pt idx="5">
                  <c:v>185.4</c:v>
                </c:pt>
                <c:pt idx="6">
                  <c:v>175.1</c:v>
                </c:pt>
                <c:pt idx="7">
                  <c:v>252.35</c:v>
                </c:pt>
                <c:pt idx="8">
                  <c:v>463.5</c:v>
                </c:pt>
                <c:pt idx="9">
                  <c:v>355.35</c:v>
                </c:pt>
                <c:pt idx="10">
                  <c:v>339.9</c:v>
                </c:pt>
                <c:pt idx="11">
                  <c:v>267.8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Sheet1!$A$44</c:f>
              <c:strCache>
                <c:ptCount val="1"/>
                <c:pt idx="0">
                  <c:v>LOCAL / "CASTLEGAR"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</c:spPr>
          </c:marker>
          <c:val>
            <c:numRef>
              <c:f>Sheet1!$D$44:$O$44</c:f>
              <c:numCache>
                <c:formatCode>"$"#,##0.00</c:formatCode>
                <c:ptCount val="12"/>
                <c:pt idx="0">
                  <c:v>121.7970162732474</c:v>
                </c:pt>
                <c:pt idx="1">
                  <c:v>120.2016387020846</c:v>
                </c:pt>
                <c:pt idx="2">
                  <c:v>123.5690812613705</c:v>
                </c:pt>
                <c:pt idx="3">
                  <c:v>136.4332105263156</c:v>
                </c:pt>
                <c:pt idx="4">
                  <c:v>131.0985789473683</c:v>
                </c:pt>
                <c:pt idx="5">
                  <c:v>127.5474547271137</c:v>
                </c:pt>
                <c:pt idx="6">
                  <c:v>125.6808587896253</c:v>
                </c:pt>
                <c:pt idx="7">
                  <c:v>117.2778541033433</c:v>
                </c:pt>
                <c:pt idx="8">
                  <c:v>119.7608701359586</c:v>
                </c:pt>
                <c:pt idx="9">
                  <c:v>123.2927880434781</c:v>
                </c:pt>
                <c:pt idx="10">
                  <c:v>127.9222212725545</c:v>
                </c:pt>
                <c:pt idx="11">
                  <c:v>124.4912283380682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648968"/>
        <c:axId val="2141646776"/>
      </c:lineChart>
      <c:catAx>
        <c:axId val="2141648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46776"/>
        <c:crosses val="autoZero"/>
        <c:auto val="1"/>
        <c:lblAlgn val="ctr"/>
        <c:lblOffset val="100"/>
        <c:noMultiLvlLbl val="0"/>
      </c:catAx>
      <c:valAx>
        <c:axId val="2141646776"/>
        <c:scaling>
          <c:orientation val="minMax"/>
          <c:min val="7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48968"/>
        <c:crosses val="autoZero"/>
        <c:crossBetween val="between"/>
        <c:majorUnit val="25.0"/>
        <c:minorUnit val="5.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7118279272031"/>
          <c:y val="0.91897168254861"/>
          <c:w val="0.579784697716891"/>
          <c:h val="0.0597705612996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OCCUPANCY %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SKI RESORTS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Sheet1!$D$5:$O$5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Sheet1!$D$6:$O$6</c:f>
              <c:numCache>
                <c:formatCode>0.0</c:formatCode>
                <c:ptCount val="12"/>
                <c:pt idx="0" formatCode="_(#,##0.0_);_(\-#,##0.0_)">
                  <c:v>32.4891673888407</c:v>
                </c:pt>
                <c:pt idx="1">
                  <c:v>24.6389693398581</c:v>
                </c:pt>
                <c:pt idx="2" formatCode="_(#,##0.0_);_(\-#,##0.0_)">
                  <c:v>48.5825382627708</c:v>
                </c:pt>
                <c:pt idx="3" formatCode="_(#,##0.0_);_(\-#,##0.0_)">
                  <c:v>64.9354646353896</c:v>
                </c:pt>
                <c:pt idx="4" formatCode="_(#,##0.0_);_(\-#,##0.0_)">
                  <c:v>63.5547593570028</c:v>
                </c:pt>
                <c:pt idx="5" formatCode="_(#,##0.0_);_(\-#,##0.0_)">
                  <c:v>50.1432835820895</c:v>
                </c:pt>
                <c:pt idx="6" formatCode="_(#,##0.0_);_(\-#,##0.0_)">
                  <c:v>29.7479537794896</c:v>
                </c:pt>
                <c:pt idx="7" formatCode="_(#,##0.0_);_(\-#,##0.0_)">
                  <c:v>22.1969641595399</c:v>
                </c:pt>
                <c:pt idx="8" formatCode="_(#,##0.0_);_(\-#,##0.0_)">
                  <c:v>55.6542581999119</c:v>
                </c:pt>
                <c:pt idx="9" formatCode="_(#,##0.0_);_(\-#,##0.0_)">
                  <c:v>65.2193337716255</c:v>
                </c:pt>
                <c:pt idx="10" formatCode="_(#,##0.0_);_(\-#,##0.0_)">
                  <c:v>71.863689738929</c:v>
                </c:pt>
                <c:pt idx="11" formatCode="_(#,##0.0_);_(\-#,##0.0_)">
                  <c:v>71.6352441150828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REVELSTOKE, 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Sheet1!$D$5:$O$5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Sheet1!$D$8:$O$8</c:f>
              <c:numCache>
                <c:formatCode>0.0</c:formatCode>
                <c:ptCount val="12"/>
                <c:pt idx="0" formatCode="_(#,##0.0_);_(\-#,##0.0_)">
                  <c:v>48.502358490566</c:v>
                </c:pt>
                <c:pt idx="1">
                  <c:v>53.2372185027388</c:v>
                </c:pt>
                <c:pt idx="2" formatCode="_(#,##0.0_);_(\-#,##0.0_)">
                  <c:v>66.0992578849721</c:v>
                </c:pt>
                <c:pt idx="3" formatCode="_(#,##0.0_);_(\-#,##0.0_)">
                  <c:v>84.15823807528869</c:v>
                </c:pt>
                <c:pt idx="4" formatCode="_(#,##0.0_);_(\-#,##0.0_)">
                  <c:v>87.354120533844</c:v>
                </c:pt>
                <c:pt idx="5" formatCode="_(#,##0.0_);_(\-#,##0.0_)">
                  <c:v>69.52844774273341</c:v>
                </c:pt>
                <c:pt idx="6" formatCode="_(#,##0.0_);_(\-#,##0.0_)">
                  <c:v>53.3110898318271</c:v>
                </c:pt>
                <c:pt idx="7" formatCode="_(#,##0.0_);_(\-#,##0.0_)">
                  <c:v>41.9094001236858</c:v>
                </c:pt>
                <c:pt idx="8" formatCode="_(#,##0.0_);_(\-#,##0.0_)">
                  <c:v>48.2912955617094</c:v>
                </c:pt>
                <c:pt idx="9" formatCode="_(#,##0.0_);_(\-#,##0.0_)">
                  <c:v>55.5568684600942</c:v>
                </c:pt>
                <c:pt idx="10" formatCode="_(#,##0.0_);_(\-#,##0.0_)">
                  <c:v>69.5544137466307</c:v>
                </c:pt>
                <c:pt idx="11" formatCode="_(#,##0.0_);_(\-#,##0.0_)">
                  <c:v>61.8659971596672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WHISTLER, BC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Sheet1!$D$5:$O$5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Sheet1!$D$9:$O$9</c:f>
              <c:numCache>
                <c:formatCode>0.0</c:formatCode>
                <c:ptCount val="12"/>
                <c:pt idx="0" formatCode="_(#,##0.0_);_(\-#,##0.0_)">
                  <c:v>49.383367742496</c:v>
                </c:pt>
                <c:pt idx="1">
                  <c:v>40.3858284528861</c:v>
                </c:pt>
                <c:pt idx="2" formatCode="_(#,##0.0_);_(\-#,##0.0_)">
                  <c:v>50.6847979107184</c:v>
                </c:pt>
                <c:pt idx="3" formatCode="_(#,##0.0_);_(\-#,##0.0_)">
                  <c:v>63.6026879678057</c:v>
                </c:pt>
                <c:pt idx="4" formatCode="_(#,##0.0_);_(\-#,##0.0_)">
                  <c:v>70.7917327309591</c:v>
                </c:pt>
                <c:pt idx="5" formatCode="_(#,##0.0_);_(\-#,##0.0_)">
                  <c:v>53.6256112689612</c:v>
                </c:pt>
                <c:pt idx="6" formatCode="_(#,##0.0_);_(\-#,##0.0_)">
                  <c:v>28.5345738954517</c:v>
                </c:pt>
                <c:pt idx="7" formatCode="_(#,##0.0_);_(\-#,##0.0_)">
                  <c:v>25.5391424985403</c:v>
                </c:pt>
                <c:pt idx="8" formatCode="_(#,##0.0_);_(\-#,##0.0_)">
                  <c:v>60.5752189992775</c:v>
                </c:pt>
                <c:pt idx="9" formatCode="_(#,##0.0_);_(\-#,##0.0_)">
                  <c:v>70.1450639114136</c:v>
                </c:pt>
                <c:pt idx="10" formatCode="_(#,##0.0_);_(\-#,##0.0_)">
                  <c:v>77.06241588080169</c:v>
                </c:pt>
                <c:pt idx="11" formatCode="_(#,##0.0_);_(\-#,##0.0_)">
                  <c:v>71.9525304290343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THE JOSIE BUDGET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Sheet1!$D$5:$O$5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Sheet1!$D$11:$O$11</c:f>
              <c:numCache>
                <c:formatCode>0.0</c:formatCode>
                <c:ptCount val="12"/>
                <c:pt idx="0">
                  <c:v>56.2</c:v>
                </c:pt>
                <c:pt idx="1">
                  <c:v>55.00000000000001</c:v>
                </c:pt>
                <c:pt idx="2">
                  <c:v>65.0</c:v>
                </c:pt>
                <c:pt idx="3">
                  <c:v>80.0</c:v>
                </c:pt>
                <c:pt idx="4">
                  <c:v>80.0</c:v>
                </c:pt>
                <c:pt idx="5">
                  <c:v>69.5</c:v>
                </c:pt>
                <c:pt idx="6">
                  <c:v>55.00000000000001</c:v>
                </c:pt>
                <c:pt idx="7">
                  <c:v>48.0</c:v>
                </c:pt>
                <c:pt idx="8">
                  <c:v>60.0</c:v>
                </c:pt>
                <c:pt idx="9">
                  <c:v>65.3</c:v>
                </c:pt>
                <c:pt idx="10">
                  <c:v>76.0</c:v>
                </c:pt>
                <c:pt idx="11">
                  <c:v>72.0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Sheet1!$A$7</c:f>
              <c:strCache>
                <c:ptCount val="1"/>
                <c:pt idx="0">
                  <c:v>LOCAL / "CASTLEGAR"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</c:spPr>
          </c:marker>
          <c:val>
            <c:numRef>
              <c:f>Sheet1!$D$7:$O$7</c:f>
              <c:numCache>
                <c:formatCode>0.0</c:formatCode>
                <c:ptCount val="12"/>
                <c:pt idx="0" formatCode="_(#,##0.0_);_(\-#,##0.0_)">
                  <c:v>48.7127345481616</c:v>
                </c:pt>
                <c:pt idx="1">
                  <c:v>52.5480991221994</c:v>
                </c:pt>
                <c:pt idx="2" formatCode="_(#,##0.0_);_(\-#,##0.0_)">
                  <c:v>61.5690669255367</c:v>
                </c:pt>
                <c:pt idx="3" formatCode="_(#,##0.0_);_(\-#,##0.0_)">
                  <c:v>66.0434381094131</c:v>
                </c:pt>
                <c:pt idx="4" formatCode="_(#,##0.0_);_(\-#,##0.0_)">
                  <c:v>73.1647607539162</c:v>
                </c:pt>
                <c:pt idx="5" formatCode="_(#,##0.0_);_(\-#,##0.0_)">
                  <c:v>67.544096746358</c:v>
                </c:pt>
                <c:pt idx="6" formatCode="_(#,##0.0_);_(\-#,##0.0_)">
                  <c:v>63.5109657525162</c:v>
                </c:pt>
                <c:pt idx="7" formatCode="_(#,##0.0_);_(\-#,##0.0_)">
                  <c:v>49.2461677072229</c:v>
                </c:pt>
                <c:pt idx="8" formatCode="_(#,##0.0_);_(\-#,##0.0_)">
                  <c:v>35.6703636707486</c:v>
                </c:pt>
                <c:pt idx="9" formatCode="_(#,##0.0_);_(\-#,##0.0_)">
                  <c:v>42.1342722900917</c:v>
                </c:pt>
                <c:pt idx="10" formatCode="_(#,##0.0_);_(\-#,##0.0_)">
                  <c:v>47.2277513106658</c:v>
                </c:pt>
                <c:pt idx="11" formatCode="_(#,##0.0_);_(\-#,##0.0_)">
                  <c:v>49.6606627958954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42616"/>
        <c:axId val="2080348936"/>
      </c:lineChart>
      <c:catAx>
        <c:axId val="207934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48936"/>
        <c:crosses val="autoZero"/>
        <c:auto val="1"/>
        <c:lblAlgn val="ctr"/>
        <c:lblOffset val="100"/>
        <c:noMultiLvlLbl val="0"/>
      </c:catAx>
      <c:valAx>
        <c:axId val="20803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#,##0.0_);_(\-#,##0.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REVPAR IN</a:t>
            </a:r>
            <a:r>
              <a:rPr lang="en-US" baseline="0"/>
              <a:t> CAD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Sheet1!$A$74:$C$74</c:f>
              <c:strCache>
                <c:ptCount val="1"/>
                <c:pt idx="0">
                  <c:v>SKI RESORTS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Sheet1!$D$73:$O$73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Sheet1!$D$74:$O$74</c:f>
              <c:numCache>
                <c:formatCode>"$"#,##0.00</c:formatCode>
                <c:ptCount val="12"/>
                <c:pt idx="0">
                  <c:v>88.83325630574384</c:v>
                </c:pt>
                <c:pt idx="1">
                  <c:v>48.57685777364463</c:v>
                </c:pt>
                <c:pt idx="2">
                  <c:v>129.2707362665703</c:v>
                </c:pt>
                <c:pt idx="3">
                  <c:v>211.4442625904236</c:v>
                </c:pt>
                <c:pt idx="4">
                  <c:v>200.547102585743</c:v>
                </c:pt>
                <c:pt idx="5">
                  <c:v>135.3497140920384</c:v>
                </c:pt>
                <c:pt idx="6">
                  <c:v>68.29482782522575</c:v>
                </c:pt>
                <c:pt idx="7">
                  <c:v>53.76661847187007</c:v>
                </c:pt>
                <c:pt idx="8">
                  <c:v>415.4657127675183</c:v>
                </c:pt>
                <c:pt idx="9">
                  <c:v>452.9767458304174</c:v>
                </c:pt>
                <c:pt idx="10">
                  <c:v>512.9474450632242</c:v>
                </c:pt>
                <c:pt idx="11">
                  <c:v>460.4209480604109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Sheet1!$A$76:$C$76</c:f>
              <c:strCache>
                <c:ptCount val="1"/>
                <c:pt idx="0">
                  <c:v>REVELSTOKE, 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Sheet1!$D$73:$O$73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Sheet1!$D$76:$O$76</c:f>
              <c:numCache>
                <c:formatCode>"$"#,##0.00</c:formatCode>
                <c:ptCount val="12"/>
                <c:pt idx="0">
                  <c:v>56.00564795197661</c:v>
                </c:pt>
                <c:pt idx="1">
                  <c:v>57.84411064935411</c:v>
                </c:pt>
                <c:pt idx="2">
                  <c:v>78.5971296569566</c:v>
                </c:pt>
                <c:pt idx="3">
                  <c:v>121.8203734530778</c:v>
                </c:pt>
                <c:pt idx="4">
                  <c:v>130.2588156973501</c:v>
                </c:pt>
                <c:pt idx="5">
                  <c:v>89.92362367000764</c:v>
                </c:pt>
                <c:pt idx="6">
                  <c:v>60.1403044381914</c:v>
                </c:pt>
                <c:pt idx="7">
                  <c:v>48.19783920902658</c:v>
                </c:pt>
                <c:pt idx="8">
                  <c:v>64.87877227042392</c:v>
                </c:pt>
                <c:pt idx="9">
                  <c:v>75.09493175970677</c:v>
                </c:pt>
                <c:pt idx="10">
                  <c:v>100.3213856784182</c:v>
                </c:pt>
                <c:pt idx="11">
                  <c:v>83.55040695514018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Sheet1!$A$77:$C$77</c:f>
              <c:strCache>
                <c:ptCount val="1"/>
                <c:pt idx="0">
                  <c:v>WHISTLER, BC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Sheet1!$D$73:$O$73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Sheet1!$D$77:$O$77</c:f>
              <c:numCache>
                <c:formatCode>"$"#,##0.00</c:formatCode>
                <c:ptCount val="12"/>
                <c:pt idx="0">
                  <c:v>107.7264180393791</c:v>
                </c:pt>
                <c:pt idx="1">
                  <c:v>72.78116107795687</c:v>
                </c:pt>
                <c:pt idx="2">
                  <c:v>101.2619610018254</c:v>
                </c:pt>
                <c:pt idx="3">
                  <c:v>143.0867420236612</c:v>
                </c:pt>
                <c:pt idx="4">
                  <c:v>178.9093416781418</c:v>
                </c:pt>
                <c:pt idx="5">
                  <c:v>109.8185932368346</c:v>
                </c:pt>
                <c:pt idx="6">
                  <c:v>50.44259770787623</c:v>
                </c:pt>
                <c:pt idx="7">
                  <c:v>49.6347323615811</c:v>
                </c:pt>
                <c:pt idx="8">
                  <c:v>326.9382960644635</c:v>
                </c:pt>
                <c:pt idx="9">
                  <c:v>279.1406878775648</c:v>
                </c:pt>
                <c:pt idx="10">
                  <c:v>323.1546188220655</c:v>
                </c:pt>
                <c:pt idx="11">
                  <c:v>263.3649930965431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Sheet1!$A$79:$C$79</c:f>
              <c:strCache>
                <c:ptCount val="1"/>
                <c:pt idx="0">
                  <c:v>RED BUDGET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Sheet1!$D$73:$O$73</c:f>
              <c:strCache>
                <c:ptCount val="12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  <c:pt idx="4">
                  <c:v>AUG</c:v>
                </c:pt>
                <c:pt idx="5">
                  <c:v>SEP</c:v>
                </c:pt>
                <c:pt idx="6">
                  <c:v>OCT</c:v>
                </c:pt>
                <c:pt idx="7">
                  <c:v>NOV</c:v>
                </c:pt>
                <c:pt idx="8">
                  <c:v>DEC</c:v>
                </c:pt>
                <c:pt idx="9">
                  <c:v>JAN</c:v>
                </c:pt>
                <c:pt idx="10">
                  <c:v>FEB</c:v>
                </c:pt>
                <c:pt idx="11">
                  <c:v>MAR</c:v>
                </c:pt>
              </c:strCache>
            </c:strRef>
          </c:cat>
          <c:val>
            <c:numRef>
              <c:f>Sheet1!$D$79:$O$79</c:f>
              <c:numCache>
                <c:formatCode>"$"#,##0.00</c:formatCode>
                <c:ptCount val="12"/>
                <c:pt idx="0">
                  <c:v>136.0321</c:v>
                </c:pt>
                <c:pt idx="1">
                  <c:v>93.47250000000001</c:v>
                </c:pt>
                <c:pt idx="2">
                  <c:v>117.1625</c:v>
                </c:pt>
                <c:pt idx="3">
                  <c:v>164.8</c:v>
                </c:pt>
                <c:pt idx="4">
                  <c:v>168.92</c:v>
                </c:pt>
                <c:pt idx="5">
                  <c:v>128.853</c:v>
                </c:pt>
                <c:pt idx="6">
                  <c:v>96.30500000000001</c:v>
                </c:pt>
                <c:pt idx="7">
                  <c:v>121.128</c:v>
                </c:pt>
                <c:pt idx="8">
                  <c:v>278.1</c:v>
                </c:pt>
                <c:pt idx="9">
                  <c:v>232.04355</c:v>
                </c:pt>
                <c:pt idx="10">
                  <c:v>258.324</c:v>
                </c:pt>
                <c:pt idx="11">
                  <c:v>192.816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Sheet1!$A$75</c:f>
              <c:strCache>
                <c:ptCount val="1"/>
                <c:pt idx="0">
                  <c:v>LOCAL / "CASTLEGAR"</c:v>
                </c:pt>
              </c:strCache>
            </c:strRef>
          </c:tx>
          <c:spPr>
            <a:ln>
              <a:solidFill>
                <a:schemeClr val="accent5"/>
              </a:solidFill>
            </a:ln>
          </c:spPr>
          <c:marker>
            <c:spPr>
              <a:solidFill>
                <a:schemeClr val="accent5"/>
              </a:solidFill>
            </c:spPr>
          </c:marker>
          <c:val>
            <c:numRef>
              <c:f>Sheet1!$D$75:$P$75</c:f>
              <c:numCache>
                <c:formatCode>"$"#,##0.00</c:formatCode>
                <c:ptCount val="13"/>
                <c:pt idx="0">
                  <c:v>59.3306572247682</c:v>
                </c:pt>
                <c:pt idx="1">
                  <c:v>63.16367625167943</c:v>
                </c:pt>
                <c:pt idx="2">
                  <c:v>76.08033034108401</c:v>
                </c:pt>
                <c:pt idx="3">
                  <c:v>90.10518295463253</c:v>
                </c:pt>
                <c:pt idx="4">
                  <c:v>95.917961638626</c:v>
                </c:pt>
                <c:pt idx="5">
                  <c:v>86.15077621839885</c:v>
                </c:pt>
                <c:pt idx="6">
                  <c:v>79.82112718334714</c:v>
                </c:pt>
                <c:pt idx="7">
                  <c:v>57.75484871516466</c:v>
                </c:pt>
                <c:pt idx="8">
                  <c:v>42.7191379127494</c:v>
                </c:pt>
                <c:pt idx="9">
                  <c:v>51.9485190282847</c:v>
                </c:pt>
                <c:pt idx="10">
                  <c:v>60.41478853368165</c:v>
                </c:pt>
                <c:pt idx="11">
                  <c:v>61.82316911543622</c:v>
                </c:pt>
                <c:pt idx="12">
                  <c:v>68.76918125982108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958552"/>
        <c:axId val="2079706216"/>
      </c:lineChart>
      <c:catAx>
        <c:axId val="214695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706216"/>
        <c:crosses val="autoZero"/>
        <c:auto val="1"/>
        <c:lblAlgn val="ctr"/>
        <c:lblOffset val="100"/>
        <c:noMultiLvlLbl val="0"/>
      </c:catAx>
      <c:valAx>
        <c:axId val="2079706216"/>
        <c:scaling>
          <c:orientation val="minMax"/>
          <c:min val="2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958552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50</xdr:row>
      <xdr:rowOff>76200</xdr:rowOff>
    </xdr:from>
    <xdr:to>
      <xdr:col>15</xdr:col>
      <xdr:colOff>76200</xdr:colOff>
      <xdr:row>70</xdr:row>
      <xdr:rowOff>104774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52386</xdr:colOff>
      <xdr:row>13</xdr:row>
      <xdr:rowOff>47624</xdr:rowOff>
    </xdr:from>
    <xdr:to>
      <xdr:col>15</xdr:col>
      <xdr:colOff>38099</xdr:colOff>
      <xdr:row>32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28574</xdr:colOff>
      <xdr:row>81</xdr:row>
      <xdr:rowOff>76200</xdr:rowOff>
    </xdr:from>
    <xdr:to>
      <xdr:col>15</xdr:col>
      <xdr:colOff>304800</xdr:colOff>
      <xdr:row>104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workbookViewId="0"/>
  </sheetViews>
  <sheetFormatPr baseColWidth="10" defaultColWidth="8.83203125" defaultRowHeight="14" x14ac:dyDescent="0"/>
  <cols>
    <col min="1" max="1" width="18.5" style="1" customWidth="1"/>
    <col min="2" max="2" width="10.1640625" style="1" customWidth="1"/>
    <col min="3" max="3" width="0" style="1" hidden="1" customWidth="1"/>
    <col min="4" max="16" width="8.83203125" style="1"/>
    <col min="17" max="29" width="8.83203125" style="1" hidden="1" customWidth="1"/>
    <col min="30" max="16384" width="8.83203125" style="1"/>
  </cols>
  <sheetData>
    <row r="1" spans="1:43">
      <c r="A1" s="24" t="s">
        <v>22</v>
      </c>
    </row>
    <row r="2" spans="1:43">
      <c r="A2" s="24" t="s">
        <v>25</v>
      </c>
    </row>
    <row r="3" spans="1:43">
      <c r="A3" s="19"/>
    </row>
    <row r="4" spans="1:43">
      <c r="B4" s="19" t="s">
        <v>24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43">
      <c r="D5" s="18" t="s">
        <v>17</v>
      </c>
      <c r="E5" s="18" t="s">
        <v>18</v>
      </c>
      <c r="F5" s="18" t="s">
        <v>7</v>
      </c>
      <c r="G5" s="18" t="s">
        <v>8</v>
      </c>
      <c r="H5" s="18" t="s">
        <v>9</v>
      </c>
      <c r="I5" s="18" t="s">
        <v>10</v>
      </c>
      <c r="J5" s="18" t="s">
        <v>11</v>
      </c>
      <c r="K5" s="18" t="s">
        <v>12</v>
      </c>
      <c r="L5" s="18" t="s">
        <v>13</v>
      </c>
      <c r="M5" s="18" t="s">
        <v>14</v>
      </c>
      <c r="N5" s="18" t="s">
        <v>15</v>
      </c>
      <c r="O5" s="18" t="s">
        <v>16</v>
      </c>
      <c r="P5" s="14" t="s">
        <v>6</v>
      </c>
      <c r="AF5" s="18" t="s">
        <v>7</v>
      </c>
      <c r="AG5" s="18" t="s">
        <v>8</v>
      </c>
      <c r="AH5" s="18" t="s">
        <v>9</v>
      </c>
      <c r="AI5" s="18" t="s">
        <v>10</v>
      </c>
      <c r="AJ5" s="18" t="s">
        <v>11</v>
      </c>
      <c r="AK5" s="18" t="s">
        <v>12</v>
      </c>
      <c r="AL5" s="18" t="s">
        <v>13</v>
      </c>
      <c r="AM5" s="18" t="s">
        <v>14</v>
      </c>
      <c r="AN5" s="18" t="s">
        <v>15</v>
      </c>
      <c r="AO5" s="18" t="s">
        <v>16</v>
      </c>
      <c r="AP5" s="18" t="s">
        <v>17</v>
      </c>
      <c r="AQ5" s="18" t="s">
        <v>18</v>
      </c>
    </row>
    <row r="6" spans="1:43">
      <c r="A6" s="1" t="s">
        <v>0</v>
      </c>
      <c r="B6" s="19" t="s">
        <v>26</v>
      </c>
      <c r="D6" s="7">
        <v>32.489167388840698</v>
      </c>
      <c r="E6" s="6">
        <v>24.6389693398581</v>
      </c>
      <c r="F6" s="7">
        <v>48.582538262770797</v>
      </c>
      <c r="G6" s="7">
        <v>64.935464635389593</v>
      </c>
      <c r="H6" s="7">
        <v>63.554759357002801</v>
      </c>
      <c r="I6" s="7">
        <v>50.143283582089502</v>
      </c>
      <c r="J6" s="7">
        <v>29.747953779489599</v>
      </c>
      <c r="K6" s="7">
        <v>22.196964159539899</v>
      </c>
      <c r="L6" s="7">
        <v>55.654258199911901</v>
      </c>
      <c r="M6" s="7">
        <v>65.2193337716255</v>
      </c>
      <c r="N6" s="7">
        <v>71.863689738928997</v>
      </c>
      <c r="O6" s="7">
        <v>71.635244115082799</v>
      </c>
      <c r="P6" s="6">
        <f>SUM(D6:O6)/12</f>
        <v>50.055135527544188</v>
      </c>
      <c r="AF6" s="7">
        <v>48.582538262770797</v>
      </c>
      <c r="AG6" s="7">
        <v>64.935464635389593</v>
      </c>
      <c r="AH6" s="7">
        <v>63.554759357002801</v>
      </c>
      <c r="AI6" s="7">
        <v>50.143283582089502</v>
      </c>
      <c r="AJ6" s="7">
        <v>29.747953779489599</v>
      </c>
      <c r="AK6" s="7">
        <v>22.196964159539899</v>
      </c>
      <c r="AL6" s="7">
        <v>55.654258199911901</v>
      </c>
      <c r="AM6" s="7">
        <v>65.2193337716255</v>
      </c>
      <c r="AN6" s="7">
        <v>71.863689738928997</v>
      </c>
      <c r="AO6" s="7">
        <v>71.635244115082799</v>
      </c>
      <c r="AP6" s="7">
        <v>32.489167388840698</v>
      </c>
      <c r="AQ6" s="6">
        <v>24.6389693398581</v>
      </c>
    </row>
    <row r="7" spans="1:43">
      <c r="A7" s="19" t="s">
        <v>40</v>
      </c>
      <c r="B7" s="19" t="s">
        <v>27</v>
      </c>
      <c r="D7" s="7">
        <v>48.712734548161599</v>
      </c>
      <c r="E7" s="6">
        <v>52.548099122199403</v>
      </c>
      <c r="F7" s="7">
        <v>61.569066925536703</v>
      </c>
      <c r="G7" s="7">
        <v>66.043438109413103</v>
      </c>
      <c r="H7" s="7">
        <v>73.164760753916198</v>
      </c>
      <c r="I7" s="7">
        <v>67.544096746357994</v>
      </c>
      <c r="J7" s="7">
        <v>63.510965752516199</v>
      </c>
      <c r="K7" s="7">
        <v>49.246167707222902</v>
      </c>
      <c r="L7" s="7">
        <v>35.6703636707486</v>
      </c>
      <c r="M7" s="7">
        <v>42.134272290091701</v>
      </c>
      <c r="N7" s="7">
        <v>47.227751310665802</v>
      </c>
      <c r="O7" s="7">
        <v>49.660662795895398</v>
      </c>
      <c r="P7" s="6">
        <f>SUM(D7:O7)/12</f>
        <v>54.752698311060463</v>
      </c>
      <c r="AF7" s="7">
        <v>61.569066925536703</v>
      </c>
      <c r="AG7" s="7">
        <v>66.043438109413103</v>
      </c>
      <c r="AH7" s="7">
        <v>73.164760753916198</v>
      </c>
      <c r="AI7" s="7">
        <v>67.544096746357994</v>
      </c>
      <c r="AJ7" s="7">
        <v>63.510965752516199</v>
      </c>
      <c r="AK7" s="7">
        <v>49.246167707222902</v>
      </c>
      <c r="AL7" s="7">
        <v>35.6703636707486</v>
      </c>
      <c r="AM7" s="7">
        <v>42.134272290091701</v>
      </c>
      <c r="AN7" s="7">
        <v>47.227751310665802</v>
      </c>
      <c r="AO7" s="7">
        <v>49.660662795895398</v>
      </c>
      <c r="AP7" s="7">
        <v>48.712734548161599</v>
      </c>
      <c r="AQ7" s="6">
        <v>52.548099122199403</v>
      </c>
    </row>
    <row r="8" spans="1:43">
      <c r="A8" s="1" t="s">
        <v>3</v>
      </c>
      <c r="B8" s="27" t="s">
        <v>28</v>
      </c>
      <c r="D8" s="7">
        <v>48.502358490566003</v>
      </c>
      <c r="E8" s="6">
        <v>53.237218502738799</v>
      </c>
      <c r="F8" s="7">
        <v>66.099257884972104</v>
      </c>
      <c r="G8" s="7">
        <v>84.158238075288693</v>
      </c>
      <c r="H8" s="7">
        <v>87.354120533843997</v>
      </c>
      <c r="I8" s="7">
        <v>69.528447742733405</v>
      </c>
      <c r="J8" s="7">
        <v>53.311089831827097</v>
      </c>
      <c r="K8" s="7">
        <v>41.909400123685799</v>
      </c>
      <c r="L8" s="7">
        <v>48.291295561709397</v>
      </c>
      <c r="M8" s="7">
        <v>55.556868460094201</v>
      </c>
      <c r="N8" s="7">
        <v>69.554413746630701</v>
      </c>
      <c r="O8" s="7">
        <v>61.865997159667202</v>
      </c>
      <c r="P8" s="6">
        <f t="shared" ref="P8:P9" si="0">SUM(D8:O8)/12</f>
        <v>61.614058842813115</v>
      </c>
      <c r="AF8" s="7">
        <v>66.099257884972104</v>
      </c>
      <c r="AG8" s="7">
        <v>84.158238075288693</v>
      </c>
      <c r="AH8" s="7">
        <v>87.354120533843997</v>
      </c>
      <c r="AI8" s="7">
        <v>69.528447742733405</v>
      </c>
      <c r="AJ8" s="7">
        <v>53.311089831827097</v>
      </c>
      <c r="AK8" s="7">
        <v>41.909400123685799</v>
      </c>
      <c r="AL8" s="7">
        <v>48.291295561709397</v>
      </c>
      <c r="AM8" s="7">
        <v>55.556868460094201</v>
      </c>
      <c r="AN8" s="7">
        <v>69.554413746630701</v>
      </c>
      <c r="AO8" s="7">
        <v>61.865997159667202</v>
      </c>
      <c r="AP8" s="7">
        <v>48.502358490566003</v>
      </c>
      <c r="AQ8" s="6">
        <v>53.237218502738799</v>
      </c>
    </row>
    <row r="9" spans="1:43">
      <c r="A9" s="1" t="s">
        <v>4</v>
      </c>
      <c r="B9" s="13" t="s">
        <v>27</v>
      </c>
      <c r="D9" s="7">
        <v>49.383367742495999</v>
      </c>
      <c r="E9" s="6">
        <v>40.385828452886102</v>
      </c>
      <c r="F9" s="7">
        <v>50.684797910718402</v>
      </c>
      <c r="G9" s="7">
        <v>63.6026879678057</v>
      </c>
      <c r="H9" s="7">
        <v>70.791732730959097</v>
      </c>
      <c r="I9" s="7">
        <v>53.625611268961201</v>
      </c>
      <c r="J9" s="7">
        <v>28.5345738954517</v>
      </c>
      <c r="K9" s="7">
        <v>25.539142498540301</v>
      </c>
      <c r="L9" s="7">
        <v>60.575218999277503</v>
      </c>
      <c r="M9" s="7">
        <v>70.145063911413601</v>
      </c>
      <c r="N9" s="7">
        <v>77.062415880801694</v>
      </c>
      <c r="O9" s="7">
        <v>71.952530429034297</v>
      </c>
      <c r="P9" s="6">
        <f t="shared" si="0"/>
        <v>55.190247640695475</v>
      </c>
      <c r="Q9" s="5">
        <f>(D6+D8+D9)/3</f>
        <v>43.458297873967574</v>
      </c>
      <c r="R9" s="5">
        <f t="shared" ref="R9:AB9" si="1">(E6+E8+E9)/3</f>
        <v>39.420672098494329</v>
      </c>
      <c r="S9" s="5">
        <f t="shared" si="1"/>
        <v>55.122198019487108</v>
      </c>
      <c r="T9" s="5">
        <f t="shared" si="1"/>
        <v>70.898796892828003</v>
      </c>
      <c r="U9" s="5">
        <f t="shared" si="1"/>
        <v>73.900204207268629</v>
      </c>
      <c r="V9" s="5">
        <f t="shared" si="1"/>
        <v>57.765780864594696</v>
      </c>
      <c r="W9" s="5">
        <f t="shared" si="1"/>
        <v>37.197872502256132</v>
      </c>
      <c r="X9" s="5">
        <f t="shared" si="1"/>
        <v>29.881835593922002</v>
      </c>
      <c r="Y9" s="5">
        <f t="shared" si="1"/>
        <v>54.840257586966267</v>
      </c>
      <c r="Z9" s="5">
        <f t="shared" si="1"/>
        <v>63.640422047711105</v>
      </c>
      <c r="AA9" s="5">
        <f t="shared" si="1"/>
        <v>72.826839788787126</v>
      </c>
      <c r="AB9" s="5">
        <f t="shared" si="1"/>
        <v>68.484590567928095</v>
      </c>
      <c r="AC9" s="5"/>
      <c r="AD9" s="5"/>
      <c r="AE9" s="5"/>
      <c r="AF9" s="7">
        <v>50.684797910718402</v>
      </c>
      <c r="AG9" s="7">
        <v>63.6026879678057</v>
      </c>
      <c r="AH9" s="7">
        <v>70.791732730959097</v>
      </c>
      <c r="AI9" s="7">
        <v>53.625611268961201</v>
      </c>
      <c r="AJ9" s="7">
        <v>28.5345738954517</v>
      </c>
      <c r="AK9" s="7">
        <v>25.539142498540301</v>
      </c>
      <c r="AL9" s="7">
        <v>60.575218999277503</v>
      </c>
      <c r="AM9" s="7">
        <v>70.145063911413601</v>
      </c>
      <c r="AN9" s="7">
        <v>77.062415880801694</v>
      </c>
      <c r="AO9" s="7">
        <v>71.952530429034297</v>
      </c>
      <c r="AP9" s="7">
        <v>49.383367742495999</v>
      </c>
      <c r="AQ9" s="6">
        <v>40.385828452886102</v>
      </c>
    </row>
    <row r="10" spans="1:43">
      <c r="A10" s="19" t="s">
        <v>20</v>
      </c>
      <c r="D10" s="6">
        <f t="shared" ref="D10" si="2">AVERAGE(D6:D9)</f>
        <v>44.771907042516077</v>
      </c>
      <c r="E10" s="6">
        <f t="shared" ref="E10" si="3">AVERAGE(E6:E9)</f>
        <v>42.702528854420599</v>
      </c>
      <c r="F10" s="6">
        <f t="shared" ref="F10" si="4">AVERAGE(F6:F9)</f>
        <v>56.733915245999505</v>
      </c>
      <c r="G10" s="6">
        <f t="shared" ref="G10" si="5">AVERAGE(G6:G9)</f>
        <v>69.684957196974267</v>
      </c>
      <c r="H10" s="6">
        <f t="shared" ref="H10" si="6">AVERAGE(H6:H9)</f>
        <v>73.716343343930532</v>
      </c>
      <c r="I10" s="6">
        <f t="shared" ref="I10" si="7">AVERAGE(I6:I9)</f>
        <v>60.210359835035526</v>
      </c>
      <c r="J10" s="6">
        <f t="shared" ref="J10" si="8">AVERAGE(J6:J9)</f>
        <v>43.776145814821149</v>
      </c>
      <c r="K10" s="6">
        <f t="shared" ref="K10" si="9">AVERAGE(K6:K9)</f>
        <v>34.722918622247221</v>
      </c>
      <c r="L10" s="6">
        <f t="shared" ref="L10" si="10">AVERAGE(L6:L9)</f>
        <v>50.047784107911852</v>
      </c>
      <c r="M10" s="6">
        <f t="shared" ref="M10" si="11">AVERAGE(M6:M9)</f>
        <v>58.263884608306256</v>
      </c>
      <c r="N10" s="6">
        <f t="shared" ref="N10" si="12">AVERAGE(N6:N9)</f>
        <v>66.4270676692568</v>
      </c>
      <c r="O10" s="6">
        <f t="shared" ref="O10" si="13">AVERAGE(O6:O9)</f>
        <v>63.778608624919926</v>
      </c>
      <c r="P10" s="6">
        <f>SUM(D10:O10)/12</f>
        <v>55.403035080528305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>
        <f t="shared" ref="AF10" si="14">AVERAGE(AF6:AF9)</f>
        <v>56.733915245999505</v>
      </c>
      <c r="AG10" s="6">
        <f t="shared" ref="AG10" si="15">AVERAGE(AG6:AG9)</f>
        <v>69.684957196974267</v>
      </c>
      <c r="AH10" s="6">
        <f t="shared" ref="AH10" si="16">AVERAGE(AH6:AH9)</f>
        <v>73.716343343930532</v>
      </c>
      <c r="AI10" s="6">
        <f t="shared" ref="AI10" si="17">AVERAGE(AI6:AI9)</f>
        <v>60.210359835035526</v>
      </c>
      <c r="AJ10" s="6">
        <f t="shared" ref="AJ10" si="18">AVERAGE(AJ6:AJ9)</f>
        <v>43.776145814821149</v>
      </c>
      <c r="AK10" s="6">
        <f t="shared" ref="AK10" si="19">AVERAGE(AK6:AK9)</f>
        <v>34.722918622247221</v>
      </c>
      <c r="AL10" s="6">
        <f t="shared" ref="AL10" si="20">AVERAGE(AL6:AL9)</f>
        <v>50.047784107911852</v>
      </c>
      <c r="AM10" s="6">
        <f t="shared" ref="AM10" si="21">AVERAGE(AM6:AM9)</f>
        <v>58.263884608306256</v>
      </c>
      <c r="AN10" s="6">
        <f t="shared" ref="AN10" si="22">AVERAGE(AN6:AN9)</f>
        <v>66.4270676692568</v>
      </c>
      <c r="AO10" s="6">
        <f t="shared" ref="AO10" si="23">AVERAGE(AO6:AO9)</f>
        <v>63.778608624919926</v>
      </c>
      <c r="AP10" s="6">
        <f t="shared" ref="AP10" si="24">AVERAGE(AP6:AP9)</f>
        <v>44.771907042516077</v>
      </c>
      <c r="AQ10" s="6">
        <f t="shared" ref="AQ10" si="25">AVERAGE(AQ6:AQ9)</f>
        <v>42.702528854420599</v>
      </c>
    </row>
    <row r="11" spans="1:43">
      <c r="A11" s="19" t="s">
        <v>23</v>
      </c>
      <c r="D11" s="8">
        <v>56.2</v>
      </c>
      <c r="E11" s="8">
        <v>55.000000000000007</v>
      </c>
      <c r="F11" s="8">
        <v>65</v>
      </c>
      <c r="G11" s="8">
        <v>80</v>
      </c>
      <c r="H11" s="8">
        <v>80</v>
      </c>
      <c r="I11" s="8">
        <v>69.5</v>
      </c>
      <c r="J11" s="8">
        <v>55.000000000000007</v>
      </c>
      <c r="K11" s="8">
        <v>48</v>
      </c>
      <c r="L11" s="8">
        <v>60</v>
      </c>
      <c r="M11" s="8">
        <v>65.3</v>
      </c>
      <c r="N11" s="8">
        <v>76</v>
      </c>
      <c r="O11" s="8">
        <v>72</v>
      </c>
      <c r="P11" s="8">
        <f t="shared" ref="P11" si="26">+AC12*100</f>
        <v>65.2</v>
      </c>
      <c r="Q11" s="12">
        <v>1.0059200248338946</v>
      </c>
      <c r="R11" s="12">
        <v>0.98166357670628868</v>
      </c>
      <c r="S11" s="12">
        <v>0.96844240218951338</v>
      </c>
      <c r="T11" s="12">
        <v>1.2582170097906498</v>
      </c>
      <c r="U11" s="12">
        <v>1.4441590770340791</v>
      </c>
      <c r="V11" s="12">
        <v>1.2189444905071316</v>
      </c>
      <c r="W11" s="12">
        <v>1.1861133596926023</v>
      </c>
      <c r="X11" s="12">
        <v>1.1482777591405153</v>
      </c>
      <c r="Y11" s="12">
        <v>1.2597305041019526</v>
      </c>
      <c r="Z11" s="12">
        <v>1.5407562402627308</v>
      </c>
      <c r="AA11" s="12">
        <v>1.5307916146059437</v>
      </c>
      <c r="AB11" s="12">
        <v>1.0462904248573242</v>
      </c>
      <c r="AF11" s="8">
        <v>65</v>
      </c>
      <c r="AG11" s="8">
        <v>80</v>
      </c>
      <c r="AH11" s="8">
        <v>80</v>
      </c>
      <c r="AI11" s="8">
        <v>69.5</v>
      </c>
      <c r="AJ11" s="8">
        <v>55.000000000000007</v>
      </c>
      <c r="AK11" s="8">
        <v>48</v>
      </c>
      <c r="AL11" s="8">
        <v>60</v>
      </c>
      <c r="AM11" s="8">
        <v>65.3</v>
      </c>
      <c r="AN11" s="8">
        <v>76</v>
      </c>
      <c r="AO11" s="8">
        <v>72</v>
      </c>
      <c r="AP11" s="8">
        <v>56.2</v>
      </c>
      <c r="AQ11" s="8">
        <v>55.000000000000007</v>
      </c>
    </row>
    <row r="12" spans="1:43">
      <c r="Q12" s="15">
        <v>0.65300000000000002</v>
      </c>
      <c r="R12" s="15">
        <v>0.76</v>
      </c>
      <c r="S12" s="15">
        <v>0.72</v>
      </c>
      <c r="T12" s="15">
        <v>0.56200000000000006</v>
      </c>
      <c r="U12" s="15">
        <v>0.55000000000000004</v>
      </c>
      <c r="V12" s="15">
        <v>0.65</v>
      </c>
      <c r="W12" s="15">
        <v>0.8</v>
      </c>
      <c r="X12" s="15">
        <v>0.8</v>
      </c>
      <c r="Y12" s="15">
        <v>0.69499999999999995</v>
      </c>
      <c r="Z12" s="15">
        <v>0.55000000000000004</v>
      </c>
      <c r="AA12" s="15">
        <v>0.48</v>
      </c>
      <c r="AB12" s="15">
        <v>0.6</v>
      </c>
      <c r="AC12" s="16">
        <v>0.65200000000000002</v>
      </c>
    </row>
    <row r="13" spans="1:43">
      <c r="A13" s="13"/>
    </row>
    <row r="34" spans="1:31">
      <c r="B34" s="1" t="s">
        <v>1</v>
      </c>
      <c r="D34" s="25">
        <v>2015</v>
      </c>
      <c r="E34" s="25"/>
      <c r="F34" s="25"/>
      <c r="G34" s="25"/>
      <c r="H34" s="25"/>
      <c r="I34" s="25"/>
      <c r="J34" s="25"/>
      <c r="L34" s="25"/>
      <c r="M34" s="25">
        <v>2016</v>
      </c>
    </row>
    <row r="35" spans="1:31">
      <c r="D35" s="18" t="s">
        <v>29</v>
      </c>
      <c r="E35" s="18" t="s">
        <v>30</v>
      </c>
      <c r="F35" s="18" t="s">
        <v>31</v>
      </c>
      <c r="G35" s="18" t="s">
        <v>32</v>
      </c>
      <c r="H35" s="18" t="s">
        <v>33</v>
      </c>
      <c r="I35" s="18" t="s">
        <v>34</v>
      </c>
      <c r="J35" s="18" t="s">
        <v>11</v>
      </c>
      <c r="K35" s="18" t="s">
        <v>35</v>
      </c>
      <c r="L35" s="18" t="s">
        <v>36</v>
      </c>
      <c r="M35" s="18" t="s">
        <v>37</v>
      </c>
      <c r="N35" s="18" t="s">
        <v>38</v>
      </c>
      <c r="O35" s="18" t="s">
        <v>39</v>
      </c>
    </row>
    <row r="36" spans="1:31">
      <c r="A36" s="1" t="s">
        <v>0</v>
      </c>
      <c r="B36" s="19" t="s">
        <v>48</v>
      </c>
      <c r="D36" s="9">
        <v>221.39613899613801</v>
      </c>
      <c r="E36" s="9">
        <v>161.73468834688299</v>
      </c>
      <c r="F36" s="9">
        <v>215.27894191121501</v>
      </c>
      <c r="G36" s="9">
        <v>253.59981313044599</v>
      </c>
      <c r="H36" s="9">
        <v>239.96204830216001</v>
      </c>
      <c r="I36" s="9">
        <v>203.41063237438601</v>
      </c>
      <c r="J36" s="9">
        <v>175.78731775052</v>
      </c>
      <c r="K36" s="9">
        <v>182.26117327069201</v>
      </c>
      <c r="L36" s="9">
        <v>544.10495206981</v>
      </c>
      <c r="M36" s="9">
        <v>489.80511775197402</v>
      </c>
      <c r="N36" s="9">
        <v>517.60575111734897</v>
      </c>
      <c r="O36" s="9">
        <v>486.17975946985098</v>
      </c>
    </row>
    <row r="37" spans="1:31">
      <c r="A37" s="19" t="s">
        <v>41</v>
      </c>
      <c r="B37" s="19" t="s">
        <v>48</v>
      </c>
      <c r="D37" s="9">
        <v>98.621065808297502</v>
      </c>
      <c r="E37" s="9">
        <v>98.606758574310604</v>
      </c>
      <c r="F37" s="9">
        <v>99.974984839296496</v>
      </c>
      <c r="G37" s="9">
        <v>106.25639449090001</v>
      </c>
      <c r="H37" s="9">
        <v>99.6947368421052</v>
      </c>
      <c r="I37" s="9">
        <v>96.117147495940998</v>
      </c>
      <c r="J37" s="9">
        <v>96.233429394812603</v>
      </c>
      <c r="K37" s="9">
        <v>88.245187436676702</v>
      </c>
      <c r="L37" s="9">
        <v>87.289263947491705</v>
      </c>
      <c r="M37" s="9">
        <v>86.948369565217305</v>
      </c>
      <c r="N37" s="9">
        <v>92.764482431149005</v>
      </c>
      <c r="O37" s="9">
        <v>94.168856534090907</v>
      </c>
    </row>
    <row r="38" spans="1:31">
      <c r="A38" s="19"/>
      <c r="B38" s="19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</row>
    <row r="39" spans="1:31">
      <c r="A39" s="19" t="s">
        <v>49</v>
      </c>
      <c r="B39" s="19"/>
      <c r="D39" s="9">
        <v>1.2350000000000001</v>
      </c>
      <c r="E39" s="9">
        <v>1.2190000000000001</v>
      </c>
      <c r="F39" s="9">
        <v>1.236</v>
      </c>
      <c r="G39" s="9">
        <v>1.284</v>
      </c>
      <c r="H39" s="9">
        <v>1.3149999999999999</v>
      </c>
      <c r="I39" s="9">
        <v>1.327</v>
      </c>
      <c r="J39" s="9">
        <v>1.306</v>
      </c>
      <c r="K39" s="9">
        <v>1.329</v>
      </c>
      <c r="L39" s="9">
        <v>1.3720000000000001</v>
      </c>
      <c r="M39" s="9">
        <v>1.4179999999999999</v>
      </c>
      <c r="N39" s="9">
        <v>1.379</v>
      </c>
      <c r="O39" s="9">
        <v>1.3220000000000001</v>
      </c>
    </row>
    <row r="41" spans="1:31">
      <c r="B41" s="1" t="s">
        <v>1</v>
      </c>
      <c r="D41" s="25">
        <v>2015</v>
      </c>
      <c r="E41" s="25"/>
      <c r="F41" s="25"/>
      <c r="G41" s="25"/>
      <c r="H41" s="25"/>
      <c r="I41" s="25"/>
      <c r="J41" s="25"/>
      <c r="L41" s="25"/>
      <c r="M41" s="25">
        <v>2016</v>
      </c>
      <c r="N41" s="25"/>
      <c r="O41" s="25"/>
      <c r="AE41" s="1">
        <f>4.4*43560*6</f>
        <v>1149984.0000000002</v>
      </c>
    </row>
    <row r="42" spans="1:31">
      <c r="D42" s="18" t="s">
        <v>29</v>
      </c>
      <c r="E42" s="18" t="s">
        <v>30</v>
      </c>
      <c r="F42" s="18" t="s">
        <v>31</v>
      </c>
      <c r="G42" s="18" t="s">
        <v>32</v>
      </c>
      <c r="H42" s="18" t="s">
        <v>33</v>
      </c>
      <c r="I42" s="18" t="s">
        <v>34</v>
      </c>
      <c r="J42" s="18" t="s">
        <v>11</v>
      </c>
      <c r="K42" s="18" t="s">
        <v>35</v>
      </c>
      <c r="L42" s="18" t="s">
        <v>36</v>
      </c>
      <c r="M42" s="18" t="s">
        <v>37</v>
      </c>
      <c r="N42" s="18" t="s">
        <v>38</v>
      </c>
      <c r="O42" s="18" t="s">
        <v>39</v>
      </c>
      <c r="P42" s="14"/>
      <c r="AE42" s="1">
        <f>4.4*43560*8</f>
        <v>1533312.0000000002</v>
      </c>
    </row>
    <row r="43" spans="1:31">
      <c r="A43" s="1" t="s">
        <v>0</v>
      </c>
      <c r="B43" s="19" t="s">
        <v>47</v>
      </c>
      <c r="D43" s="9">
        <f>D36*D39</f>
        <v>273.42423166023048</v>
      </c>
      <c r="E43" s="9">
        <f t="shared" ref="E43:O43" si="27">E36*E39</f>
        <v>197.15458509485038</v>
      </c>
      <c r="F43" s="9">
        <f t="shared" si="27"/>
        <v>266.08477220226177</v>
      </c>
      <c r="G43" s="9">
        <f t="shared" si="27"/>
        <v>325.62216005949267</v>
      </c>
      <c r="H43" s="9">
        <f t="shared" si="27"/>
        <v>315.55009351734043</v>
      </c>
      <c r="I43" s="9">
        <f t="shared" si="27"/>
        <v>269.92590916081025</v>
      </c>
      <c r="J43" s="9">
        <f t="shared" si="27"/>
        <v>229.57823698217913</v>
      </c>
      <c r="K43" s="9">
        <f t="shared" si="27"/>
        <v>242.22509927674969</v>
      </c>
      <c r="L43" s="9">
        <f t="shared" si="27"/>
        <v>746.51199423977937</v>
      </c>
      <c r="M43" s="9">
        <f t="shared" si="27"/>
        <v>694.54365697229912</v>
      </c>
      <c r="N43" s="9">
        <f t="shared" si="27"/>
        <v>713.77833079082427</v>
      </c>
      <c r="O43" s="9">
        <f t="shared" si="27"/>
        <v>642.72964201914306</v>
      </c>
      <c r="P43" s="14"/>
      <c r="AE43" s="1">
        <f>AE42-AE41</f>
        <v>383328</v>
      </c>
    </row>
    <row r="44" spans="1:31">
      <c r="A44" s="19" t="s">
        <v>41</v>
      </c>
      <c r="B44" s="19" t="s">
        <v>47</v>
      </c>
      <c r="D44" s="9">
        <f>D37*D39</f>
        <v>121.79701627324742</v>
      </c>
      <c r="E44" s="9">
        <f t="shared" ref="E44:O44" si="28">E37*E39</f>
        <v>120.20163870208464</v>
      </c>
      <c r="F44" s="9">
        <f t="shared" si="28"/>
        <v>123.56908126137047</v>
      </c>
      <c r="G44" s="9">
        <f t="shared" si="28"/>
        <v>136.43321052631561</v>
      </c>
      <c r="H44" s="9">
        <f t="shared" si="28"/>
        <v>131.09857894736834</v>
      </c>
      <c r="I44" s="9">
        <f t="shared" si="28"/>
        <v>127.5474547271137</v>
      </c>
      <c r="J44" s="9">
        <f t="shared" si="28"/>
        <v>125.68085878962526</v>
      </c>
      <c r="K44" s="9">
        <f t="shared" si="28"/>
        <v>117.27785410334333</v>
      </c>
      <c r="L44" s="9">
        <f t="shared" si="28"/>
        <v>119.76087013595863</v>
      </c>
      <c r="M44" s="9">
        <f t="shared" si="28"/>
        <v>123.29278804347813</v>
      </c>
      <c r="N44" s="9">
        <f t="shared" si="28"/>
        <v>127.92222127255448</v>
      </c>
      <c r="O44" s="9">
        <f t="shared" si="28"/>
        <v>124.49122833806818</v>
      </c>
      <c r="P44" s="14"/>
    </row>
    <row r="45" spans="1:31">
      <c r="A45" s="1" t="s">
        <v>3</v>
      </c>
      <c r="B45" s="19" t="s">
        <v>42</v>
      </c>
      <c r="D45" s="9">
        <v>115.46994763743299</v>
      </c>
      <c r="E45" s="9">
        <v>108.653517738494</v>
      </c>
      <c r="F45" s="9">
        <v>118.907733871587</v>
      </c>
      <c r="G45" s="9">
        <v>144.75157303566201</v>
      </c>
      <c r="H45" s="9">
        <v>149.115822930051</v>
      </c>
      <c r="I45" s="9">
        <v>129.33357005572699</v>
      </c>
      <c r="J45" s="9">
        <v>112.810120048019</v>
      </c>
      <c r="K45" s="9">
        <v>115.004841555312</v>
      </c>
      <c r="L45" s="9">
        <v>134.348792087216</v>
      </c>
      <c r="M45" s="9">
        <v>135.167682846715</v>
      </c>
      <c r="N45" s="9">
        <v>144.23439185881699</v>
      </c>
      <c r="O45" s="9">
        <v>135.05061066018001</v>
      </c>
      <c r="P45" s="14"/>
      <c r="AE45" s="1">
        <f>AE43/60000</f>
        <v>6.3887999999999998</v>
      </c>
    </row>
    <row r="46" spans="1:31">
      <c r="A46" s="1" t="s">
        <v>4</v>
      </c>
      <c r="B46" s="27" t="s">
        <v>43</v>
      </c>
      <c r="D46" s="10">
        <v>218.14311774180001</v>
      </c>
      <c r="E46" s="10">
        <v>180.214604642475</v>
      </c>
      <c r="F46" s="10">
        <v>199.78763885021101</v>
      </c>
      <c r="G46" s="10">
        <v>224.969646088053</v>
      </c>
      <c r="H46" s="10">
        <v>252.726320964736</v>
      </c>
      <c r="I46" s="10">
        <v>204.787583093525</v>
      </c>
      <c r="J46" s="10">
        <v>176.77711919825299</v>
      </c>
      <c r="K46" s="10">
        <v>194.34768557487001</v>
      </c>
      <c r="L46" s="10">
        <v>539.72284618296305</v>
      </c>
      <c r="M46" s="10">
        <v>397.94772762641202</v>
      </c>
      <c r="N46" s="10">
        <v>419.34140673958802</v>
      </c>
      <c r="O46" s="10">
        <v>366.02603345033998</v>
      </c>
      <c r="P46" s="14"/>
      <c r="Q46" s="3">
        <f>(D43+D45+D46)/3</f>
        <v>202.34576567982117</v>
      </c>
      <c r="R46" s="3">
        <f t="shared" ref="R46" si="29">(E43+E45+E46)/3</f>
        <v>162.00756915860646</v>
      </c>
      <c r="S46" s="3">
        <f t="shared" ref="S46" si="30">(F43+F45+F46)/3</f>
        <v>194.92671497468658</v>
      </c>
      <c r="T46" s="3">
        <f t="shared" ref="T46" si="31">(G43+G45+G46)/3</f>
        <v>231.78112639440255</v>
      </c>
      <c r="U46" s="3">
        <f t="shared" ref="U46" si="32">(H43+H45+H46)/3</f>
        <v>239.13074580404248</v>
      </c>
      <c r="V46" s="3">
        <f t="shared" ref="V46" si="33">(I43+I45+I46)/3</f>
        <v>201.34902077002073</v>
      </c>
      <c r="W46" s="3">
        <f t="shared" ref="W46" si="34">(J43+J45+J46)/3</f>
        <v>173.05515874281704</v>
      </c>
      <c r="X46" s="3">
        <f t="shared" ref="X46" si="35">(K43+K45+K46)/3</f>
        <v>183.85920880231058</v>
      </c>
      <c r="Y46" s="3">
        <f t="shared" ref="Y46" si="36">(L43+L45+L46)/3</f>
        <v>473.52787750331953</v>
      </c>
      <c r="Z46" s="3">
        <f t="shared" ref="Z46" si="37">(M43+M45+M46)/3</f>
        <v>409.21968914847542</v>
      </c>
      <c r="AA46" s="3">
        <f t="shared" ref="AA46" si="38">(N43+N45+N46)/3</f>
        <v>425.7847097964098</v>
      </c>
      <c r="AB46" s="3">
        <f t="shared" ref="AB46" si="39">(O43+O45+O46)/3</f>
        <v>381.26876204322099</v>
      </c>
      <c r="AE46" s="1">
        <f>2.5/6</f>
        <v>0.41666666666666669</v>
      </c>
    </row>
    <row r="47" spans="1:31">
      <c r="A47" s="19" t="s">
        <v>19</v>
      </c>
      <c r="B47" s="27" t="s">
        <v>44</v>
      </c>
      <c r="D47" s="10">
        <f t="shared" ref="D47:O47" si="40">AVERAGE(D43:D46)</f>
        <v>182.20857832817774</v>
      </c>
      <c r="E47" s="10">
        <f t="shared" si="40"/>
        <v>151.55608654447602</v>
      </c>
      <c r="F47" s="10">
        <f t="shared" si="40"/>
        <v>177.08730654635755</v>
      </c>
      <c r="G47" s="10">
        <f t="shared" si="40"/>
        <v>207.94414742738081</v>
      </c>
      <c r="H47" s="10">
        <f t="shared" si="40"/>
        <v>212.12270408987393</v>
      </c>
      <c r="I47" s="10">
        <f t="shared" si="40"/>
        <v>182.89862925929398</v>
      </c>
      <c r="J47" s="10">
        <f t="shared" si="40"/>
        <v>161.2115837545191</v>
      </c>
      <c r="K47" s="10">
        <f t="shared" si="40"/>
        <v>167.21387012756875</v>
      </c>
      <c r="L47" s="10">
        <f t="shared" si="40"/>
        <v>385.08612566147929</v>
      </c>
      <c r="M47" s="10">
        <f t="shared" si="40"/>
        <v>337.73796387222609</v>
      </c>
      <c r="N47" s="10">
        <f t="shared" si="40"/>
        <v>351.31908766544598</v>
      </c>
      <c r="O47" s="10">
        <f t="shared" si="40"/>
        <v>317.07437861693279</v>
      </c>
      <c r="P47" s="14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E47" s="1">
        <f>AE46^0.2</f>
        <v>0.83937832748538754</v>
      </c>
    </row>
    <row r="48" spans="1:31">
      <c r="A48" s="19" t="s">
        <v>46</v>
      </c>
      <c r="B48" s="27" t="s">
        <v>45</v>
      </c>
      <c r="D48" s="11">
        <v>242.05</v>
      </c>
      <c r="E48" s="11">
        <v>169.95000000000002</v>
      </c>
      <c r="F48" s="11">
        <v>180.25</v>
      </c>
      <c r="G48" s="11">
        <v>206</v>
      </c>
      <c r="H48" s="11">
        <v>211.15</v>
      </c>
      <c r="I48" s="11">
        <v>185.4</v>
      </c>
      <c r="J48" s="11">
        <v>175.1</v>
      </c>
      <c r="K48" s="11">
        <v>252.35</v>
      </c>
      <c r="L48" s="11">
        <v>463.5</v>
      </c>
      <c r="M48" s="11">
        <v>355.35</v>
      </c>
      <c r="N48" s="11">
        <v>339.90000000000003</v>
      </c>
      <c r="O48" s="11">
        <v>267.8</v>
      </c>
      <c r="P48" s="14"/>
      <c r="Q48" s="12">
        <v>0.81071565611578267</v>
      </c>
      <c r="R48" s="12">
        <v>0.87901443411872904</v>
      </c>
      <c r="S48" s="12">
        <v>0.81559647459449425</v>
      </c>
      <c r="T48" s="12">
        <v>0.96523653278727095</v>
      </c>
      <c r="U48" s="12">
        <v>0.89218387677248701</v>
      </c>
      <c r="V48" s="12">
        <v>0.90623806515368366</v>
      </c>
      <c r="W48" s="12">
        <v>0.79934304279221013</v>
      </c>
      <c r="X48" s="12">
        <v>0.79851903084182385</v>
      </c>
      <c r="Y48" s="12">
        <v>0.86404603873784058</v>
      </c>
      <c r="Z48" s="12">
        <v>0.86935454079803598</v>
      </c>
      <c r="AA48" s="12">
        <v>0.88276854319882481</v>
      </c>
      <c r="AB48" s="12">
        <v>0.72492148064045614</v>
      </c>
      <c r="AE48" s="1">
        <f>1.065^4.5</f>
        <v>1.3276183148496714</v>
      </c>
    </row>
    <row r="49" spans="1:32">
      <c r="Q49" s="17">
        <v>250</v>
      </c>
      <c r="R49" s="17">
        <v>269</v>
      </c>
      <c r="S49" s="17">
        <v>228</v>
      </c>
      <c r="T49" s="17">
        <v>199</v>
      </c>
      <c r="U49" s="17">
        <v>150</v>
      </c>
      <c r="V49" s="17">
        <v>170</v>
      </c>
      <c r="W49" s="17">
        <v>180</v>
      </c>
      <c r="X49" s="17">
        <v>180</v>
      </c>
      <c r="Y49" s="17">
        <v>175</v>
      </c>
      <c r="Z49" s="17">
        <v>160</v>
      </c>
      <c r="AA49" s="17">
        <v>175</v>
      </c>
      <c r="AB49" s="17">
        <v>425</v>
      </c>
      <c r="AC49" s="17">
        <v>204.41</v>
      </c>
      <c r="AE49" s="1">
        <f>6*AE48</f>
        <v>7.9657098890980285</v>
      </c>
    </row>
    <row r="50" spans="1:32">
      <c r="A50" s="13"/>
    </row>
    <row r="51" spans="1:32">
      <c r="Q51" s="20">
        <v>345</v>
      </c>
      <c r="R51" s="20">
        <v>330</v>
      </c>
      <c r="S51" s="20">
        <v>260</v>
      </c>
      <c r="T51" s="20">
        <v>235</v>
      </c>
      <c r="U51" s="20">
        <v>165</v>
      </c>
      <c r="V51" s="20">
        <v>175</v>
      </c>
      <c r="W51" s="20">
        <v>200</v>
      </c>
      <c r="X51" s="20">
        <v>205</v>
      </c>
      <c r="Y51" s="20">
        <v>180</v>
      </c>
      <c r="Z51" s="20">
        <v>170</v>
      </c>
      <c r="AA51" s="20">
        <v>245</v>
      </c>
      <c r="AB51" s="20">
        <v>450</v>
      </c>
      <c r="AD51" s="1">
        <f>288/0.78</f>
        <v>369.23076923076923</v>
      </c>
      <c r="AF51" s="1">
        <f>1/1.28</f>
        <v>0.78125</v>
      </c>
    </row>
    <row r="52" spans="1:32">
      <c r="Q52" s="21">
        <f>Q51*1.03</f>
        <v>355.35</v>
      </c>
      <c r="R52" s="21">
        <f t="shared" ref="R52:AB52" si="41">R51*1.03</f>
        <v>339.90000000000003</v>
      </c>
      <c r="S52" s="21">
        <f t="shared" si="41"/>
        <v>267.8</v>
      </c>
      <c r="T52" s="21">
        <f t="shared" si="41"/>
        <v>242.05</v>
      </c>
      <c r="U52" s="21">
        <f t="shared" si="41"/>
        <v>169.95000000000002</v>
      </c>
      <c r="V52" s="21">
        <f t="shared" si="41"/>
        <v>180.25</v>
      </c>
      <c r="W52" s="21">
        <f t="shared" si="41"/>
        <v>206</v>
      </c>
      <c r="X52" s="21">
        <f t="shared" si="41"/>
        <v>211.15</v>
      </c>
      <c r="Y52" s="21">
        <f t="shared" si="41"/>
        <v>185.4</v>
      </c>
      <c r="Z52" s="21">
        <f t="shared" si="41"/>
        <v>175.1</v>
      </c>
      <c r="AA52" s="21">
        <f t="shared" si="41"/>
        <v>252.35</v>
      </c>
      <c r="AB52" s="21">
        <f t="shared" si="41"/>
        <v>463.5</v>
      </c>
      <c r="AD52" s="26">
        <f>AD51/43.56</f>
        <v>8.4763721127357492</v>
      </c>
      <c r="AF52" s="1">
        <f>1.3/1.1</f>
        <v>1.1818181818181817</v>
      </c>
    </row>
    <row r="53" spans="1:32">
      <c r="AF53" s="1">
        <f>(AF52-AF51)/AF51</f>
        <v>0.51272727272727248</v>
      </c>
    </row>
    <row r="54" spans="1:32">
      <c r="P54" s="19" t="s">
        <v>21</v>
      </c>
      <c r="Q54" s="22">
        <f t="shared" ref="Q54:AB54" si="42">Q12*Q52</f>
        <v>232.04355000000001</v>
      </c>
      <c r="R54" s="22">
        <f t="shared" si="42"/>
        <v>258.32400000000001</v>
      </c>
      <c r="S54" s="22">
        <f t="shared" si="42"/>
        <v>192.816</v>
      </c>
      <c r="T54" s="22">
        <f t="shared" si="42"/>
        <v>136.03210000000001</v>
      </c>
      <c r="U54" s="22">
        <f t="shared" si="42"/>
        <v>93.472500000000011</v>
      </c>
      <c r="V54" s="22">
        <f t="shared" si="42"/>
        <v>117.16250000000001</v>
      </c>
      <c r="W54" s="22">
        <f t="shared" si="42"/>
        <v>164.8</v>
      </c>
      <c r="X54" s="22">
        <f t="shared" si="42"/>
        <v>168.92000000000002</v>
      </c>
      <c r="Y54" s="22">
        <f t="shared" si="42"/>
        <v>128.85300000000001</v>
      </c>
      <c r="Z54" s="22">
        <f t="shared" si="42"/>
        <v>96.305000000000007</v>
      </c>
      <c r="AA54" s="22">
        <f t="shared" si="42"/>
        <v>121.12799999999999</v>
      </c>
      <c r="AB54" s="22">
        <f t="shared" si="42"/>
        <v>278.09999999999997</v>
      </c>
      <c r="AC54" s="22">
        <f>AVERAGE(Q54:AB54)</f>
        <v>165.66305416666668</v>
      </c>
    </row>
    <row r="72" spans="1:30">
      <c r="B72" s="1" t="s">
        <v>2</v>
      </c>
      <c r="D72" s="25">
        <v>2015</v>
      </c>
      <c r="E72" s="25"/>
      <c r="F72" s="25"/>
      <c r="G72" s="25"/>
      <c r="H72" s="25"/>
      <c r="I72" s="25"/>
      <c r="J72" s="25"/>
      <c r="L72" s="25"/>
      <c r="M72" s="25">
        <v>2016</v>
      </c>
      <c r="N72" s="25"/>
      <c r="O72" s="25"/>
    </row>
    <row r="73" spans="1:30">
      <c r="C73" s="2"/>
      <c r="D73" s="18" t="s">
        <v>29</v>
      </c>
      <c r="E73" s="18" t="s">
        <v>30</v>
      </c>
      <c r="F73" s="18" t="s">
        <v>31</v>
      </c>
      <c r="G73" s="18" t="s">
        <v>32</v>
      </c>
      <c r="H73" s="18" t="s">
        <v>33</v>
      </c>
      <c r="I73" s="18" t="s">
        <v>34</v>
      </c>
      <c r="J73" s="18" t="s">
        <v>11</v>
      </c>
      <c r="K73" s="18" t="s">
        <v>35</v>
      </c>
      <c r="L73" s="18" t="s">
        <v>36</v>
      </c>
      <c r="M73" s="18" t="s">
        <v>37</v>
      </c>
      <c r="N73" s="18" t="s">
        <v>38</v>
      </c>
      <c r="O73" s="18" t="s">
        <v>39</v>
      </c>
      <c r="P73" s="14" t="s">
        <v>6</v>
      </c>
    </row>
    <row r="74" spans="1:30">
      <c r="A74" s="1" t="s">
        <v>0</v>
      </c>
      <c r="C74" s="3"/>
      <c r="D74" s="9">
        <f t="shared" ref="D74:O74" si="43">D6/100*D43</f>
        <v>88.833256305743845</v>
      </c>
      <c r="E74" s="9">
        <f t="shared" si="43"/>
        <v>48.576857773644633</v>
      </c>
      <c r="F74" s="9">
        <f t="shared" si="43"/>
        <v>129.27073626657034</v>
      </c>
      <c r="G74" s="9">
        <f t="shared" si="43"/>
        <v>211.44426259042356</v>
      </c>
      <c r="H74" s="9">
        <f t="shared" si="43"/>
        <v>200.547102585743</v>
      </c>
      <c r="I74" s="9">
        <f t="shared" si="43"/>
        <v>135.3497140920384</v>
      </c>
      <c r="J74" s="9">
        <f t="shared" si="43"/>
        <v>68.294827825225752</v>
      </c>
      <c r="K74" s="9">
        <f t="shared" si="43"/>
        <v>53.766618471870068</v>
      </c>
      <c r="L74" s="9">
        <f t="shared" si="43"/>
        <v>415.46571276751826</v>
      </c>
      <c r="M74" s="9">
        <f t="shared" si="43"/>
        <v>452.97674583041743</v>
      </c>
      <c r="N74" s="9">
        <f t="shared" si="43"/>
        <v>512.94744506322422</v>
      </c>
      <c r="O74" s="9">
        <f t="shared" si="43"/>
        <v>460.42094806041092</v>
      </c>
      <c r="P74" s="10">
        <f>SUM(D74:O74)/12</f>
        <v>231.49118563606919</v>
      </c>
    </row>
    <row r="75" spans="1:30">
      <c r="A75" s="19" t="s">
        <v>41</v>
      </c>
      <c r="C75" s="23"/>
      <c r="D75" s="9">
        <f>D7/100*D44</f>
        <v>59.330657224768203</v>
      </c>
      <c r="E75" s="9">
        <f t="shared" ref="E75:O75" si="44">E7/100*E44</f>
        <v>63.163676251679426</v>
      </c>
      <c r="F75" s="9">
        <f t="shared" si="44"/>
        <v>76.080330341084007</v>
      </c>
      <c r="G75" s="9">
        <f t="shared" si="44"/>
        <v>90.105182954632525</v>
      </c>
      <c r="H75" s="9">
        <f t="shared" si="44"/>
        <v>95.917961638625997</v>
      </c>
      <c r="I75" s="9">
        <f t="shared" si="44"/>
        <v>86.150776218398846</v>
      </c>
      <c r="J75" s="9">
        <f t="shared" si="44"/>
        <v>79.821127183347144</v>
      </c>
      <c r="K75" s="9">
        <f t="shared" si="44"/>
        <v>57.754848715164655</v>
      </c>
      <c r="L75" s="9">
        <f t="shared" si="44"/>
        <v>42.719137912749396</v>
      </c>
      <c r="M75" s="9">
        <f t="shared" si="44"/>
        <v>51.9485190282847</v>
      </c>
      <c r="N75" s="9">
        <f t="shared" si="44"/>
        <v>60.414788533681651</v>
      </c>
      <c r="O75" s="9">
        <f t="shared" si="44"/>
        <v>61.823169115436215</v>
      </c>
      <c r="P75" s="10">
        <f>SUM(D75:O75)/12</f>
        <v>68.769181259821082</v>
      </c>
    </row>
    <row r="76" spans="1:30">
      <c r="A76" s="1" t="s">
        <v>3</v>
      </c>
      <c r="C76" s="4"/>
      <c r="D76" s="9">
        <f>D8/100*D45</f>
        <v>56.005647951976606</v>
      </c>
      <c r="E76" s="9">
        <f t="shared" ref="E76:O76" si="45">E8/100*E45</f>
        <v>57.844110649354114</v>
      </c>
      <c r="F76" s="9">
        <f t="shared" si="45"/>
        <v>78.597129656956611</v>
      </c>
      <c r="G76" s="9">
        <f t="shared" si="45"/>
        <v>121.82037345307782</v>
      </c>
      <c r="H76" s="9">
        <f t="shared" si="45"/>
        <v>130.25881569735012</v>
      </c>
      <c r="I76" s="9">
        <f t="shared" si="45"/>
        <v>89.923623670007643</v>
      </c>
      <c r="J76" s="9">
        <f t="shared" si="45"/>
        <v>60.1403044381914</v>
      </c>
      <c r="K76" s="9">
        <f t="shared" si="45"/>
        <v>48.197839209026583</v>
      </c>
      <c r="L76" s="9">
        <f t="shared" si="45"/>
        <v>64.878772270423923</v>
      </c>
      <c r="M76" s="9">
        <f t="shared" si="45"/>
        <v>75.094931759706768</v>
      </c>
      <c r="N76" s="9">
        <f t="shared" si="45"/>
        <v>100.32138567841821</v>
      </c>
      <c r="O76" s="9">
        <f t="shared" si="45"/>
        <v>83.55040695514019</v>
      </c>
      <c r="P76" s="10">
        <f t="shared" ref="P76:P79" si="46">SUM(D76:O76)/12</f>
        <v>80.552778449135829</v>
      </c>
    </row>
    <row r="77" spans="1:30">
      <c r="A77" s="1" t="s">
        <v>4</v>
      </c>
      <c r="C77" s="4"/>
      <c r="D77" s="9">
        <f>D9/100*D46</f>
        <v>107.72641803937913</v>
      </c>
      <c r="E77" s="9">
        <f t="shared" ref="E77:O77" si="47">E9/100*E46</f>
        <v>72.781161077956867</v>
      </c>
      <c r="F77" s="9">
        <f t="shared" si="47"/>
        <v>101.26196100182538</v>
      </c>
      <c r="G77" s="9">
        <f t="shared" si="47"/>
        <v>143.08674202366117</v>
      </c>
      <c r="H77" s="9">
        <f t="shared" si="47"/>
        <v>178.90934167814177</v>
      </c>
      <c r="I77" s="9">
        <f t="shared" si="47"/>
        <v>109.81859323683463</v>
      </c>
      <c r="J77" s="9">
        <f t="shared" si="47"/>
        <v>50.442597707876232</v>
      </c>
      <c r="K77" s="9">
        <f t="shared" si="47"/>
        <v>49.634732361581108</v>
      </c>
      <c r="L77" s="9">
        <f t="shared" si="47"/>
        <v>326.93829606446354</v>
      </c>
      <c r="M77" s="9">
        <f t="shared" si="47"/>
        <v>279.1406878775648</v>
      </c>
      <c r="N77" s="9">
        <f t="shared" si="47"/>
        <v>323.15461882206552</v>
      </c>
      <c r="O77" s="9">
        <f t="shared" si="47"/>
        <v>263.36499309654312</v>
      </c>
      <c r="P77" s="10">
        <f t="shared" si="46"/>
        <v>167.18834524899111</v>
      </c>
      <c r="Q77" s="3">
        <f>(D74+D76+D77)/3</f>
        <v>84.188440765699866</v>
      </c>
      <c r="R77" s="3">
        <f t="shared" ref="R77" si="48">(E74+E76+E77)/3</f>
        <v>59.734043166985202</v>
      </c>
      <c r="S77" s="3">
        <f t="shared" ref="S77" si="49">(F74+F76+F77)/3</f>
        <v>103.04327564178412</v>
      </c>
      <c r="T77" s="3">
        <f t="shared" ref="T77" si="50">(G74+G76+G77)/3</f>
        <v>158.78379268905417</v>
      </c>
      <c r="U77" s="3">
        <f t="shared" ref="U77" si="51">(H74+H76+H77)/3</f>
        <v>169.90508665374497</v>
      </c>
      <c r="V77" s="3">
        <f t="shared" ref="V77" si="52">(I74+I76+I77)/3</f>
        <v>111.69731033296023</v>
      </c>
      <c r="W77" s="3">
        <f t="shared" ref="W77" si="53">(J74+J76+J77)/3</f>
        <v>59.625909990431126</v>
      </c>
      <c r="X77" s="3">
        <f t="shared" ref="X77" si="54">(K74+K76+K77)/3</f>
        <v>50.533063347492593</v>
      </c>
      <c r="Y77" s="3">
        <f t="shared" ref="Y77" si="55">(L74+L76+L77)/3</f>
        <v>269.09426036746856</v>
      </c>
      <c r="Z77" s="3">
        <f t="shared" ref="Z77" si="56">(M74+M76+M77)/3</f>
        <v>269.07078848922964</v>
      </c>
      <c r="AA77" s="3">
        <f t="shared" ref="AA77" si="57">(N74+N76+N77)/3</f>
        <v>312.14114985456928</v>
      </c>
      <c r="AB77" s="3">
        <f t="shared" ref="AB77" si="58">(O74+O76+O77)/3</f>
        <v>269.11211603736473</v>
      </c>
    </row>
    <row r="78" spans="1:30">
      <c r="A78" s="19" t="s">
        <v>20</v>
      </c>
      <c r="C78" s="3"/>
      <c r="D78" s="10">
        <f t="shared" ref="D78:O78" si="59">AVERAGE(D74:D77)</f>
        <v>77.973994880466947</v>
      </c>
      <c r="E78" s="10">
        <f t="shared" si="59"/>
        <v>60.591451438158757</v>
      </c>
      <c r="F78" s="10">
        <f t="shared" si="59"/>
        <v>96.302539316609085</v>
      </c>
      <c r="G78" s="10">
        <f t="shared" si="59"/>
        <v>141.61414025544877</v>
      </c>
      <c r="H78" s="10">
        <f t="shared" si="59"/>
        <v>151.40830539996523</v>
      </c>
      <c r="I78" s="10">
        <f t="shared" si="59"/>
        <v>105.31067680431988</v>
      </c>
      <c r="J78" s="10">
        <f t="shared" si="59"/>
        <v>64.674714288660127</v>
      </c>
      <c r="K78" s="10">
        <f t="shared" si="59"/>
        <v>52.338509689410607</v>
      </c>
      <c r="L78" s="10">
        <f t="shared" si="59"/>
        <v>212.50047975378877</v>
      </c>
      <c r="M78" s="10">
        <f t="shared" si="59"/>
        <v>214.79022112399343</v>
      </c>
      <c r="N78" s="10">
        <f t="shared" si="59"/>
        <v>249.20955952434741</v>
      </c>
      <c r="O78" s="10">
        <f t="shared" si="59"/>
        <v>217.2898793068826</v>
      </c>
      <c r="P78" s="10">
        <f>SUM(D78:O78)/12</f>
        <v>137.00037264850431</v>
      </c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30">
      <c r="A79" s="1" t="s">
        <v>5</v>
      </c>
      <c r="C79" s="4"/>
      <c r="D79" s="9">
        <f t="shared" ref="D79:O79" si="60">D11/100*D48</f>
        <v>136.03210000000001</v>
      </c>
      <c r="E79" s="9">
        <f t="shared" si="60"/>
        <v>93.472500000000011</v>
      </c>
      <c r="F79" s="9">
        <f t="shared" si="60"/>
        <v>117.16250000000001</v>
      </c>
      <c r="G79" s="9">
        <f t="shared" si="60"/>
        <v>164.8</v>
      </c>
      <c r="H79" s="9">
        <f t="shared" si="60"/>
        <v>168.92000000000002</v>
      </c>
      <c r="I79" s="9">
        <f t="shared" si="60"/>
        <v>128.85300000000001</v>
      </c>
      <c r="J79" s="9">
        <f t="shared" si="60"/>
        <v>96.305000000000007</v>
      </c>
      <c r="K79" s="9">
        <f t="shared" si="60"/>
        <v>121.12799999999999</v>
      </c>
      <c r="L79" s="9">
        <f t="shared" si="60"/>
        <v>278.09999999999997</v>
      </c>
      <c r="M79" s="9">
        <f t="shared" si="60"/>
        <v>232.04355000000001</v>
      </c>
      <c r="N79" s="9">
        <f t="shared" si="60"/>
        <v>258.32400000000001</v>
      </c>
      <c r="O79" s="9">
        <f t="shared" si="60"/>
        <v>192.816</v>
      </c>
      <c r="P79" s="10">
        <f t="shared" si="46"/>
        <v>165.66305416666668</v>
      </c>
      <c r="Q79" s="12">
        <v>0.78818644367355728</v>
      </c>
      <c r="R79" s="12">
        <v>0.86867968047119215</v>
      </c>
      <c r="S79" s="12">
        <v>0.77900686036175271</v>
      </c>
      <c r="T79" s="12">
        <v>1.2574975810602742</v>
      </c>
      <c r="U79" s="12">
        <v>1.3815479729148767</v>
      </c>
      <c r="V79" s="12">
        <v>1.1421365944300677</v>
      </c>
      <c r="W79" s="12">
        <v>0.97276225604223887</v>
      </c>
      <c r="X79" s="12">
        <v>0.95383633101879628</v>
      </c>
      <c r="Y79" s="12">
        <v>1.1223290614248875</v>
      </c>
      <c r="Z79" s="12">
        <v>1.4208829511969132</v>
      </c>
      <c r="AA79" s="12">
        <v>1.4644621774566609</v>
      </c>
      <c r="AB79" s="12">
        <v>0.74989919225434087</v>
      </c>
      <c r="AD79" s="23">
        <f>P79/(P11/100)</f>
        <v>254.08443890593048</v>
      </c>
    </row>
    <row r="81" spans="1:1">
      <c r="A81" s="13"/>
    </row>
  </sheetData>
  <phoneticPr fontId="6" type="noConversion"/>
  <pageMargins left="0.7" right="0.7" top="0.75" bottom="0.75" header="0.3" footer="0.3"/>
  <pageSetup scale="31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3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Fiorella Aster</dc:creator>
  <cp:lastModifiedBy>Daniel Blanco</cp:lastModifiedBy>
  <cp:lastPrinted>2016-05-29T17:02:55Z</cp:lastPrinted>
  <dcterms:created xsi:type="dcterms:W3CDTF">2014-01-02T17:57:56Z</dcterms:created>
  <dcterms:modified xsi:type="dcterms:W3CDTF">2016-05-29T17:03:06Z</dcterms:modified>
</cp:coreProperties>
</file>